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2FC" lockStructure="1"/>
  <bookViews>
    <workbookView xWindow="0" yWindow="0" windowWidth="14580" windowHeight="11520" tabRatio="866" activeTab="66"/>
  </bookViews>
  <sheets>
    <sheet name="LDC Info" sheetId="32" r:id="rId1"/>
    <sheet name="Table of Contents" sheetId="10" r:id="rId2"/>
    <sheet name="COS Flowchart" sheetId="26" r:id="rId3"/>
    <sheet name="List of Key References" sheetId="99" r:id="rId4"/>
    <sheet name="App.2-AA_Capital Projects" sheetId="11" r:id="rId5"/>
    <sheet name="App.2-AB_Capital Expenditures" sheetId="102" r:id="rId6"/>
    <sheet name="App.2-BA1_Fix Asset Cont.CGAAP" sheetId="57" state="hidden" r:id="rId7"/>
    <sheet name="App.2-BA2_Fix Asset Cont.MIFRS" sheetId="100" r:id="rId8"/>
    <sheet name="Appendix 2-BB Service Life Comp" sheetId="108" r:id="rId9"/>
    <sheet name="Instruction for App. 2-C MIFRS" sheetId="77" r:id="rId10"/>
    <sheet name="App.2-CA_CGAAP_DepExp_2011" sheetId="58" r:id="rId11"/>
    <sheet name="App.2-CB_MIFRS_DepExp_2011" sheetId="59" r:id="rId12"/>
    <sheet name="App.2-CC_MIFRS_DepExp_2012" sheetId="60" r:id="rId13"/>
    <sheet name="App.2-CD_MIFRS_DepExp_2013" sheetId="61" r:id="rId14"/>
    <sheet name="App.2-CE_MIFRS_DepExp_2014" sheetId="62" r:id="rId15"/>
    <sheet name="App.2-CF_CGAAP_DepExp_2012" sheetId="63" r:id="rId16"/>
    <sheet name="App.2-CG_MIFRS_DepExp_2012" sheetId="64" r:id="rId17"/>
    <sheet name="App.2-CH_MIFRS_DepExp_2013" sheetId="65" r:id="rId18"/>
    <sheet name="App.2-CI_MIFRS_DepExp_2014" sheetId="66" r:id="rId19"/>
    <sheet name="App.2-CJ_CGAAP_DepExp_2012" sheetId="67" r:id="rId20"/>
    <sheet name="App.2-CK_CGAAP_DepExp_2013" sheetId="68" r:id="rId21"/>
    <sheet name="App.2-CL_MIFRS_DepExp_2013" sheetId="69" r:id="rId22"/>
    <sheet name="App.2-CM_MIFRS_DepExp_2014" sheetId="70" r:id="rId23"/>
    <sheet name="Instruction for App. 2-C CGAAP" sheetId="95" state="hidden" r:id="rId24"/>
    <sheet name="App.2-CN_OldCGAAP_DepExp_2012" sheetId="87" state="hidden" r:id="rId25"/>
    <sheet name="App.2-CO_NewCGAAP_DepExp_2012" sheetId="88" state="hidden" r:id="rId26"/>
    <sheet name="App.2-CP_NewCGAAP_DepExp_2013" sheetId="89" state="hidden" r:id="rId27"/>
    <sheet name="App.2-CQ NewCGAAP_DepExp_2014" sheetId="90" state="hidden" r:id="rId28"/>
    <sheet name="App.2-CR_OldCGAAP_DepExp_2012" sheetId="91" state="hidden" r:id="rId29"/>
    <sheet name="App.2-CS_OldCGAAP_DepExp_2013" sheetId="92" state="hidden" r:id="rId30"/>
    <sheet name="App.2-CT_NewCGAAP_DepExp_2013" sheetId="93" state="hidden" r:id="rId31"/>
    <sheet name="App.2-CU_NewCGAAP_DepExp_2014" sheetId="94" state="hidden" r:id="rId32"/>
    <sheet name="App.2-CV_USGAAP_DepExp" sheetId="97" state="hidden" r:id="rId33"/>
    <sheet name="App.2-DA_Overhead" sheetId="71" r:id="rId34"/>
    <sheet name="App.2-DB_Overhead" sheetId="86" state="hidden" r:id="rId35"/>
    <sheet name="App.2-EA_PP&amp;E Deferral Account" sheetId="72" r:id="rId36"/>
    <sheet name="App.2-EB_PP&amp;E Deferral Account" sheetId="73" r:id="rId37"/>
    <sheet name="App.2-EC_PP&amp;E Deferral Account" sheetId="74" r:id="rId38"/>
    <sheet name="App.2-ED_Account 1576 (2012)" sheetId="75" r:id="rId39"/>
    <sheet name="App.2-EE_Account 1576 (2013)" sheetId="76" r:id="rId40"/>
    <sheet name="App.2-FA Proposed REG Invest." sheetId="55" state="hidden" r:id="rId41"/>
    <sheet name="App.2-FB Calc of REG Improvemnt" sheetId="54" state="hidden" r:id="rId42"/>
    <sheet name="App.2-FC Calc of REG Expansion" sheetId="98" state="hidden" r:id="rId43"/>
    <sheet name="App.2-G SQI" sheetId="53" r:id="rId44"/>
    <sheet name="App.2-H_Other_Oper_Rev" sheetId="14" r:id="rId45"/>
    <sheet name="App.2-I LF_CDM_WF" sheetId="56" r:id="rId46"/>
    <sheet name="App.2-JA_OM&amp;A_Summary_Analys" sheetId="49" r:id="rId47"/>
    <sheet name="App.2-JB_OM&amp;A_Cost _Drivers" sheetId="15" r:id="rId48"/>
    <sheet name="App.2-JC_OMA Programs" sheetId="105" r:id="rId49"/>
    <sheet name="App.2-K_Employee Costs" sheetId="5" r:id="rId50"/>
    <sheet name="App.2-L_OM&amp;A_per_Cust_FTEE" sheetId="20" r:id="rId51"/>
    <sheet name="App.2-M_Regulatory_Costs" sheetId="12" r:id="rId52"/>
    <sheet name="App.2-N_Corp_Cost_Allocation" sheetId="18" r:id="rId53"/>
    <sheet name="App.2-OA Capital Structure" sheetId="50" r:id="rId54"/>
    <sheet name="App.2-OB_Debt Instruments" sheetId="6" r:id="rId55"/>
    <sheet name="App.2-P_Cost_Allocation" sheetId="33" r:id="rId56"/>
    <sheet name="App.2-Q_Cost of Serv. Emb. Dx" sheetId="34" state="hidden" r:id="rId57"/>
    <sheet name="App.2-R_Loss Factors" sheetId="21" r:id="rId58"/>
    <sheet name="App.2-S_Stranded Meters" sheetId="23" r:id="rId59"/>
    <sheet name="App.2-TA_1592_Tax_Variance" sheetId="78" r:id="rId60"/>
    <sheet name="App.2-TB_1592_HST-OVAT" sheetId="79" r:id="rId61"/>
    <sheet name="App.2-U_IFRS Transition Costs" sheetId="80" r:id="rId62"/>
    <sheet name="App.2-V_Rev_Reconciliation" sheetId="30" r:id="rId63"/>
    <sheet name="App.2-W_Bill Impacts" sheetId="9" r:id="rId64"/>
    <sheet name="App.2-YA_MIFRS Summary Impacts" sheetId="81" r:id="rId65"/>
    <sheet name="App. 2-YB_CGAAP Summary Impacts" sheetId="83" state="hidden" r:id="rId66"/>
    <sheet name="App. 2-Z_Tariff" sheetId="101" r:id="rId67"/>
    <sheet name="lists" sheetId="106" state="hidden" r:id="rId68"/>
    <sheet name="lists2" sheetId="107" state="hidden" r:id="rId69"/>
    <sheet name="Sheet19" sheetId="96" state="hidden" r:id="rId70"/>
  </sheets>
  <externalReferences>
    <externalReference r:id="rId71"/>
    <externalReference r:id="rId72"/>
    <externalReference r:id="rId73"/>
    <externalReference r:id="rId74"/>
    <externalReference r:id="rId75"/>
    <externalReference r:id="rId76"/>
    <externalReference r:id="rId77"/>
  </externalReferences>
  <definedNames>
    <definedName name="_xlnm._FilterDatabase" localSheetId="67" hidden="1">lists!$I$1:$I$120</definedName>
    <definedName name="_ftn1" localSheetId="9">'Instruction for App. 2-C MIFRS'!#REF!</definedName>
    <definedName name="_ftnref1" localSheetId="9">'Instruction for App. 2-C MIFRS'!#REF!</definedName>
    <definedName name="Appendix">""""</definedName>
    <definedName name="AppNumber">"EB-2014-0113_x000D_"</definedName>
    <definedName name="Attachment">""""</definedName>
    <definedName name="BI_LDCLIST">'[1]3. Rate Class Selection'!$B$19:$B$21</definedName>
    <definedName name="BridgeYear" localSheetId="67">'[2]LDC Info'!$E$26</definedName>
    <definedName name="BridgeYear">'LDC Info'!$E$26</definedName>
    <definedName name="contactf">#REF!</definedName>
    <definedName name="CustomerAdministration">lists!$Z$1:$Z$36</definedName>
    <definedName name="Distributor">"St. Thomas Energy Inc._x000D_"</definedName>
    <definedName name="EBNUMBER" localSheetId="67">'[2]LDC Info'!$E$16</definedName>
    <definedName name="EBNUMBER">'LDC Info'!$E$16</definedName>
    <definedName name="Exhibit">"Exhibit 0"</definedName>
    <definedName name="_xlnm.Extract" localSheetId="67">lists!#REF!</definedName>
    <definedName name="FileDate">"April,25,2014"</definedName>
    <definedName name="Fixed_Charges">lists!$I$1:$I$185</definedName>
    <definedName name="histdate">[3]Financials!$E$76</definedName>
    <definedName name="Incr2000">#REF!</definedName>
    <definedName name="infra" localSheetId="3">'List of Key References'!$B$41</definedName>
    <definedName name="IRMWG" localSheetId="23">'Instruction for App. 2-C CGAAP'!#REF!</definedName>
    <definedName name="IRMWG" localSheetId="9">'Instruction for App. 2-C MIFRS'!#REF!</definedName>
    <definedName name="LDC_LIST" localSheetId="32">[4]lists!$AM$1:$AM$80</definedName>
    <definedName name="LDC_LIST" localSheetId="67">lists!$AM$1:$AM$88</definedName>
    <definedName name="LDC_LIST">[4]lists!$AM$1:$AM$80</definedName>
    <definedName name="LDCLIST" localSheetId="65">#REF!</definedName>
    <definedName name="LDCLIST" localSheetId="6">#REF!</definedName>
    <definedName name="LDCLIST" localSheetId="7">#REF!</definedName>
    <definedName name="LDCLIST" localSheetId="32">#REF!</definedName>
    <definedName name="LDCLIST" localSheetId="34">#REF!</definedName>
    <definedName name="LDCLIST" localSheetId="39">#REF!</definedName>
    <definedName name="LDCLIST" localSheetId="53">'[5]LDC Info'!$AA$3:$AA$79</definedName>
    <definedName name="LDCLIST" localSheetId="60">#REF!</definedName>
    <definedName name="LDCLIST" localSheetId="23">#REF!</definedName>
    <definedName name="LDCLIST" localSheetId="9">#REF!</definedName>
    <definedName name="LDCLIST" localSheetId="67">'[2]LDC Info'!$AA$3:$AA$98</definedName>
    <definedName name="LDCLIST">'LDC Info'!$AA$3:$AA$109</definedName>
    <definedName name="LDCNAMES">lists!$AL$1:$AL$78</definedName>
    <definedName name="LIMIT">#REF!</definedName>
    <definedName name="LossFactors">lists!$L$2:$L$15</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NonPayment">lists!$AA$1:$AA$71</definedName>
    <definedName name="OLE_LINK1" localSheetId="3">'List of Key References'!$A$5</definedName>
    <definedName name="OLE_LINK7" localSheetId="3">'List of Key References'!$B$22</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_xlnm.Print_Area" localSheetId="66">'App. 2-Z_Tariff'!$A$1:$I$44</definedName>
    <definedName name="_xlnm.Print_Area" localSheetId="4">'App.2-AA_Capital Projects'!$A$1:$H$53</definedName>
    <definedName name="_xlnm.Print_Area" localSheetId="6">'App.2-BA1_Fix Asset Cont.CGAAP'!$A$1:$M$76</definedName>
    <definedName name="_xlnm.Print_Area" localSheetId="7">'App.2-BA2_Fix Asset Cont.MIFRS'!$A$1:$M$78</definedName>
    <definedName name="_xlnm.Print_Area" localSheetId="10">'App.2-CA_CGAAP_DepExp_2011'!$B$1:$M$65</definedName>
    <definedName name="_xlnm.Print_Area" localSheetId="11">'App.2-CB_MIFRS_DepExp_2011'!$B$1:$P$70</definedName>
    <definedName name="_xlnm.Print_Area" localSheetId="12">'App.2-CC_MIFRS_DepExp_2012'!$B$1:$L$70</definedName>
    <definedName name="_xlnm.Print_Area" localSheetId="13">'App.2-CD_MIFRS_DepExp_2013'!$A$1:$K$70</definedName>
    <definedName name="_xlnm.Print_Area" localSheetId="14">'App.2-CE_MIFRS_DepExp_2014'!$B$1:$I$70</definedName>
    <definedName name="_xlnm.Print_Area" localSheetId="15">'App.2-CF_CGAAP_DepExp_2012'!$A$1:$L$65</definedName>
    <definedName name="_xlnm.Print_Area" localSheetId="16">'App.2-CG_MIFRS_DepExp_2012'!$A$1:$O$70</definedName>
    <definedName name="_xlnm.Print_Area" localSheetId="17">'App.2-CH_MIFRS_DepExp_2013'!$A$1:$K$70</definedName>
    <definedName name="_xlnm.Print_Area" localSheetId="18">'App.2-CI_MIFRS_DepExp_2014'!$A$1:$H$70</definedName>
    <definedName name="_xlnm.Print_Area" localSheetId="19">'App.2-CJ_CGAAP_DepExp_2012'!$A$1:$L$78</definedName>
    <definedName name="_xlnm.Print_Area" localSheetId="20">'App.2-CK_CGAAP_DepExp_2013'!$A$1:$L$64</definedName>
    <definedName name="_xlnm.Print_Area" localSheetId="21">'App.2-CL_MIFRS_DepExp_2013'!$A$1:$O$70</definedName>
    <definedName name="_xlnm.Print_Area" localSheetId="22">'App.2-CM_MIFRS_DepExp_2014'!$A$1:$J$80</definedName>
    <definedName name="_xlnm.Print_Area" localSheetId="24">'App.2-CN_OldCGAAP_DepExp_2012'!$A$1:$L$65</definedName>
    <definedName name="_xlnm.Print_Area" localSheetId="25">'App.2-CO_NewCGAAP_DepExp_2012'!$A$1:$O$70</definedName>
    <definedName name="_xlnm.Print_Area" localSheetId="26">'App.2-CP_NewCGAAP_DepExp_2013'!$A$1:$K$69</definedName>
    <definedName name="_xlnm.Print_Area" localSheetId="27">'App.2-CQ NewCGAAP_DepExp_2014'!$A$1:$H$68</definedName>
    <definedName name="_xlnm.Print_Area" localSheetId="28">'App.2-CR_OldCGAAP_DepExp_2012'!$A$1:$L$79</definedName>
    <definedName name="_xlnm.Print_Area" localSheetId="29">'App.2-CS_OldCGAAP_DepExp_2013'!$A$1:$L$64</definedName>
    <definedName name="_xlnm.Print_Area" localSheetId="30">'App.2-CT_NewCGAAP_DepExp_2013'!$A$1:$O$69</definedName>
    <definedName name="_xlnm.Print_Area" localSheetId="31">'App.2-CU_NewCGAAP_DepExp_2014'!$A$1:$J$77</definedName>
    <definedName name="_xlnm.Print_Area" localSheetId="32">'App.2-CV_USGAAP_DepExp'!$A$1:$L$65</definedName>
    <definedName name="_xlnm.Print_Area" localSheetId="33">'App.2-DA_Overhead'!$A$1:$M$57</definedName>
    <definedName name="_xlnm.Print_Area" localSheetId="34">'App.2-DB_Overhead'!$A$1:$M$57</definedName>
    <definedName name="_xlnm.Print_Area" localSheetId="44">'App.2-H_Other_Oper_Rev'!$B$1:$K$61</definedName>
    <definedName name="_xlnm.Print_Area" localSheetId="46">'App.2-JA_OM&amp;A_Summary_Analys'!$B$1:$M$61</definedName>
    <definedName name="_xlnm.Print_Area" localSheetId="47">'App.2-JB_OM&amp;A_Cost _Drivers'!$B$1:$I$54</definedName>
    <definedName name="_xlnm.Print_Area" localSheetId="48">'App.2-JC_OMA Programs'!$B$1:$J$52</definedName>
    <definedName name="_xlnm.Print_Area" localSheetId="49">'App.2-K_Employee Costs'!$B$1:$G$31</definedName>
    <definedName name="_xlnm.Print_Area" localSheetId="50">'App.2-L_OM&amp;A_per_Cust_FTEE'!$B$1:$I$30</definedName>
    <definedName name="_xlnm.Print_Area" localSheetId="51">'App.2-M_Regulatory_Costs'!$B$1:$L$45</definedName>
    <definedName name="_xlnm.Print_Area" localSheetId="52">'App.2-N_Corp_Cost_Allocation'!$A$1:$G$44</definedName>
    <definedName name="_xlnm.Print_Area" localSheetId="53">'App.2-OA Capital Structure'!$A$1:$P$41</definedName>
    <definedName name="_xlnm.Print_Area" localSheetId="54">'App.2-OB_Debt Instruments'!$A$1:$P$9</definedName>
    <definedName name="_xlnm.Print_Area" localSheetId="55">'App.2-P_Cost_Allocation'!$A$1:$F$120</definedName>
    <definedName name="_xlnm.Print_Area" localSheetId="56">'App.2-Q_Cost of Serv. Emb. Dx'!$A$1:$G$61</definedName>
    <definedName name="_xlnm.Print_Area" localSheetId="57">'App.2-R_Loss Factors'!$B$1:$I$72</definedName>
    <definedName name="_xlnm.Print_Area" localSheetId="58">'App.2-S_Stranded Meters'!$B$65:$I$93</definedName>
    <definedName name="_xlnm.Print_Area" localSheetId="59">'App.2-TA_1592_Tax_Variance'!$B$1:$F$53</definedName>
    <definedName name="_xlnm.Print_Area" localSheetId="60">'App.2-TB_1592_HST-OVAT'!$A$1:$K$30</definedName>
    <definedName name="_xlnm.Print_Area" localSheetId="61">'App.2-U_IFRS Transition Costs'!$B$1:$N$36</definedName>
    <definedName name="_xlnm.Print_Area" localSheetId="62">'App.2-V_Rev_Reconciliation'!$B$1:$Q$28</definedName>
    <definedName name="_xlnm.Print_Area" localSheetId="63">'App.2-W_Bill Impacts'!$A$1:$O$88</definedName>
    <definedName name="_xlnm.Print_Area" localSheetId="8">'Appendix 2-BB Service Life Comp'!$B$1:$P$109</definedName>
    <definedName name="_xlnm.Print_Area" localSheetId="2">'COS Flowchart'!$A$1:$G$39</definedName>
    <definedName name="_xlnm.Print_Area" localSheetId="0">'LDC Info'!$A$1:$O$65</definedName>
    <definedName name="_xlnm.Print_Area" localSheetId="1">'Table of Contents'!$A$1:$L$55</definedName>
    <definedName name="print_end">#REF!</definedName>
    <definedName name="Rate_Class">lists!$A$1:$A$104</definedName>
    <definedName name="ratedescription">[6]hidden1!$D$1:$D$122</definedName>
    <definedName name="RebaseYear" localSheetId="67">'[2]LDC Info'!$E$28</definedName>
    <definedName name="RebaseYear">'LDC Info'!$E$28</definedName>
    <definedName name="SALBENF">#REF!</definedName>
    <definedName name="salreg">#REF!</definedName>
    <definedName name="SALREGF">#REF!</definedName>
    <definedName name="Schedule">"Schedule 0"</definedName>
    <definedName name="Tab">"Tab 0"</definedName>
    <definedName name="TEMPA">#REF!</definedName>
    <definedName name="TestYear" localSheetId="67">'[2]LDC Info'!$E$24</definedName>
    <definedName name="TestYear">'LDC Info'!$E$24</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ts">lists!$N$2:$N$5</definedName>
    <definedName name="Units1">lists!$O$2:$O$4</definedName>
    <definedName name="Units2">lists!$P$2:$P$3</definedName>
    <definedName name="Utility">[3]Financials!$A$1</definedName>
    <definedName name="utitliy1">[7]Financials!$A$1</definedName>
    <definedName name="WAGBENF">#REF!</definedName>
    <definedName name="wagdob">#REF!</definedName>
    <definedName name="wagdobf">#REF!</definedName>
    <definedName name="wagreg">#REF!</definedName>
    <definedName name="wagregf">#REF!</definedName>
  </definedNames>
  <calcPr calcId="145621"/>
</workbook>
</file>

<file path=xl/calcChain.xml><?xml version="1.0" encoding="utf-8"?>
<calcChain xmlns="http://schemas.openxmlformats.org/spreadsheetml/2006/main">
  <c r="K22" i="12" l="1"/>
  <c r="K29" i="12" l="1"/>
  <c r="G20" i="12"/>
  <c r="G30" i="12"/>
  <c r="K30" i="14" l="1"/>
  <c r="J30" i="14"/>
  <c r="I30" i="14"/>
  <c r="H30" i="14"/>
  <c r="G30" i="14"/>
  <c r="F30" i="14"/>
  <c r="D30" i="14"/>
  <c r="E30" i="14"/>
  <c r="E29" i="14"/>
  <c r="E28" i="14"/>
  <c r="H46" i="105"/>
  <c r="H15" i="12" l="1"/>
  <c r="L24" i="12"/>
  <c r="J24" i="12"/>
  <c r="K30" i="12"/>
  <c r="N31" i="12" l="1"/>
  <c r="H22" i="49" l="1"/>
  <c r="D29" i="14" l="1"/>
  <c r="D28" i="14"/>
  <c r="F28" i="14"/>
  <c r="G28" i="14"/>
  <c r="H28" i="14"/>
  <c r="I28" i="14"/>
  <c r="J28" i="14"/>
  <c r="K28" i="14"/>
  <c r="F29" i="14"/>
  <c r="G29" i="14"/>
  <c r="H29" i="14"/>
  <c r="I29" i="14"/>
  <c r="J29" i="14"/>
  <c r="K29" i="14"/>
  <c r="I22" i="12" l="1"/>
  <c r="J28" i="12" l="1"/>
  <c r="L27" i="12"/>
  <c r="J27" i="12"/>
  <c r="L21" i="12" l="1"/>
  <c r="J21" i="12"/>
  <c r="D42" i="12" l="1"/>
  <c r="E42" i="12" s="1"/>
  <c r="K57" i="12"/>
  <c r="K60" i="12" s="1"/>
  <c r="K61" i="12" l="1"/>
  <c r="L357" i="9"/>
  <c r="N357" i="9" s="1"/>
  <c r="H357" i="9"/>
  <c r="L356" i="9"/>
  <c r="H356" i="9"/>
  <c r="L355" i="9"/>
  <c r="N355" i="9" s="1"/>
  <c r="H355" i="9"/>
  <c r="K354" i="9"/>
  <c r="L354" i="9" s="1"/>
  <c r="N354" i="9" s="1"/>
  <c r="G354" i="9"/>
  <c r="H354" i="9" s="1"/>
  <c r="O354" i="9" s="1"/>
  <c r="K353" i="9"/>
  <c r="L353" i="9" s="1"/>
  <c r="G353" i="9"/>
  <c r="H353" i="9" s="1"/>
  <c r="L352" i="9"/>
  <c r="N352" i="9" s="1"/>
  <c r="H352" i="9"/>
  <c r="L351" i="9"/>
  <c r="H351" i="9"/>
  <c r="O351" i="9" s="1"/>
  <c r="L350" i="9"/>
  <c r="N350" i="9" s="1"/>
  <c r="H350" i="9"/>
  <c r="N349" i="9"/>
  <c r="L349" i="9"/>
  <c r="H349" i="9"/>
  <c r="N347" i="9"/>
  <c r="L347" i="9"/>
  <c r="H347" i="9"/>
  <c r="L346" i="9"/>
  <c r="N346" i="9" s="1"/>
  <c r="H346" i="9"/>
  <c r="L344" i="9"/>
  <c r="N344" i="9" s="1"/>
  <c r="O343" i="9"/>
  <c r="N343" i="9"/>
  <c r="L343" i="9"/>
  <c r="H343" i="9"/>
  <c r="O342" i="9"/>
  <c r="N342" i="9"/>
  <c r="L342" i="9"/>
  <c r="H342" i="9"/>
  <c r="O341" i="9"/>
  <c r="N341" i="9"/>
  <c r="L341" i="9"/>
  <c r="H341" i="9"/>
  <c r="L339" i="9"/>
  <c r="H339" i="9"/>
  <c r="O339" i="9" s="1"/>
  <c r="N338" i="9"/>
  <c r="L338" i="9"/>
  <c r="H338" i="9"/>
  <c r="N337" i="9"/>
  <c r="L337" i="9"/>
  <c r="H337" i="9"/>
  <c r="O337" i="9" s="1"/>
  <c r="L336" i="9"/>
  <c r="H336" i="9"/>
  <c r="O336" i="9" s="1"/>
  <c r="L335" i="9"/>
  <c r="H335" i="9"/>
  <c r="O335" i="9" s="1"/>
  <c r="N334" i="9"/>
  <c r="L334" i="9"/>
  <c r="H334" i="9"/>
  <c r="O334" i="9" s="1"/>
  <c r="N333" i="9"/>
  <c r="L333" i="9"/>
  <c r="H333" i="9"/>
  <c r="L332" i="9"/>
  <c r="H332" i="9"/>
  <c r="O332" i="9" s="1"/>
  <c r="L331" i="9"/>
  <c r="L340" i="9" s="1"/>
  <c r="L345" i="9" s="1"/>
  <c r="L348" i="9" s="1"/>
  <c r="H331" i="9"/>
  <c r="N280" i="9"/>
  <c r="L280" i="9"/>
  <c r="H280" i="9"/>
  <c r="L279" i="9"/>
  <c r="H279" i="9"/>
  <c r="N279" i="9" s="1"/>
  <c r="L278" i="9"/>
  <c r="H278" i="9"/>
  <c r="N277" i="9"/>
  <c r="K277" i="9"/>
  <c r="L277" i="9" s="1"/>
  <c r="H277" i="9"/>
  <c r="O277" i="9" s="1"/>
  <c r="G277" i="9"/>
  <c r="N276" i="9"/>
  <c r="K276" i="9"/>
  <c r="L276" i="9" s="1"/>
  <c r="G276" i="9"/>
  <c r="H276" i="9" s="1"/>
  <c r="O275" i="9"/>
  <c r="L275" i="9"/>
  <c r="H275" i="9"/>
  <c r="N275" i="9" s="1"/>
  <c r="O274" i="9"/>
  <c r="L274" i="9"/>
  <c r="H274" i="9"/>
  <c r="N274" i="9" s="1"/>
  <c r="L273" i="9"/>
  <c r="H273" i="9"/>
  <c r="N273" i="9" s="1"/>
  <c r="O273" i="9" s="1"/>
  <c r="O272" i="9"/>
  <c r="L272" i="9"/>
  <c r="H272" i="9"/>
  <c r="N272" i="9" s="1"/>
  <c r="L270" i="9"/>
  <c r="H270" i="9"/>
  <c r="N269" i="9"/>
  <c r="L269" i="9"/>
  <c r="H269" i="9"/>
  <c r="N267" i="9"/>
  <c r="L267" i="9"/>
  <c r="L266" i="9"/>
  <c r="H266" i="9"/>
  <c r="O266" i="9" s="1"/>
  <c r="L265" i="9"/>
  <c r="N265" i="9" s="1"/>
  <c r="H265" i="9"/>
  <c r="O265" i="9" s="1"/>
  <c r="N264" i="9"/>
  <c r="L264" i="9"/>
  <c r="H264" i="9"/>
  <c r="N262" i="9"/>
  <c r="L262" i="9"/>
  <c r="H262" i="9"/>
  <c r="O262" i="9" s="1"/>
  <c r="L261" i="9"/>
  <c r="N261" i="9" s="1"/>
  <c r="H261" i="9"/>
  <c r="N260" i="9"/>
  <c r="L260" i="9"/>
  <c r="H260" i="9"/>
  <c r="O260" i="9" s="1"/>
  <c r="L259" i="9"/>
  <c r="N259" i="9" s="1"/>
  <c r="H259" i="9"/>
  <c r="O259" i="9" s="1"/>
  <c r="L258" i="9"/>
  <c r="H258" i="9"/>
  <c r="O258" i="9" s="1"/>
  <c r="L257" i="9"/>
  <c r="N257" i="9" s="1"/>
  <c r="H257" i="9"/>
  <c r="O257" i="9" s="1"/>
  <c r="L256" i="9"/>
  <c r="H256" i="9"/>
  <c r="N256" i="9" s="1"/>
  <c r="L255" i="9"/>
  <c r="N255" i="9" s="1"/>
  <c r="H255" i="9"/>
  <c r="O255" i="9" s="1"/>
  <c r="N254" i="9"/>
  <c r="L254" i="9"/>
  <c r="H254" i="9"/>
  <c r="L203" i="9"/>
  <c r="N203" i="9" s="1"/>
  <c r="H203" i="9"/>
  <c r="N202" i="9"/>
  <c r="L202" i="9"/>
  <c r="H202" i="9"/>
  <c r="L201" i="9"/>
  <c r="N201" i="9" s="1"/>
  <c r="H201" i="9"/>
  <c r="N200" i="9"/>
  <c r="K200" i="9"/>
  <c r="L200" i="9" s="1"/>
  <c r="G200" i="9"/>
  <c r="H200" i="9" s="1"/>
  <c r="O200" i="9" s="1"/>
  <c r="O199" i="9"/>
  <c r="K199" i="9"/>
  <c r="L199" i="9" s="1"/>
  <c r="N199" i="9" s="1"/>
  <c r="G199" i="9"/>
  <c r="H199" i="9" s="1"/>
  <c r="L198" i="9"/>
  <c r="N198" i="9" s="1"/>
  <c r="H198" i="9"/>
  <c r="N197" i="9"/>
  <c r="L197" i="9"/>
  <c r="H197" i="9"/>
  <c r="O197" i="9" s="1"/>
  <c r="L196" i="9"/>
  <c r="N196" i="9" s="1"/>
  <c r="H196" i="9"/>
  <c r="L195" i="9"/>
  <c r="H195" i="9"/>
  <c r="L193" i="9"/>
  <c r="H193" i="9"/>
  <c r="L192" i="9"/>
  <c r="N192" i="9" s="1"/>
  <c r="H192" i="9"/>
  <c r="L190" i="9"/>
  <c r="N190" i="9" s="1"/>
  <c r="O189" i="9"/>
  <c r="L189" i="9"/>
  <c r="H189" i="9"/>
  <c r="N189" i="9" s="1"/>
  <c r="O188" i="9"/>
  <c r="L188" i="9"/>
  <c r="H188" i="9"/>
  <c r="N188" i="9" s="1"/>
  <c r="O187" i="9"/>
  <c r="L187" i="9"/>
  <c r="H187" i="9"/>
  <c r="N187" i="9" s="1"/>
  <c r="N185" i="9"/>
  <c r="L185" i="9"/>
  <c r="H185" i="9"/>
  <c r="O185" i="9" s="1"/>
  <c r="N184" i="9"/>
  <c r="L184" i="9"/>
  <c r="H184" i="9"/>
  <c r="L183" i="9"/>
  <c r="H183" i="9"/>
  <c r="O183" i="9" s="1"/>
  <c r="L182" i="9"/>
  <c r="H182" i="9"/>
  <c r="O182" i="9" s="1"/>
  <c r="N181" i="9"/>
  <c r="L181" i="9"/>
  <c r="H181" i="9"/>
  <c r="O181" i="9" s="1"/>
  <c r="N180" i="9"/>
  <c r="L180" i="9"/>
  <c r="H180" i="9"/>
  <c r="L179" i="9"/>
  <c r="H179" i="9"/>
  <c r="N179" i="9" s="1"/>
  <c r="L178" i="9"/>
  <c r="H178" i="9"/>
  <c r="O178" i="9" s="1"/>
  <c r="N177" i="9"/>
  <c r="L177" i="9"/>
  <c r="L186" i="9" s="1"/>
  <c r="L191" i="9" s="1"/>
  <c r="H177" i="9"/>
  <c r="O126" i="9"/>
  <c r="L126" i="9"/>
  <c r="N126" i="9" s="1"/>
  <c r="H126" i="9"/>
  <c r="O125" i="9"/>
  <c r="L125" i="9"/>
  <c r="N125" i="9" s="1"/>
  <c r="H125" i="9"/>
  <c r="L124" i="9"/>
  <c r="N124" i="9" s="1"/>
  <c r="O124" i="9" s="1"/>
  <c r="H124" i="9"/>
  <c r="L123" i="9"/>
  <c r="K123" i="9"/>
  <c r="H123" i="9"/>
  <c r="G123" i="9"/>
  <c r="L122" i="9"/>
  <c r="N122" i="9" s="1"/>
  <c r="K122" i="9"/>
  <c r="H122" i="9"/>
  <c r="O122" i="9" s="1"/>
  <c r="G122" i="9"/>
  <c r="O121" i="9"/>
  <c r="L121" i="9"/>
  <c r="N121" i="9" s="1"/>
  <c r="H121" i="9"/>
  <c r="O120" i="9"/>
  <c r="L120" i="9"/>
  <c r="N120" i="9" s="1"/>
  <c r="H120" i="9"/>
  <c r="L119" i="9"/>
  <c r="N119" i="9" s="1"/>
  <c r="O119" i="9" s="1"/>
  <c r="H119" i="9"/>
  <c r="O118" i="9"/>
  <c r="L118" i="9"/>
  <c r="N118" i="9" s="1"/>
  <c r="H118" i="9"/>
  <c r="L116" i="9"/>
  <c r="N116" i="9" s="1"/>
  <c r="O116" i="9" s="1"/>
  <c r="H116" i="9"/>
  <c r="O115" i="9"/>
  <c r="L115" i="9"/>
  <c r="N115" i="9" s="1"/>
  <c r="H115" i="9"/>
  <c r="N113" i="9"/>
  <c r="L113" i="9"/>
  <c r="O112" i="9"/>
  <c r="L112" i="9"/>
  <c r="N112" i="9" s="1"/>
  <c r="H112" i="9"/>
  <c r="O111" i="9"/>
  <c r="L111" i="9"/>
  <c r="N111" i="9" s="1"/>
  <c r="H111" i="9"/>
  <c r="L110" i="9"/>
  <c r="N110" i="9" s="1"/>
  <c r="O110" i="9" s="1"/>
  <c r="H110" i="9"/>
  <c r="O108" i="9"/>
  <c r="L108" i="9"/>
  <c r="N108" i="9" s="1"/>
  <c r="H108" i="9"/>
  <c r="L107" i="9"/>
  <c r="N107" i="9" s="1"/>
  <c r="O107" i="9" s="1"/>
  <c r="H107" i="9"/>
  <c r="O106" i="9"/>
  <c r="L106" i="9"/>
  <c r="N106" i="9" s="1"/>
  <c r="H106" i="9"/>
  <c r="O105" i="9"/>
  <c r="L105" i="9"/>
  <c r="N105" i="9" s="1"/>
  <c r="H105" i="9"/>
  <c r="O104" i="9"/>
  <c r="L104" i="9"/>
  <c r="N104" i="9" s="1"/>
  <c r="H104" i="9"/>
  <c r="L103" i="9"/>
  <c r="N103" i="9" s="1"/>
  <c r="O103" i="9" s="1"/>
  <c r="H103" i="9"/>
  <c r="O102" i="9"/>
  <c r="L102" i="9"/>
  <c r="N102" i="9" s="1"/>
  <c r="H102" i="9"/>
  <c r="O101" i="9"/>
  <c r="L101" i="9"/>
  <c r="N101" i="9" s="1"/>
  <c r="H101" i="9"/>
  <c r="L100" i="9"/>
  <c r="N100" i="9" s="1"/>
  <c r="O100" i="9" s="1"/>
  <c r="H100" i="9"/>
  <c r="H109" i="9" s="1"/>
  <c r="H114" i="9" s="1"/>
  <c r="H117" i="9" s="1"/>
  <c r="L49" i="9"/>
  <c r="H49" i="9"/>
  <c r="O48" i="9"/>
  <c r="L48" i="9"/>
  <c r="N48" i="9" s="1"/>
  <c r="H48" i="9"/>
  <c r="L47" i="9"/>
  <c r="N47" i="9" s="1"/>
  <c r="H47" i="9"/>
  <c r="O47" i="9" s="1"/>
  <c r="K46" i="9"/>
  <c r="L46" i="9" s="1"/>
  <c r="N46" i="9" s="1"/>
  <c r="H46" i="9"/>
  <c r="G46" i="9"/>
  <c r="L45" i="9"/>
  <c r="K45" i="9"/>
  <c r="G45" i="9"/>
  <c r="H45" i="9" s="1"/>
  <c r="L44" i="9"/>
  <c r="H44" i="9"/>
  <c r="O43" i="9"/>
  <c r="L43" i="9"/>
  <c r="N43" i="9" s="1"/>
  <c r="H43" i="9"/>
  <c r="L42" i="9"/>
  <c r="N42" i="9" s="1"/>
  <c r="H42" i="9"/>
  <c r="O42" i="9" s="1"/>
  <c r="L41" i="9"/>
  <c r="H41" i="9"/>
  <c r="O39" i="9"/>
  <c r="L39" i="9"/>
  <c r="N39" i="9" s="1"/>
  <c r="H39" i="9"/>
  <c r="L38" i="9"/>
  <c r="N38" i="9" s="1"/>
  <c r="H38" i="9"/>
  <c r="O38" i="9" s="1"/>
  <c r="H37" i="9"/>
  <c r="N36" i="9"/>
  <c r="L36" i="9"/>
  <c r="O35" i="9"/>
  <c r="N35" i="9"/>
  <c r="L35" i="9"/>
  <c r="H35" i="9"/>
  <c r="O34" i="9"/>
  <c r="N34" i="9"/>
  <c r="L34" i="9"/>
  <c r="H34" i="9"/>
  <c r="N33" i="9"/>
  <c r="O33" i="9" s="1"/>
  <c r="L33" i="9"/>
  <c r="H33" i="9"/>
  <c r="O31" i="9"/>
  <c r="L31" i="9"/>
  <c r="N31" i="9" s="1"/>
  <c r="H31" i="9"/>
  <c r="L30" i="9"/>
  <c r="N30" i="9" s="1"/>
  <c r="O30" i="9" s="1"/>
  <c r="H30" i="9"/>
  <c r="L29" i="9"/>
  <c r="N29" i="9" s="1"/>
  <c r="O29" i="9" s="1"/>
  <c r="H29" i="9"/>
  <c r="O28" i="9"/>
  <c r="L28" i="9"/>
  <c r="N28" i="9" s="1"/>
  <c r="H28" i="9"/>
  <c r="O27" i="9"/>
  <c r="L27" i="9"/>
  <c r="N27" i="9" s="1"/>
  <c r="H27" i="9"/>
  <c r="L26" i="9"/>
  <c r="N26" i="9" s="1"/>
  <c r="O26" i="9" s="1"/>
  <c r="H26" i="9"/>
  <c r="L25" i="9"/>
  <c r="N25" i="9" s="1"/>
  <c r="O25" i="9" s="1"/>
  <c r="H25" i="9"/>
  <c r="O24" i="9"/>
  <c r="L24" i="9"/>
  <c r="N24" i="9" s="1"/>
  <c r="H24" i="9"/>
  <c r="L23" i="9"/>
  <c r="L32" i="9" s="1"/>
  <c r="H23" i="9"/>
  <c r="H32" i="9" s="1"/>
  <c r="N32" i="9" l="1"/>
  <c r="O32" i="9" s="1"/>
  <c r="L37" i="9"/>
  <c r="O41" i="9"/>
  <c r="L359" i="9"/>
  <c r="L365" i="9"/>
  <c r="O45" i="9"/>
  <c r="N45" i="9"/>
  <c r="O46" i="9"/>
  <c r="O123" i="9"/>
  <c r="O270" i="9"/>
  <c r="O278" i="9"/>
  <c r="N23" i="9"/>
  <c r="O23" i="9" s="1"/>
  <c r="H40" i="9"/>
  <c r="N41" i="9"/>
  <c r="N123" i="9"/>
  <c r="O177" i="9"/>
  <c r="N183" i="9"/>
  <c r="L263" i="9"/>
  <c r="N266" i="9"/>
  <c r="O269" i="9"/>
  <c r="N332" i="9"/>
  <c r="N336" i="9"/>
  <c r="O338" i="9"/>
  <c r="N351" i="9"/>
  <c r="N353" i="9"/>
  <c r="O353" i="9" s="1"/>
  <c r="H186" i="9"/>
  <c r="N44" i="9"/>
  <c r="O44" i="9" s="1"/>
  <c r="N49" i="9"/>
  <c r="O49" i="9" s="1"/>
  <c r="L109" i="9"/>
  <c r="N178" i="9"/>
  <c r="O180" i="9"/>
  <c r="N182" i="9"/>
  <c r="O184" i="9"/>
  <c r="N193" i="9"/>
  <c r="O193" i="9" s="1"/>
  <c r="N195" i="9"/>
  <c r="O195" i="9" s="1"/>
  <c r="O202" i="9"/>
  <c r="O254" i="9"/>
  <c r="H263" i="9"/>
  <c r="N258" i="9"/>
  <c r="O264" i="9"/>
  <c r="N270" i="9"/>
  <c r="N278" i="9"/>
  <c r="O280" i="9"/>
  <c r="N331" i="9"/>
  <c r="O331" i="9" s="1"/>
  <c r="O333" i="9"/>
  <c r="N335" i="9"/>
  <c r="N339" i="9"/>
  <c r="O347" i="9"/>
  <c r="O349" i="9"/>
  <c r="N356" i="9"/>
  <c r="O356" i="9" s="1"/>
  <c r="H134" i="9"/>
  <c r="H128" i="9"/>
  <c r="O179" i="9"/>
  <c r="L194" i="9"/>
  <c r="O256" i="9"/>
  <c r="O279" i="9"/>
  <c r="H340" i="9"/>
  <c r="O192" i="9"/>
  <c r="O196" i="9"/>
  <c r="O203" i="9"/>
  <c r="O276" i="9"/>
  <c r="N340" i="9"/>
  <c r="O352" i="9"/>
  <c r="O355" i="9"/>
  <c r="N186" i="9"/>
  <c r="O198" i="9"/>
  <c r="O201" i="9"/>
  <c r="O261" i="9"/>
  <c r="O346" i="9"/>
  <c r="O350" i="9"/>
  <c r="O357" i="9"/>
  <c r="I73" i="6"/>
  <c r="K71" i="6"/>
  <c r="K70" i="6"/>
  <c r="K69" i="6"/>
  <c r="K68" i="6"/>
  <c r="K67" i="6"/>
  <c r="K66" i="6"/>
  <c r="I60" i="6"/>
  <c r="K58" i="6"/>
  <c r="K57" i="6"/>
  <c r="K56" i="6"/>
  <c r="K54" i="6"/>
  <c r="I48" i="6"/>
  <c r="K46" i="6"/>
  <c r="K45" i="6"/>
  <c r="K44" i="6"/>
  <c r="K43" i="6"/>
  <c r="J43" i="6"/>
  <c r="J55" i="6" s="1"/>
  <c r="K55" i="6" s="1"/>
  <c r="K42" i="6"/>
  <c r="I36" i="6"/>
  <c r="K34" i="6"/>
  <c r="K33" i="6"/>
  <c r="K32" i="6"/>
  <c r="K36" i="6" s="1"/>
  <c r="J31" i="6"/>
  <c r="K30" i="6"/>
  <c r="K24" i="6"/>
  <c r="I24" i="6"/>
  <c r="J24" i="6" s="1"/>
  <c r="K22" i="6"/>
  <c r="K21" i="6"/>
  <c r="J20" i="6"/>
  <c r="J19" i="6"/>
  <c r="K18" i="6"/>
  <c r="H129" i="9" l="1"/>
  <c r="L205" i="9"/>
  <c r="L211" i="9"/>
  <c r="N37" i="9"/>
  <c r="O37" i="9" s="1"/>
  <c r="L40" i="9"/>
  <c r="H345" i="9"/>
  <c r="O340" i="9"/>
  <c r="H268" i="9"/>
  <c r="H57" i="9"/>
  <c r="H51" i="9"/>
  <c r="H136" i="9"/>
  <c r="H135" i="9"/>
  <c r="L366" i="9"/>
  <c r="N109" i="9"/>
  <c r="O109" i="9" s="1"/>
  <c r="L114" i="9"/>
  <c r="O186" i="9"/>
  <c r="H191" i="9"/>
  <c r="L268" i="9"/>
  <c r="N263" i="9"/>
  <c r="O263" i="9" s="1"/>
  <c r="L361" i="9"/>
  <c r="L360" i="9"/>
  <c r="K48" i="6"/>
  <c r="J48" i="6" s="1"/>
  <c r="K73" i="6"/>
  <c r="J73" i="6" s="1"/>
  <c r="J36" i="6"/>
  <c r="K60" i="6"/>
  <c r="J60" i="6" s="1"/>
  <c r="H137" i="9" l="1"/>
  <c r="L207" i="9"/>
  <c r="L206" i="9"/>
  <c r="L271" i="9"/>
  <c r="N268" i="9"/>
  <c r="O268" i="9" s="1"/>
  <c r="L212" i="9"/>
  <c r="L213" i="9"/>
  <c r="L363" i="9"/>
  <c r="L362" i="9"/>
  <c r="H271" i="9"/>
  <c r="N40" i="9"/>
  <c r="O40" i="9" s="1"/>
  <c r="L57" i="9"/>
  <c r="L51" i="9"/>
  <c r="N114" i="9"/>
  <c r="O114" i="9" s="1"/>
  <c r="L117" i="9"/>
  <c r="H52" i="9"/>
  <c r="H53" i="9"/>
  <c r="H194" i="9"/>
  <c r="N191" i="9"/>
  <c r="O191" i="9" s="1"/>
  <c r="L367" i="9"/>
  <c r="H58" i="9"/>
  <c r="O345" i="9"/>
  <c r="H348" i="9"/>
  <c r="N345" i="9"/>
  <c r="H130" i="9"/>
  <c r="I28" i="50"/>
  <c r="I27" i="50"/>
  <c r="I29" i="50" s="1"/>
  <c r="I23" i="50"/>
  <c r="I22" i="50"/>
  <c r="I24" i="50" s="1"/>
  <c r="AA28" i="50"/>
  <c r="AA27" i="50"/>
  <c r="AA23" i="50"/>
  <c r="AA22" i="50"/>
  <c r="L368" i="9" l="1"/>
  <c r="L369" i="9" s="1"/>
  <c r="L134" i="9"/>
  <c r="N117" i="9"/>
  <c r="O117" i="9" s="1"/>
  <c r="L128" i="9"/>
  <c r="L214" i="9"/>
  <c r="L208" i="9"/>
  <c r="H131" i="9"/>
  <c r="H288" i="9"/>
  <c r="H282" i="9"/>
  <c r="L288" i="9"/>
  <c r="L282" i="9"/>
  <c r="N271" i="9"/>
  <c r="O271" i="9" s="1"/>
  <c r="H211" i="9"/>
  <c r="H205" i="9"/>
  <c r="N194" i="9"/>
  <c r="O194" i="9" s="1"/>
  <c r="H54" i="9"/>
  <c r="H55" i="9" s="1"/>
  <c r="N51" i="9"/>
  <c r="O51" i="9" s="1"/>
  <c r="L52" i="9"/>
  <c r="N52" i="9" s="1"/>
  <c r="H365" i="9"/>
  <c r="H359" i="9"/>
  <c r="N348" i="9"/>
  <c r="O348" i="9" s="1"/>
  <c r="H59" i="9"/>
  <c r="O52" i="9"/>
  <c r="N57" i="9"/>
  <c r="O57" i="9" s="1"/>
  <c r="L58" i="9"/>
  <c r="N58" i="9" s="1"/>
  <c r="O58" i="9" s="1"/>
  <c r="H138" i="9"/>
  <c r="W29" i="50"/>
  <c r="AC29" i="50" s="1"/>
  <c r="AG28" i="50"/>
  <c r="AG27" i="50"/>
  <c r="AC24" i="50"/>
  <c r="AA24" i="50"/>
  <c r="W24" i="50"/>
  <c r="AG23" i="50"/>
  <c r="AG22" i="50"/>
  <c r="AG24" i="50" s="1"/>
  <c r="AG1" i="50"/>
  <c r="L289" i="9" l="1"/>
  <c r="N289" i="9" s="1"/>
  <c r="N288" i="9"/>
  <c r="O288" i="9"/>
  <c r="H289" i="9"/>
  <c r="O289" i="9" s="1"/>
  <c r="L135" i="9"/>
  <c r="N135" i="9" s="1"/>
  <c r="O135" i="9" s="1"/>
  <c r="N134" i="9"/>
  <c r="O134" i="9" s="1"/>
  <c r="O359" i="9"/>
  <c r="H360" i="9"/>
  <c r="N359" i="9"/>
  <c r="O205" i="9"/>
  <c r="H206" i="9"/>
  <c r="N205" i="9"/>
  <c r="O365" i="9"/>
  <c r="H367" i="9"/>
  <c r="H366" i="9"/>
  <c r="N365" i="9"/>
  <c r="O211" i="9"/>
  <c r="H212" i="9"/>
  <c r="N211" i="9"/>
  <c r="H283" i="9"/>
  <c r="L209" i="9"/>
  <c r="N128" i="9"/>
  <c r="O128" i="9" s="1"/>
  <c r="L129" i="9"/>
  <c r="N129" i="9" s="1"/>
  <c r="O129" i="9" s="1"/>
  <c r="L130" i="9"/>
  <c r="L59" i="9"/>
  <c r="H60" i="9"/>
  <c r="L53" i="9"/>
  <c r="L283" i="9"/>
  <c r="N282" i="9"/>
  <c r="O282" i="9" s="1"/>
  <c r="H132" i="9"/>
  <c r="L215" i="9"/>
  <c r="AC31" i="50"/>
  <c r="AA29" i="50"/>
  <c r="AG29" i="50"/>
  <c r="AG31" i="50" s="1"/>
  <c r="N53" i="9" l="1"/>
  <c r="O53" i="9" s="1"/>
  <c r="L54" i="9"/>
  <c r="N54" i="9" s="1"/>
  <c r="O54" i="9" s="1"/>
  <c r="L55" i="9"/>
  <c r="N55" i="9" s="1"/>
  <c r="O55" i="9" s="1"/>
  <c r="N59" i="9"/>
  <c r="O59" i="9" s="1"/>
  <c r="L60" i="9"/>
  <c r="N60" i="9" s="1"/>
  <c r="O60" i="9" s="1"/>
  <c r="H369" i="9"/>
  <c r="H368" i="9"/>
  <c r="N367" i="9"/>
  <c r="O367" i="9" s="1"/>
  <c r="N206" i="9"/>
  <c r="O206" i="9" s="1"/>
  <c r="N360" i="9"/>
  <c r="O360" i="9" s="1"/>
  <c r="L136" i="9"/>
  <c r="L290" i="9"/>
  <c r="H284" i="9"/>
  <c r="N212" i="9"/>
  <c r="O212" i="9" s="1"/>
  <c r="H290" i="9"/>
  <c r="N130" i="9"/>
  <c r="O130" i="9" s="1"/>
  <c r="L131" i="9"/>
  <c r="N131" i="9" s="1"/>
  <c r="O131" i="9" s="1"/>
  <c r="N283" i="9"/>
  <c r="O283" i="9" s="1"/>
  <c r="L284" i="9"/>
  <c r="H61" i="9"/>
  <c r="H213" i="9"/>
  <c r="N366" i="9"/>
  <c r="O366" i="9" s="1"/>
  <c r="H207" i="9"/>
  <c r="H361" i="9"/>
  <c r="H50" i="62"/>
  <c r="H16" i="62"/>
  <c r="H33" i="62"/>
  <c r="H30" i="62"/>
  <c r="H29" i="62"/>
  <c r="H28" i="62"/>
  <c r="D29" i="62"/>
  <c r="D28" i="62"/>
  <c r="D17" i="59"/>
  <c r="D18" i="59"/>
  <c r="D20" i="59"/>
  <c r="D21" i="59"/>
  <c r="D22" i="59"/>
  <c r="D23" i="59"/>
  <c r="D24" i="59"/>
  <c r="D25" i="59"/>
  <c r="D26" i="59"/>
  <c r="D27" i="59"/>
  <c r="D31" i="59"/>
  <c r="D32" i="59"/>
  <c r="D33" i="59"/>
  <c r="D34" i="59"/>
  <c r="D35" i="59"/>
  <c r="D36" i="59"/>
  <c r="D37" i="59"/>
  <c r="D38" i="59"/>
  <c r="D39" i="59"/>
  <c r="D40" i="59"/>
  <c r="D41" i="59"/>
  <c r="D42" i="59"/>
  <c r="D43" i="59"/>
  <c r="D44" i="59"/>
  <c r="D45" i="59"/>
  <c r="D46" i="59"/>
  <c r="D47" i="59"/>
  <c r="D48" i="59"/>
  <c r="D49" i="59"/>
  <c r="D50" i="59"/>
  <c r="D51" i="59"/>
  <c r="D52" i="59"/>
  <c r="D53" i="59"/>
  <c r="D16" i="59"/>
  <c r="L285" i="9" l="1"/>
  <c r="N285" i="9" s="1"/>
  <c r="N284" i="9"/>
  <c r="O361" i="9"/>
  <c r="H362" i="9"/>
  <c r="H363" i="9"/>
  <c r="N361" i="9"/>
  <c r="O213" i="9"/>
  <c r="H214" i="9"/>
  <c r="N213" i="9"/>
  <c r="H285" i="9"/>
  <c r="O284" i="9"/>
  <c r="H208" i="9"/>
  <c r="N207" i="9"/>
  <c r="O207" i="9" s="1"/>
  <c r="L132" i="9"/>
  <c r="N132" i="9" s="1"/>
  <c r="O132" i="9" s="1"/>
  <c r="H292" i="9"/>
  <c r="O290" i="9"/>
  <c r="H291" i="9"/>
  <c r="O368" i="9"/>
  <c r="N368" i="9"/>
  <c r="L61" i="9"/>
  <c r="N61" i="9" s="1"/>
  <c r="O61" i="9" s="1"/>
  <c r="L291" i="9"/>
  <c r="N291" i="9" s="1"/>
  <c r="N290" i="9"/>
  <c r="O369" i="9"/>
  <c r="N369" i="9"/>
  <c r="L138" i="9"/>
  <c r="N138" i="9" s="1"/>
  <c r="O138" i="9" s="1"/>
  <c r="L137" i="9"/>
  <c r="N137" i="9" s="1"/>
  <c r="O137" i="9" s="1"/>
  <c r="N136" i="9"/>
  <c r="O136" i="9" s="1"/>
  <c r="G42" i="58"/>
  <c r="G16" i="58"/>
  <c r="G35" i="58"/>
  <c r="G31" i="58"/>
  <c r="F31" i="58"/>
  <c r="N208" i="9" l="1"/>
  <c r="O208" i="9" s="1"/>
  <c r="O285" i="9"/>
  <c r="L292" i="9"/>
  <c r="N292" i="9" s="1"/>
  <c r="O291" i="9"/>
  <c r="O214" i="9"/>
  <c r="N214" i="9"/>
  <c r="O363" i="9"/>
  <c r="N363" i="9"/>
  <c r="O292" i="9"/>
  <c r="H209" i="9"/>
  <c r="H286" i="9"/>
  <c r="H215" i="9"/>
  <c r="O362" i="9"/>
  <c r="N362" i="9"/>
  <c r="L286" i="9"/>
  <c r="N286" i="9" s="1"/>
  <c r="E30" i="58"/>
  <c r="E29" i="58"/>
  <c r="E28" i="58"/>
  <c r="O286" i="9" l="1"/>
  <c r="N209" i="9"/>
  <c r="O209" i="9" s="1"/>
  <c r="O215" i="9"/>
  <c r="N215" i="9"/>
  <c r="D30" i="58"/>
  <c r="D30" i="59" s="1"/>
  <c r="D29" i="58"/>
  <c r="D29" i="59" s="1"/>
  <c r="D28" i="58"/>
  <c r="D28" i="59" s="1"/>
  <c r="L56" i="58" l="1"/>
  <c r="E19" i="58"/>
  <c r="D19" i="59" s="1"/>
  <c r="G29" i="12" l="1"/>
  <c r="H35" i="105" l="1"/>
  <c r="H41" i="15" l="1"/>
  <c r="D32" i="14" l="1"/>
  <c r="K24" i="14" l="1"/>
  <c r="L31" i="14" l="1"/>
  <c r="L25" i="14"/>
  <c r="L24" i="14"/>
  <c r="L23" i="14"/>
  <c r="L22" i="14"/>
  <c r="L21" i="14"/>
  <c r="L20" i="14"/>
  <c r="L19" i="14"/>
  <c r="L18" i="14"/>
  <c r="L17" i="14"/>
  <c r="F16" i="14" l="1"/>
  <c r="L16" i="14" s="1"/>
  <c r="L28" i="14" s="1"/>
  <c r="O22" i="102" l="1"/>
  <c r="O25" i="102" s="1"/>
  <c r="M22" i="102"/>
  <c r="L22" i="102"/>
  <c r="N21" i="102"/>
  <c r="M26" i="102" l="1"/>
  <c r="M25" i="102"/>
  <c r="O26" i="102"/>
  <c r="R22" i="102"/>
  <c r="S21" i="102"/>
  <c r="S22" i="102" s="1"/>
  <c r="T21" i="102" l="1"/>
  <c r="K21" i="102"/>
  <c r="H21" i="102"/>
  <c r="J22" i="102"/>
  <c r="I22" i="102"/>
  <c r="T22" i="102" l="1"/>
  <c r="U21" i="102"/>
  <c r="G22" i="102"/>
  <c r="F22" i="102"/>
  <c r="D22" i="102"/>
  <c r="E21" i="102"/>
  <c r="C22" i="102"/>
  <c r="U22" i="102" l="1"/>
  <c r="V21" i="102"/>
  <c r="V22" i="102" s="1"/>
  <c r="J24" i="14"/>
  <c r="J24" i="58" l="1"/>
  <c r="P24" i="58" s="1"/>
  <c r="H29" i="12" l="1"/>
  <c r="L24" i="105"/>
  <c r="L19" i="105" l="1"/>
  <c r="L35" i="105" l="1"/>
  <c r="L34" i="105"/>
  <c r="L33" i="105"/>
  <c r="L32" i="105"/>
  <c r="L31" i="105"/>
  <c r="M31" i="105" s="1"/>
  <c r="L28" i="105"/>
  <c r="L27" i="105"/>
  <c r="L26" i="105"/>
  <c r="L25" i="105"/>
  <c r="L29" i="105" s="1"/>
  <c r="L21" i="105"/>
  <c r="L20" i="105"/>
  <c r="L18" i="105"/>
  <c r="L17" i="105"/>
  <c r="L16" i="105"/>
  <c r="L15" i="105"/>
  <c r="L22" i="105" s="1"/>
  <c r="B35" i="5" l="1"/>
  <c r="D21" i="23" l="1"/>
  <c r="G21" i="23" s="1"/>
  <c r="I21" i="23" s="1"/>
  <c r="D20" i="23"/>
  <c r="D22" i="23" l="1"/>
  <c r="H15" i="5"/>
  <c r="H44" i="5" s="1"/>
  <c r="H14" i="5"/>
  <c r="H43" i="5" s="1"/>
  <c r="G31" i="105" l="1"/>
  <c r="H29" i="105"/>
  <c r="G29" i="105"/>
  <c r="E29" i="105"/>
  <c r="D29" i="105"/>
  <c r="B39" i="105"/>
  <c r="F27" i="105"/>
  <c r="F29" i="105" s="1"/>
  <c r="C24" i="105"/>
  <c r="C29" i="105" s="1"/>
  <c r="E24" i="15" l="1"/>
  <c r="G24" i="15"/>
  <c r="K53" i="14" l="1"/>
  <c r="J55" i="14"/>
  <c r="J54" i="14"/>
  <c r="K54" i="14" s="1"/>
  <c r="H53" i="14"/>
  <c r="G53" i="14"/>
  <c r="F55" i="14"/>
  <c r="F54" i="14"/>
  <c r="E53" i="14"/>
  <c r="F53" i="14" s="1"/>
  <c r="L96" i="108" l="1"/>
  <c r="L93" i="108"/>
  <c r="L90" i="108"/>
  <c r="L89" i="108"/>
  <c r="L79" i="108"/>
  <c r="L83" i="108"/>
  <c r="N29" i="108" l="1"/>
  <c r="V23" i="102" l="1"/>
  <c r="Q23" i="102" l="1"/>
  <c r="J19" i="105" l="1"/>
  <c r="J18" i="105"/>
  <c r="I19" i="105"/>
  <c r="I18" i="105"/>
  <c r="G27" i="15" l="1"/>
  <c r="G20" i="15" l="1"/>
  <c r="E19" i="15" l="1"/>
  <c r="C16" i="15"/>
  <c r="C23" i="15"/>
  <c r="I12" i="14" l="1"/>
  <c r="E30" i="75" l="1"/>
  <c r="E29" i="75"/>
  <c r="E28" i="75"/>
  <c r="F24" i="75"/>
  <c r="F30" i="75" s="1"/>
  <c r="F23" i="75"/>
  <c r="F29" i="75" s="1"/>
  <c r="F17" i="64"/>
  <c r="F18" i="64"/>
  <c r="F19" i="64"/>
  <c r="F20" i="64"/>
  <c r="F21" i="64"/>
  <c r="F16" i="64"/>
  <c r="E17" i="64"/>
  <c r="E18" i="64"/>
  <c r="E19" i="64"/>
  <c r="E20" i="64"/>
  <c r="E21" i="64"/>
  <c r="E16" i="64"/>
  <c r="D17" i="64"/>
  <c r="D18" i="64"/>
  <c r="D19" i="64"/>
  <c r="D20" i="64"/>
  <c r="D21" i="64"/>
  <c r="D22" i="64"/>
  <c r="D23" i="64"/>
  <c r="D24" i="64"/>
  <c r="D25" i="64"/>
  <c r="D26" i="64"/>
  <c r="D27" i="64"/>
  <c r="D28" i="64"/>
  <c r="D29" i="64"/>
  <c r="D30" i="64"/>
  <c r="D31" i="64"/>
  <c r="D32" i="64"/>
  <c r="D34" i="64"/>
  <c r="D35" i="64"/>
  <c r="D36" i="64"/>
  <c r="D37" i="64"/>
  <c r="D38" i="64"/>
  <c r="D39" i="64"/>
  <c r="D41" i="64"/>
  <c r="D42" i="64"/>
  <c r="D43" i="64"/>
  <c r="D44" i="64"/>
  <c r="D45" i="64"/>
  <c r="D46" i="64"/>
  <c r="D47" i="64"/>
  <c r="D48" i="64"/>
  <c r="D49" i="64"/>
  <c r="D50" i="64"/>
  <c r="D51" i="64"/>
  <c r="D52" i="64"/>
  <c r="D53" i="64"/>
  <c r="D16" i="64"/>
  <c r="C17" i="64"/>
  <c r="C18" i="64"/>
  <c r="C19" i="64"/>
  <c r="C20" i="64"/>
  <c r="C21" i="64"/>
  <c r="C22" i="64"/>
  <c r="C23" i="64"/>
  <c r="C24" i="64"/>
  <c r="C25" i="64"/>
  <c r="C26" i="64"/>
  <c r="C27" i="64"/>
  <c r="C30" i="64"/>
  <c r="C31" i="64"/>
  <c r="C32" i="64"/>
  <c r="C33" i="64"/>
  <c r="C34" i="64"/>
  <c r="C35" i="64"/>
  <c r="C36" i="64"/>
  <c r="C37" i="64"/>
  <c r="C38" i="64"/>
  <c r="C39" i="64"/>
  <c r="C40" i="64"/>
  <c r="C41" i="64"/>
  <c r="C42" i="64"/>
  <c r="C43" i="64"/>
  <c r="C44" i="64"/>
  <c r="C45" i="64"/>
  <c r="C46" i="64"/>
  <c r="C47" i="64"/>
  <c r="C48" i="64"/>
  <c r="C49" i="64"/>
  <c r="C51" i="64"/>
  <c r="C52" i="64"/>
  <c r="C53" i="64"/>
  <c r="D40" i="64"/>
  <c r="D33" i="64"/>
  <c r="C50" i="64"/>
  <c r="C16" i="64"/>
  <c r="C29" i="64"/>
  <c r="C28" i="64"/>
  <c r="D30" i="73" l="1"/>
  <c r="D29" i="73"/>
  <c r="D28" i="73"/>
  <c r="E30" i="73"/>
  <c r="E29" i="73"/>
  <c r="D30" i="72"/>
  <c r="D29" i="72"/>
  <c r="C30" i="72"/>
  <c r="C29" i="72"/>
  <c r="C22" i="72"/>
  <c r="C28" i="72" s="1"/>
  <c r="E24" i="72"/>
  <c r="E30" i="72" s="1"/>
  <c r="E23" i="72"/>
  <c r="E29" i="72" s="1"/>
  <c r="K39" i="71"/>
  <c r="G39" i="71"/>
  <c r="F39" i="71"/>
  <c r="E39" i="71"/>
  <c r="J53" i="60" l="1"/>
  <c r="J18" i="58" l="1"/>
  <c r="P18" i="58" s="1"/>
  <c r="P30" i="108"/>
  <c r="J30" i="100" l="1"/>
  <c r="I30" i="100"/>
  <c r="J29" i="100"/>
  <c r="I29" i="100"/>
  <c r="J28" i="100"/>
  <c r="I28" i="100"/>
  <c r="D29" i="100"/>
  <c r="D30" i="100"/>
  <c r="D28" i="100"/>
  <c r="E30" i="100"/>
  <c r="E29" i="100"/>
  <c r="E28" i="100"/>
  <c r="H20" i="49" l="1"/>
  <c r="G20" i="49"/>
  <c r="F20" i="49"/>
  <c r="E20" i="49" l="1"/>
  <c r="D20" i="49"/>
  <c r="F17" i="15" l="1"/>
  <c r="N33" i="59" l="1"/>
  <c r="J24" i="59" l="1"/>
  <c r="N24" i="59"/>
  <c r="H88" i="54" l="1"/>
  <c r="G88" i="54"/>
  <c r="F88" i="54"/>
  <c r="E88" i="54"/>
  <c r="H92" i="98" l="1"/>
  <c r="G92" i="98"/>
  <c r="F92" i="98"/>
  <c r="E92" i="98"/>
  <c r="D92" i="98"/>
  <c r="H91" i="98"/>
  <c r="G91" i="98"/>
  <c r="F91" i="98"/>
  <c r="E91" i="98"/>
  <c r="D91" i="98"/>
  <c r="D79" i="98"/>
  <c r="F87" i="98"/>
  <c r="F89" i="98" s="1"/>
  <c r="Q22" i="98"/>
  <c r="N22" i="98"/>
  <c r="I22" i="98"/>
  <c r="I36" i="98" s="1"/>
  <c r="Q21" i="98"/>
  <c r="N21" i="98"/>
  <c r="E21" i="98"/>
  <c r="F1" i="98"/>
  <c r="H93" i="54"/>
  <c r="G93" i="54"/>
  <c r="F93" i="54"/>
  <c r="E93" i="54"/>
  <c r="D93" i="54"/>
  <c r="H92" i="54"/>
  <c r="G92" i="54"/>
  <c r="F92" i="54"/>
  <c r="E92" i="54"/>
  <c r="D92" i="54"/>
  <c r="H90" i="54"/>
  <c r="G90" i="54"/>
  <c r="F90" i="54"/>
  <c r="E90" i="54"/>
  <c r="D80" i="54"/>
  <c r="G77" i="54"/>
  <c r="E77" i="54"/>
  <c r="D88" i="54"/>
  <c r="D90" i="54" s="1"/>
  <c r="N22" i="54"/>
  <c r="L22" i="54"/>
  <c r="E22" i="54"/>
  <c r="N21" i="54"/>
  <c r="G1" i="54"/>
  <c r="G92" i="55"/>
  <c r="P21" i="98" s="1"/>
  <c r="F92" i="55"/>
  <c r="M21" i="98" s="1"/>
  <c r="E92" i="55"/>
  <c r="J21" i="98" s="1"/>
  <c r="K21" i="98" s="1"/>
  <c r="D92" i="55"/>
  <c r="G21" i="98" s="1"/>
  <c r="H21" i="98" s="1"/>
  <c r="C92" i="55"/>
  <c r="D21" i="98" s="1"/>
  <c r="G91" i="55"/>
  <c r="P22" i="98" s="1"/>
  <c r="F91" i="55"/>
  <c r="M22" i="98" s="1"/>
  <c r="O22" i="98" s="1"/>
  <c r="O36" i="98" s="1"/>
  <c r="E91" i="55"/>
  <c r="J22" i="98" s="1"/>
  <c r="D91" i="55"/>
  <c r="G22" i="98" s="1"/>
  <c r="C91" i="55"/>
  <c r="D22" i="98" s="1"/>
  <c r="G90" i="55"/>
  <c r="H71" i="98" s="1"/>
  <c r="H87" i="98" s="1"/>
  <c r="H89" i="98" s="1"/>
  <c r="F90" i="55"/>
  <c r="G71" i="98" s="1"/>
  <c r="G87" i="98" s="1"/>
  <c r="G89" i="98" s="1"/>
  <c r="E90" i="55"/>
  <c r="F71" i="98" s="1"/>
  <c r="F76" i="98" s="1"/>
  <c r="D90" i="55"/>
  <c r="E71" i="98" s="1"/>
  <c r="E76" i="98" s="1"/>
  <c r="C90" i="55"/>
  <c r="D71" i="98" s="1"/>
  <c r="D87" i="98" s="1"/>
  <c r="G55" i="55"/>
  <c r="P21" i="54" s="1"/>
  <c r="Q21" i="54" s="1"/>
  <c r="F55" i="55"/>
  <c r="M21" i="54" s="1"/>
  <c r="E55" i="55"/>
  <c r="J21" i="54" s="1"/>
  <c r="K21" i="54" s="1"/>
  <c r="D55" i="55"/>
  <c r="G21" i="54" s="1"/>
  <c r="H21" i="54" s="1"/>
  <c r="C55" i="55"/>
  <c r="D21" i="54" s="1"/>
  <c r="E21" i="54" s="1"/>
  <c r="G54" i="55"/>
  <c r="P22" i="54" s="1"/>
  <c r="Q22" i="54" s="1"/>
  <c r="F54" i="55"/>
  <c r="M22" i="54" s="1"/>
  <c r="O22" i="54" s="1"/>
  <c r="O36" i="54" s="1"/>
  <c r="E54" i="55"/>
  <c r="J22" i="54" s="1"/>
  <c r="D54" i="55"/>
  <c r="G22" i="54" s="1"/>
  <c r="I22" i="54" s="1"/>
  <c r="I36" i="54" s="1"/>
  <c r="C54" i="55"/>
  <c r="D22" i="54" s="1"/>
  <c r="G53" i="55"/>
  <c r="H72" i="54" s="1"/>
  <c r="H77" i="54" s="1"/>
  <c r="F53" i="55"/>
  <c r="G72" i="54" s="1"/>
  <c r="E53" i="55"/>
  <c r="F72" i="54" s="1"/>
  <c r="F77" i="54" s="1"/>
  <c r="D53" i="55"/>
  <c r="E72" i="54" s="1"/>
  <c r="C53" i="55"/>
  <c r="D72" i="54" s="1"/>
  <c r="G1" i="55"/>
  <c r="Q36" i="54" l="1"/>
  <c r="N36" i="98"/>
  <c r="G76" i="98"/>
  <c r="H22" i="54"/>
  <c r="H36" i="54" s="1"/>
  <c r="E87" i="98"/>
  <c r="E89" i="98" s="1"/>
  <c r="R22" i="54"/>
  <c r="R36" i="54" s="1"/>
  <c r="N36" i="54"/>
  <c r="E22" i="98"/>
  <c r="E23" i="98" s="1"/>
  <c r="F22" i="98"/>
  <c r="L22" i="98"/>
  <c r="K22" i="98"/>
  <c r="K23" i="98" s="1"/>
  <c r="Q36" i="98"/>
  <c r="Q23" i="98"/>
  <c r="D89" i="98"/>
  <c r="D88" i="98"/>
  <c r="D76" i="98"/>
  <c r="D77" i="98" s="1"/>
  <c r="N23" i="98"/>
  <c r="O23" i="98"/>
  <c r="D72" i="98"/>
  <c r="H23" i="98"/>
  <c r="I23" i="98"/>
  <c r="H22" i="98"/>
  <c r="H36" i="98" s="1"/>
  <c r="R22" i="98"/>
  <c r="H76" i="98"/>
  <c r="E36" i="54"/>
  <c r="E23" i="54"/>
  <c r="L23" i="54"/>
  <c r="L36" i="54"/>
  <c r="N23" i="54"/>
  <c r="F22" i="54"/>
  <c r="K22" i="54"/>
  <c r="K36" i="54" s="1"/>
  <c r="O23" i="54"/>
  <c r="D73" i="54"/>
  <c r="I23" i="54"/>
  <c r="Q23" i="54"/>
  <c r="D77" i="54"/>
  <c r="D89" i="54"/>
  <c r="H23" i="54" l="1"/>
  <c r="E36" i="98"/>
  <c r="R23" i="54"/>
  <c r="K36" i="98"/>
  <c r="E74" i="98"/>
  <c r="D37" i="98"/>
  <c r="L36" i="98"/>
  <c r="L23" i="98"/>
  <c r="F23" i="98"/>
  <c r="F36" i="98"/>
  <c r="R23" i="98"/>
  <c r="R36" i="98"/>
  <c r="D80" i="98"/>
  <c r="E70" i="98"/>
  <c r="D90" i="98"/>
  <c r="D93" i="98" s="1"/>
  <c r="D91" i="54"/>
  <c r="D94" i="54" s="1"/>
  <c r="F23" i="54"/>
  <c r="F36" i="54"/>
  <c r="K23" i="54"/>
  <c r="D78" i="54"/>
  <c r="E75" i="54" s="1"/>
  <c r="D37" i="54"/>
  <c r="E71" i="54"/>
  <c r="F51" i="14"/>
  <c r="G51" i="14"/>
  <c r="H51" i="14"/>
  <c r="I51" i="14"/>
  <c r="J51" i="14"/>
  <c r="K51" i="14"/>
  <c r="E51" i="14"/>
  <c r="I49" i="14"/>
  <c r="K49" i="14"/>
  <c r="E75" i="98" l="1"/>
  <c r="G37" i="98" s="1"/>
  <c r="E72" i="98"/>
  <c r="F37" i="98"/>
  <c r="F56" i="98" s="1"/>
  <c r="E37" i="98"/>
  <c r="E56" i="98" s="1"/>
  <c r="E79" i="98"/>
  <c r="D81" i="98"/>
  <c r="D20" i="98" s="1"/>
  <c r="E77" i="98"/>
  <c r="F74" i="98" s="1"/>
  <c r="F57" i="98"/>
  <c r="E57" i="98"/>
  <c r="D94" i="98"/>
  <c r="E86" i="98" s="1"/>
  <c r="E88" i="98" s="1"/>
  <c r="F37" i="54"/>
  <c r="F56" i="54" s="1"/>
  <c r="E37" i="54"/>
  <c r="E56" i="54" s="1"/>
  <c r="F57" i="54"/>
  <c r="E57" i="54"/>
  <c r="E76" i="54"/>
  <c r="G37" i="54" s="1"/>
  <c r="E73" i="54"/>
  <c r="D95" i="54"/>
  <c r="E87" i="54" s="1"/>
  <c r="E89" i="54" s="1"/>
  <c r="D81" i="54"/>
  <c r="B17" i="76"/>
  <c r="C17" i="75"/>
  <c r="B17" i="74"/>
  <c r="B17" i="73"/>
  <c r="B17" i="72"/>
  <c r="E78" i="54" l="1"/>
  <c r="F75" i="54" s="1"/>
  <c r="E90" i="98"/>
  <c r="E93" i="98" s="1"/>
  <c r="F20" i="98"/>
  <c r="F24" i="98" s="1"/>
  <c r="E20" i="98"/>
  <c r="E24" i="98" s="1"/>
  <c r="F70" i="98"/>
  <c r="E80" i="98"/>
  <c r="F79" i="98" s="1"/>
  <c r="I37" i="98"/>
  <c r="I56" i="98" s="1"/>
  <c r="H37" i="98"/>
  <c r="H56" i="98" s="1"/>
  <c r="E81" i="54"/>
  <c r="F80" i="54" s="1"/>
  <c r="F71" i="54"/>
  <c r="H37" i="54"/>
  <c r="H56" i="54" s="1"/>
  <c r="I37" i="54"/>
  <c r="I56" i="54" s="1"/>
  <c r="E80" i="54"/>
  <c r="E82" i="54" s="1"/>
  <c r="G20" i="54" s="1"/>
  <c r="D82" i="54"/>
  <c r="D20" i="54" s="1"/>
  <c r="E91" i="54"/>
  <c r="E94" i="54" s="1"/>
  <c r="I57" i="98" l="1"/>
  <c r="H57" i="98"/>
  <c r="F75" i="98"/>
  <c r="F72" i="98"/>
  <c r="E94" i="98"/>
  <c r="F86" i="98" s="1"/>
  <c r="F88" i="98" s="1"/>
  <c r="E28" i="98"/>
  <c r="E32" i="98" s="1"/>
  <c r="E27" i="98"/>
  <c r="E31" i="98" s="1"/>
  <c r="E29" i="98"/>
  <c r="E33" i="98" s="1"/>
  <c r="E55" i="98" s="1"/>
  <c r="E58" i="98" s="1"/>
  <c r="E62" i="98" s="1"/>
  <c r="E64" i="98" s="1"/>
  <c r="E65" i="98" s="1"/>
  <c r="E38" i="98" s="1"/>
  <c r="E81" i="98"/>
  <c r="G20" i="98" s="1"/>
  <c r="F29" i="98"/>
  <c r="F33" i="98" s="1"/>
  <c r="F55" i="98" s="1"/>
  <c r="F58" i="98" s="1"/>
  <c r="F62" i="98" s="1"/>
  <c r="F64" i="98" s="1"/>
  <c r="F65" i="98" s="1"/>
  <c r="F38" i="98" s="1"/>
  <c r="F28" i="98"/>
  <c r="F32" i="98" s="1"/>
  <c r="F27" i="98"/>
  <c r="F31" i="98" s="1"/>
  <c r="F20" i="54"/>
  <c r="F24" i="54" s="1"/>
  <c r="E20" i="54"/>
  <c r="E24" i="54" s="1"/>
  <c r="I20" i="54"/>
  <c r="I24" i="54" s="1"/>
  <c r="H20" i="54"/>
  <c r="H24" i="54" s="1"/>
  <c r="F76" i="54"/>
  <c r="F73" i="54"/>
  <c r="I57" i="54"/>
  <c r="H57" i="54"/>
  <c r="E95" i="54"/>
  <c r="F87" i="54" s="1"/>
  <c r="F89" i="54" s="1"/>
  <c r="N80" i="108"/>
  <c r="P80" i="108"/>
  <c r="N81" i="108"/>
  <c r="P81" i="108"/>
  <c r="N82" i="108"/>
  <c r="P82" i="108"/>
  <c r="N83" i="108"/>
  <c r="P83" i="108"/>
  <c r="N84" i="108"/>
  <c r="P84" i="108"/>
  <c r="N85" i="108"/>
  <c r="P85" i="108"/>
  <c r="N86" i="108"/>
  <c r="P86" i="108"/>
  <c r="N87" i="108"/>
  <c r="P87" i="108"/>
  <c r="N88" i="108"/>
  <c r="P88" i="108"/>
  <c r="N89" i="108"/>
  <c r="P89" i="108"/>
  <c r="N90" i="108"/>
  <c r="P90" i="108"/>
  <c r="N91" i="108"/>
  <c r="P91" i="108"/>
  <c r="N92" i="108"/>
  <c r="P92" i="108"/>
  <c r="N93" i="108"/>
  <c r="P93" i="108"/>
  <c r="N94" i="108"/>
  <c r="P94" i="108"/>
  <c r="N95" i="108"/>
  <c r="P95" i="108"/>
  <c r="N96" i="108"/>
  <c r="P96" i="108"/>
  <c r="N97" i="108"/>
  <c r="P97" i="108"/>
  <c r="N98" i="108"/>
  <c r="P98" i="108"/>
  <c r="N99" i="108"/>
  <c r="P99" i="108"/>
  <c r="N100" i="108"/>
  <c r="P100" i="108"/>
  <c r="N101" i="108"/>
  <c r="P101" i="108"/>
  <c r="N102" i="108"/>
  <c r="P102" i="108"/>
  <c r="N103" i="108"/>
  <c r="P103" i="108"/>
  <c r="P79" i="108"/>
  <c r="N79" i="108"/>
  <c r="E34" i="98" l="1"/>
  <c r="E40" i="98" s="1"/>
  <c r="J37" i="98"/>
  <c r="F77" i="98"/>
  <c r="G74" i="98" s="1"/>
  <c r="I20" i="98"/>
  <c r="I24" i="98" s="1"/>
  <c r="H20" i="98"/>
  <c r="H24" i="98" s="1"/>
  <c r="F90" i="98"/>
  <c r="F93" i="98" s="1"/>
  <c r="F34" i="98"/>
  <c r="F40" i="98" s="1"/>
  <c r="F43" i="98" s="1"/>
  <c r="F45" i="98" s="1"/>
  <c r="G70" i="98"/>
  <c r="I28" i="54"/>
  <c r="I32" i="54" s="1"/>
  <c r="I27" i="54"/>
  <c r="I31" i="54" s="1"/>
  <c r="I29" i="54"/>
  <c r="I33" i="54" s="1"/>
  <c r="I55" i="54" s="1"/>
  <c r="I58" i="54" s="1"/>
  <c r="I62" i="54" s="1"/>
  <c r="I64" i="54" s="1"/>
  <c r="I65" i="54" s="1"/>
  <c r="I38" i="54" s="1"/>
  <c r="F91" i="54"/>
  <c r="F94" i="54" s="1"/>
  <c r="G71" i="54"/>
  <c r="E28" i="54"/>
  <c r="E32" i="54" s="1"/>
  <c r="E27" i="54"/>
  <c r="E31" i="54" s="1"/>
  <c r="E29" i="54"/>
  <c r="E33" i="54" s="1"/>
  <c r="E55" i="54" s="1"/>
  <c r="E58" i="54" s="1"/>
  <c r="E62" i="54" s="1"/>
  <c r="E64" i="54" s="1"/>
  <c r="E65" i="54" s="1"/>
  <c r="E38" i="54" s="1"/>
  <c r="J37" i="54"/>
  <c r="F78" i="54"/>
  <c r="G75" i="54" s="1"/>
  <c r="F27" i="54"/>
  <c r="F31" i="54" s="1"/>
  <c r="F29" i="54"/>
  <c r="F33" i="54" s="1"/>
  <c r="F55" i="54" s="1"/>
  <c r="F58" i="54" s="1"/>
  <c r="F62" i="54" s="1"/>
  <c r="F64" i="54" s="1"/>
  <c r="F65" i="54" s="1"/>
  <c r="F38" i="54" s="1"/>
  <c r="F28" i="54"/>
  <c r="F32" i="54" s="1"/>
  <c r="H29" i="54"/>
  <c r="H33" i="54" s="1"/>
  <c r="H55" i="54" s="1"/>
  <c r="H58" i="54" s="1"/>
  <c r="H62" i="54" s="1"/>
  <c r="H64" i="54" s="1"/>
  <c r="H65" i="54" s="1"/>
  <c r="H38" i="54" s="1"/>
  <c r="H27" i="54"/>
  <c r="H31" i="54" s="1"/>
  <c r="H28" i="54"/>
  <c r="H32" i="54" s="1"/>
  <c r="Q20" i="102"/>
  <c r="Q19" i="102"/>
  <c r="Q18" i="102"/>
  <c r="Q17" i="102"/>
  <c r="N23" i="102"/>
  <c r="N20" i="102"/>
  <c r="N19" i="102"/>
  <c r="N18" i="102"/>
  <c r="N17" i="102"/>
  <c r="K23" i="102"/>
  <c r="K20" i="102"/>
  <c r="K19" i="102"/>
  <c r="K18" i="102"/>
  <c r="K17" i="102"/>
  <c r="H23" i="102"/>
  <c r="H20" i="102"/>
  <c r="H19" i="102"/>
  <c r="H18" i="102"/>
  <c r="H17" i="102"/>
  <c r="E20" i="102"/>
  <c r="E23" i="102"/>
  <c r="E18" i="102"/>
  <c r="E19" i="102"/>
  <c r="E17" i="102"/>
  <c r="F34" i="54" l="1"/>
  <c r="F40" i="54" s="1"/>
  <c r="F43" i="54" s="1"/>
  <c r="F45" i="54" s="1"/>
  <c r="H34" i="54"/>
  <c r="H40" i="54" s="1"/>
  <c r="E34" i="54"/>
  <c r="E40" i="54" s="1"/>
  <c r="L57" i="98"/>
  <c r="K57" i="98"/>
  <c r="G75" i="98"/>
  <c r="M37" i="98" s="1"/>
  <c r="G72" i="98"/>
  <c r="F94" i="98"/>
  <c r="G86" i="98" s="1"/>
  <c r="G88" i="98" s="1"/>
  <c r="L37" i="98"/>
  <c r="L56" i="98" s="1"/>
  <c r="K37" i="98"/>
  <c r="K56" i="98" s="1"/>
  <c r="F80" i="98"/>
  <c r="H29" i="98"/>
  <c r="H33" i="98" s="1"/>
  <c r="H55" i="98" s="1"/>
  <c r="H58" i="98" s="1"/>
  <c r="H62" i="98" s="1"/>
  <c r="H64" i="98" s="1"/>
  <c r="H65" i="98" s="1"/>
  <c r="H38" i="98" s="1"/>
  <c r="H27" i="98"/>
  <c r="H31" i="98" s="1"/>
  <c r="H28" i="98"/>
  <c r="H32" i="98" s="1"/>
  <c r="I28" i="98"/>
  <c r="I32" i="98" s="1"/>
  <c r="I27" i="98"/>
  <c r="I31" i="98" s="1"/>
  <c r="I29" i="98"/>
  <c r="I33" i="98" s="1"/>
  <c r="I55" i="98" s="1"/>
  <c r="I58" i="98" s="1"/>
  <c r="I62" i="98" s="1"/>
  <c r="I64" i="98" s="1"/>
  <c r="I65" i="98" s="1"/>
  <c r="I38" i="98" s="1"/>
  <c r="L57" i="54"/>
  <c r="K57" i="54"/>
  <c r="F95" i="54"/>
  <c r="G87" i="54" s="1"/>
  <c r="G89" i="54" s="1"/>
  <c r="L37" i="54"/>
  <c r="L56" i="54" s="1"/>
  <c r="K37" i="54"/>
  <c r="K56" i="54" s="1"/>
  <c r="G73" i="54"/>
  <c r="G76" i="54"/>
  <c r="M37" i="54" s="1"/>
  <c r="F81" i="54"/>
  <c r="I34" i="54"/>
  <c r="I40" i="54" s="1"/>
  <c r="I43" i="54" s="1"/>
  <c r="I45" i="54" s="1"/>
  <c r="N63" i="108"/>
  <c r="P63" i="108"/>
  <c r="N64" i="108"/>
  <c r="P64" i="108"/>
  <c r="N65" i="108"/>
  <c r="P65" i="108"/>
  <c r="N66" i="108"/>
  <c r="P66" i="108"/>
  <c r="N67" i="108"/>
  <c r="P67" i="108"/>
  <c r="N68" i="108"/>
  <c r="P68" i="108"/>
  <c r="N69" i="108"/>
  <c r="P69" i="108"/>
  <c r="N70" i="108"/>
  <c r="P70" i="108"/>
  <c r="N71" i="108"/>
  <c r="P71" i="108"/>
  <c r="N72" i="108"/>
  <c r="P72" i="108"/>
  <c r="P1" i="108"/>
  <c r="N46" i="108"/>
  <c r="P46" i="108"/>
  <c r="N47" i="108"/>
  <c r="P47" i="108"/>
  <c r="N48" i="108"/>
  <c r="P48" i="108"/>
  <c r="N49" i="108"/>
  <c r="P49" i="108"/>
  <c r="N50" i="108"/>
  <c r="P50" i="108"/>
  <c r="N51" i="108"/>
  <c r="P51" i="108"/>
  <c r="N52" i="108"/>
  <c r="P52" i="108"/>
  <c r="N53" i="108"/>
  <c r="P53" i="108"/>
  <c r="N54" i="108"/>
  <c r="P54" i="108"/>
  <c r="N55" i="108"/>
  <c r="P55" i="108"/>
  <c r="N56" i="108"/>
  <c r="P56" i="108"/>
  <c r="N57" i="108"/>
  <c r="P57" i="108"/>
  <c r="N58" i="108"/>
  <c r="P58" i="108"/>
  <c r="N59" i="108"/>
  <c r="P59" i="108"/>
  <c r="N60" i="108"/>
  <c r="P60" i="108"/>
  <c r="N61" i="108"/>
  <c r="P61" i="108"/>
  <c r="N62" i="108"/>
  <c r="P62" i="108"/>
  <c r="P18" i="108"/>
  <c r="P19" i="108"/>
  <c r="P20" i="108"/>
  <c r="P21" i="108"/>
  <c r="P22" i="108"/>
  <c r="P23" i="108"/>
  <c r="P24" i="108"/>
  <c r="P25" i="108"/>
  <c r="P26" i="108"/>
  <c r="P27" i="108"/>
  <c r="P28" i="108"/>
  <c r="P29" i="108"/>
  <c r="P31" i="108"/>
  <c r="P32" i="108"/>
  <c r="P33" i="108"/>
  <c r="P34" i="108"/>
  <c r="P35" i="108"/>
  <c r="P36" i="108"/>
  <c r="P37" i="108"/>
  <c r="P38" i="108"/>
  <c r="P39" i="108"/>
  <c r="P40" i="108"/>
  <c r="P41" i="108"/>
  <c r="P42" i="108"/>
  <c r="P43" i="108"/>
  <c r="P44" i="108"/>
  <c r="P45" i="108"/>
  <c r="P17" i="108"/>
  <c r="N18" i="108"/>
  <c r="N19" i="108"/>
  <c r="N20" i="108"/>
  <c r="N21" i="108"/>
  <c r="N22" i="108"/>
  <c r="N23" i="108"/>
  <c r="N24" i="108"/>
  <c r="N25" i="108"/>
  <c r="N26" i="108"/>
  <c r="N27" i="108"/>
  <c r="N28" i="108"/>
  <c r="N30" i="108"/>
  <c r="N31" i="108"/>
  <c r="N32" i="108"/>
  <c r="N33" i="108"/>
  <c r="N34" i="108"/>
  <c r="N35" i="108"/>
  <c r="N36" i="108"/>
  <c r="N37" i="108"/>
  <c r="N38" i="108"/>
  <c r="N39" i="108"/>
  <c r="N40" i="108"/>
  <c r="N41" i="108"/>
  <c r="N42" i="108"/>
  <c r="N43" i="108"/>
  <c r="N44" i="108"/>
  <c r="N45" i="108"/>
  <c r="N17" i="108"/>
  <c r="J43" i="105"/>
  <c r="I43" i="105"/>
  <c r="J42" i="105"/>
  <c r="I42" i="105"/>
  <c r="J41" i="105"/>
  <c r="I41" i="105"/>
  <c r="J40" i="105"/>
  <c r="I40" i="105"/>
  <c r="H34" i="98" l="1"/>
  <c r="H40" i="98" s="1"/>
  <c r="G77" i="98"/>
  <c r="H74" i="98" s="1"/>
  <c r="G78" i="54"/>
  <c r="H75" i="54" s="1"/>
  <c r="I34" i="98"/>
  <c r="I40" i="98" s="1"/>
  <c r="I43" i="98" s="1"/>
  <c r="I45" i="98" s="1"/>
  <c r="G90" i="98"/>
  <c r="G93" i="98" s="1"/>
  <c r="G94" i="98" s="1"/>
  <c r="H86" i="98" s="1"/>
  <c r="H88" i="98" s="1"/>
  <c r="G79" i="98"/>
  <c r="G81" i="98" s="1"/>
  <c r="M20" i="98" s="1"/>
  <c r="F81" i="98"/>
  <c r="J20" i="98" s="1"/>
  <c r="H70" i="98"/>
  <c r="G80" i="98"/>
  <c r="H79" i="98" s="1"/>
  <c r="N37" i="98"/>
  <c r="N56" i="98" s="1"/>
  <c r="O37" i="98"/>
  <c r="O56" i="98" s="1"/>
  <c r="H71" i="54"/>
  <c r="G80" i="54"/>
  <c r="F82" i="54"/>
  <c r="J20" i="54" s="1"/>
  <c r="N37" i="54"/>
  <c r="N56" i="54" s="1"/>
  <c r="O37" i="54"/>
  <c r="O56" i="54" s="1"/>
  <c r="G91" i="54"/>
  <c r="G94" i="54" s="1"/>
  <c r="G81" i="54" l="1"/>
  <c r="H80" i="54" s="1"/>
  <c r="H75" i="98"/>
  <c r="H72" i="98"/>
  <c r="H90" i="98"/>
  <c r="H93" i="98" s="1"/>
  <c r="H94" i="98" s="1"/>
  <c r="L20" i="98"/>
  <c r="L24" i="98" s="1"/>
  <c r="K20" i="98"/>
  <c r="K24" i="98" s="1"/>
  <c r="N20" i="98"/>
  <c r="N24" i="98" s="1"/>
  <c r="O20" i="98"/>
  <c r="O24" i="98" s="1"/>
  <c r="O57" i="98"/>
  <c r="N57" i="98"/>
  <c r="O57" i="54"/>
  <c r="N57" i="54"/>
  <c r="L20" i="54"/>
  <c r="L24" i="54" s="1"/>
  <c r="K20" i="54"/>
  <c r="K24" i="54" s="1"/>
  <c r="H76" i="54"/>
  <c r="H73" i="54"/>
  <c r="G95" i="54"/>
  <c r="H87" i="54" s="1"/>
  <c r="H89" i="54" s="1"/>
  <c r="G82" i="54" l="1"/>
  <c r="M20" i="54" s="1"/>
  <c r="N29" i="98"/>
  <c r="N33" i="98" s="1"/>
  <c r="N55" i="98" s="1"/>
  <c r="N58" i="98" s="1"/>
  <c r="N62" i="98" s="1"/>
  <c r="N64" i="98" s="1"/>
  <c r="N65" i="98" s="1"/>
  <c r="N38" i="98" s="1"/>
  <c r="N27" i="98"/>
  <c r="N31" i="98" s="1"/>
  <c r="N28" i="98"/>
  <c r="N32" i="98" s="1"/>
  <c r="K28" i="98"/>
  <c r="K32" i="98" s="1"/>
  <c r="K27" i="98"/>
  <c r="K31" i="98" s="1"/>
  <c r="K29" i="98"/>
  <c r="K33" i="98" s="1"/>
  <c r="K55" i="98" s="1"/>
  <c r="K58" i="98" s="1"/>
  <c r="K62" i="98" s="1"/>
  <c r="K64" i="98" s="1"/>
  <c r="K65" i="98" s="1"/>
  <c r="K38" i="98" s="1"/>
  <c r="L27" i="98"/>
  <c r="L31" i="98" s="1"/>
  <c r="L29" i="98"/>
  <c r="L33" i="98" s="1"/>
  <c r="L55" i="98" s="1"/>
  <c r="L58" i="98" s="1"/>
  <c r="L62" i="98" s="1"/>
  <c r="L64" i="98" s="1"/>
  <c r="L65" i="98" s="1"/>
  <c r="L38" i="98" s="1"/>
  <c r="L28" i="98"/>
  <c r="L32" i="98" s="1"/>
  <c r="P37" i="98"/>
  <c r="H77" i="98"/>
  <c r="H80" i="98" s="1"/>
  <c r="H81" i="98" s="1"/>
  <c r="P20" i="98" s="1"/>
  <c r="O29" i="98"/>
  <c r="O33" i="98" s="1"/>
  <c r="O55" i="98" s="1"/>
  <c r="O58" i="98" s="1"/>
  <c r="O62" i="98" s="1"/>
  <c r="O64" i="98" s="1"/>
  <c r="O65" i="98" s="1"/>
  <c r="O38" i="98" s="1"/>
  <c r="O28" i="98"/>
  <c r="O32" i="98" s="1"/>
  <c r="O27" i="98"/>
  <c r="O31" i="98" s="1"/>
  <c r="R57" i="98"/>
  <c r="Q57" i="98"/>
  <c r="N20" i="54"/>
  <c r="N24" i="54" s="1"/>
  <c r="O20" i="54"/>
  <c r="O24" i="54" s="1"/>
  <c r="K28" i="54"/>
  <c r="K32" i="54" s="1"/>
  <c r="K27" i="54"/>
  <c r="K31" i="54" s="1"/>
  <c r="K29" i="54"/>
  <c r="K33" i="54" s="1"/>
  <c r="K55" i="54" s="1"/>
  <c r="K58" i="54" s="1"/>
  <c r="K62" i="54" s="1"/>
  <c r="K64" i="54" s="1"/>
  <c r="K65" i="54" s="1"/>
  <c r="K38" i="54" s="1"/>
  <c r="H91" i="54"/>
  <c r="H94" i="54" s="1"/>
  <c r="H95" i="54" s="1"/>
  <c r="L27" i="54"/>
  <c r="L31" i="54" s="1"/>
  <c r="L29" i="54"/>
  <c r="L33" i="54" s="1"/>
  <c r="L55" i="54" s="1"/>
  <c r="L58" i="54" s="1"/>
  <c r="L62" i="54" s="1"/>
  <c r="L64" i="54" s="1"/>
  <c r="L65" i="54" s="1"/>
  <c r="L38" i="54" s="1"/>
  <c r="L28" i="54"/>
  <c r="L32" i="54" s="1"/>
  <c r="P37" i="54"/>
  <c r="H78" i="54"/>
  <c r="H81" i="54" s="1"/>
  <c r="H82" i="54" s="1"/>
  <c r="P20" i="54" s="1"/>
  <c r="A48" i="32"/>
  <c r="K34" i="98" l="1"/>
  <c r="O34" i="98"/>
  <c r="O40" i="98" s="1"/>
  <c r="O43" i="98" s="1"/>
  <c r="O45" i="98" s="1"/>
  <c r="N34" i="98"/>
  <c r="N40" i="98" s="1"/>
  <c r="L34" i="54"/>
  <c r="L34" i="98"/>
  <c r="L40" i="98" s="1"/>
  <c r="L43" i="98" s="1"/>
  <c r="L45" i="98" s="1"/>
  <c r="R37" i="98"/>
  <c r="R56" i="98" s="1"/>
  <c r="Q37" i="98"/>
  <c r="Q56" i="98" s="1"/>
  <c r="R20" i="98"/>
  <c r="R24" i="98" s="1"/>
  <c r="Q20" i="98"/>
  <c r="Q24" i="98" s="1"/>
  <c r="K40" i="98"/>
  <c r="R20" i="54"/>
  <c r="R24" i="54" s="1"/>
  <c r="Q20" i="54"/>
  <c r="Q24" i="54" s="1"/>
  <c r="K34" i="54"/>
  <c r="K40" i="54" s="1"/>
  <c r="R37" i="54"/>
  <c r="R56" i="54" s="1"/>
  <c r="Q37" i="54"/>
  <c r="Q56" i="54" s="1"/>
  <c r="R57" i="54"/>
  <c r="Q57" i="54"/>
  <c r="O29" i="54"/>
  <c r="O33" i="54" s="1"/>
  <c r="O55" i="54" s="1"/>
  <c r="O58" i="54" s="1"/>
  <c r="O62" i="54" s="1"/>
  <c r="O64" i="54" s="1"/>
  <c r="O65" i="54" s="1"/>
  <c r="O38" i="54" s="1"/>
  <c r="O28" i="54"/>
  <c r="O32" i="54" s="1"/>
  <c r="O27" i="54"/>
  <c r="O31" i="54" s="1"/>
  <c r="N29" i="54"/>
  <c r="N33" i="54" s="1"/>
  <c r="N55" i="54" s="1"/>
  <c r="N58" i="54" s="1"/>
  <c r="N62" i="54" s="1"/>
  <c r="N64" i="54" s="1"/>
  <c r="N65" i="54" s="1"/>
  <c r="N38" i="54" s="1"/>
  <c r="N27" i="54"/>
  <c r="N31" i="54" s="1"/>
  <c r="N28" i="54"/>
  <c r="N32" i="54" s="1"/>
  <c r="L40" i="54"/>
  <c r="L43" i="54" s="1"/>
  <c r="L45" i="54" s="1"/>
  <c r="J45" i="105"/>
  <c r="J35" i="105"/>
  <c r="J34" i="105"/>
  <c r="J33" i="105"/>
  <c r="J32" i="105"/>
  <c r="J31" i="105"/>
  <c r="J28" i="105"/>
  <c r="J27" i="105"/>
  <c r="J26" i="105"/>
  <c r="J25" i="105"/>
  <c r="J24" i="105"/>
  <c r="J16" i="105"/>
  <c r="J17" i="105"/>
  <c r="J20" i="105"/>
  <c r="J21" i="105"/>
  <c r="J15" i="105"/>
  <c r="I16" i="105"/>
  <c r="I17" i="105"/>
  <c r="I20" i="105"/>
  <c r="I21" i="105"/>
  <c r="I24" i="105"/>
  <c r="I25" i="105"/>
  <c r="I26" i="105"/>
  <c r="I27" i="105"/>
  <c r="I28" i="105"/>
  <c r="I31" i="105"/>
  <c r="I32" i="105"/>
  <c r="I33" i="105"/>
  <c r="I34" i="105"/>
  <c r="I35" i="105"/>
  <c r="I45" i="105"/>
  <c r="I15" i="105"/>
  <c r="O34" i="54" l="1"/>
  <c r="O40" i="54" s="1"/>
  <c r="O43" i="54" s="1"/>
  <c r="O45" i="54" s="1"/>
  <c r="Q28" i="98"/>
  <c r="Q32" i="98" s="1"/>
  <c r="Q27" i="98"/>
  <c r="Q31" i="98" s="1"/>
  <c r="Q29" i="98"/>
  <c r="Q33" i="98" s="1"/>
  <c r="Q55" i="98" s="1"/>
  <c r="Q58" i="98" s="1"/>
  <c r="Q62" i="98" s="1"/>
  <c r="Q64" i="98" s="1"/>
  <c r="Q65" i="98" s="1"/>
  <c r="Q38" i="98" s="1"/>
  <c r="R29" i="98"/>
  <c r="R33" i="98" s="1"/>
  <c r="R55" i="98" s="1"/>
  <c r="R58" i="98" s="1"/>
  <c r="R62" i="98" s="1"/>
  <c r="R64" i="98" s="1"/>
  <c r="R65" i="98" s="1"/>
  <c r="R38" i="98" s="1"/>
  <c r="R27" i="98"/>
  <c r="R31" i="98" s="1"/>
  <c r="R28" i="98"/>
  <c r="R32" i="98" s="1"/>
  <c r="Q28" i="54"/>
  <c r="Q32" i="54" s="1"/>
  <c r="Q27" i="54"/>
  <c r="Q31" i="54" s="1"/>
  <c r="Q29" i="54"/>
  <c r="Q33" i="54" s="1"/>
  <c r="Q55" i="54" s="1"/>
  <c r="Q58" i="54" s="1"/>
  <c r="Q62" i="54" s="1"/>
  <c r="Q64" i="54" s="1"/>
  <c r="Q65" i="54" s="1"/>
  <c r="Q38" i="54" s="1"/>
  <c r="R27" i="54"/>
  <c r="R31" i="54" s="1"/>
  <c r="R29" i="54"/>
  <c r="R33" i="54" s="1"/>
  <c r="R55" i="54" s="1"/>
  <c r="R58" i="54" s="1"/>
  <c r="R62" i="54" s="1"/>
  <c r="R64" i="54" s="1"/>
  <c r="R65" i="54" s="1"/>
  <c r="R38" i="54" s="1"/>
  <c r="R28" i="54"/>
  <c r="R32" i="54" s="1"/>
  <c r="N34" i="54"/>
  <c r="N40" i="54" s="1"/>
  <c r="C1" i="101"/>
  <c r="R34" i="98" l="1"/>
  <c r="R40" i="98" s="1"/>
  <c r="R43" i="98" s="1"/>
  <c r="R45" i="98" s="1"/>
  <c r="Q34" i="98"/>
  <c r="Q40" i="98" s="1"/>
  <c r="Q34" i="54"/>
  <c r="Q40" i="54" s="1"/>
  <c r="R34" i="54"/>
  <c r="R40" i="54" s="1"/>
  <c r="R43" i="54" s="1"/>
  <c r="R45" i="54" s="1"/>
  <c r="AY17" i="106"/>
  <c r="AY15" i="106"/>
  <c r="AZ15" i="106" s="1"/>
  <c r="AW15" i="106"/>
  <c r="AW16" i="106" s="1"/>
  <c r="BB14" i="106"/>
  <c r="AY11" i="106"/>
  <c r="AY9" i="106"/>
  <c r="AZ9" i="106" s="1"/>
  <c r="AW9" i="106"/>
  <c r="AW10" i="106" s="1"/>
  <c r="BB8" i="106"/>
  <c r="AY6" i="106"/>
  <c r="AX6" i="106"/>
  <c r="AW6" i="106"/>
  <c r="AY4" i="106"/>
  <c r="AX4" i="106"/>
  <c r="AW4" i="106"/>
  <c r="AY3" i="106"/>
  <c r="AX3" i="106"/>
  <c r="AW3" i="106"/>
  <c r="AY2" i="106"/>
  <c r="AX2" i="106"/>
  <c r="AW2" i="106"/>
  <c r="C1" i="106"/>
  <c r="BB15" i="106" l="1"/>
  <c r="BC15" i="106" s="1"/>
  <c r="AW5" i="106"/>
  <c r="AZ6" i="106"/>
  <c r="BB6" i="106" s="1"/>
  <c r="BC6" i="106" s="1"/>
  <c r="AZ2" i="106"/>
  <c r="AZ3" i="106"/>
  <c r="BB3" i="106" s="1"/>
  <c r="BC3" i="106" s="1"/>
  <c r="AZ4" i="106"/>
  <c r="BB4" i="106" s="1"/>
  <c r="BC4" i="106" s="1"/>
  <c r="BB9" i="106"/>
  <c r="BC9" i="106" s="1"/>
  <c r="AZ10" i="106"/>
  <c r="AW17" i="106"/>
  <c r="AW18" i="106" s="1"/>
  <c r="AW11" i="106"/>
  <c r="AW12" i="106" s="1"/>
  <c r="AZ16" i="106"/>
  <c r="AZ5" i="106" l="1"/>
  <c r="BB5" i="106" s="1"/>
  <c r="BC5" i="106" s="1"/>
  <c r="BB2" i="106"/>
  <c r="BC2" i="106" s="1"/>
  <c r="AZ17" i="106"/>
  <c r="BB17" i="106" s="1"/>
  <c r="BC17" i="106" s="1"/>
  <c r="BB16" i="106"/>
  <c r="BC16" i="106" s="1"/>
  <c r="AZ11" i="106"/>
  <c r="BB11" i="106" s="1"/>
  <c r="BC11" i="106" s="1"/>
  <c r="BB10" i="106"/>
  <c r="BC10" i="106" s="1"/>
  <c r="AZ18" i="106" l="1"/>
  <c r="BB18" i="106" s="1"/>
  <c r="BC18" i="106" s="1"/>
  <c r="AZ12" i="106"/>
  <c r="BB12" i="106" s="1"/>
  <c r="BC12" i="106" s="1"/>
  <c r="H12" i="105" l="1"/>
  <c r="D12" i="105"/>
  <c r="C12" i="105"/>
  <c r="J12" i="105" s="1"/>
  <c r="H37" i="105"/>
  <c r="L37" i="105" s="1"/>
  <c r="G37" i="105"/>
  <c r="F37" i="105"/>
  <c r="E37" i="105"/>
  <c r="D37" i="105"/>
  <c r="C37" i="105"/>
  <c r="H22" i="105"/>
  <c r="G22" i="105"/>
  <c r="F22" i="105"/>
  <c r="E22" i="105"/>
  <c r="D22" i="105"/>
  <c r="C22" i="105"/>
  <c r="J1" i="105"/>
  <c r="A39" i="101"/>
  <c r="A43" i="101"/>
  <c r="A37" i="101"/>
  <c r="I22" i="105" l="1"/>
  <c r="J22" i="105"/>
  <c r="I37" i="105"/>
  <c r="J37" i="105"/>
  <c r="I29" i="105"/>
  <c r="J29" i="105"/>
  <c r="D12" i="5"/>
  <c r="C12" i="5"/>
  <c r="E12" i="20"/>
  <c r="D12" i="20"/>
  <c r="I12" i="20"/>
  <c r="H12" i="5"/>
  <c r="K50" i="14"/>
  <c r="H1" i="5" l="1"/>
  <c r="H27" i="5"/>
  <c r="H35" i="5" s="1"/>
  <c r="H38" i="5" s="1"/>
  <c r="G27" i="5"/>
  <c r="G35" i="5" s="1"/>
  <c r="G38" i="5" s="1"/>
  <c r="F27" i="5"/>
  <c r="F35" i="5" s="1"/>
  <c r="F38" i="5" s="1"/>
  <c r="I38" i="5" s="1"/>
  <c r="E27" i="5"/>
  <c r="D27" i="5"/>
  <c r="C27" i="5"/>
  <c r="H26" i="5"/>
  <c r="J26" i="5" s="1"/>
  <c r="G26" i="5"/>
  <c r="F26" i="5"/>
  <c r="E26" i="5"/>
  <c r="D26" i="5"/>
  <c r="C26" i="5"/>
  <c r="H24" i="5"/>
  <c r="G24" i="5"/>
  <c r="F24" i="5"/>
  <c r="E24" i="5"/>
  <c r="D24" i="5"/>
  <c r="C24" i="5"/>
  <c r="H20" i="5"/>
  <c r="G20" i="5"/>
  <c r="F20" i="5"/>
  <c r="E20" i="5"/>
  <c r="D20" i="5"/>
  <c r="D28" i="5" s="1"/>
  <c r="C20" i="5"/>
  <c r="H16" i="5"/>
  <c r="I17" i="20" s="1"/>
  <c r="G16" i="5"/>
  <c r="H17" i="20" s="1"/>
  <c r="F16" i="5"/>
  <c r="G17" i="20" s="1"/>
  <c r="E16" i="5"/>
  <c r="F17" i="20" s="1"/>
  <c r="D16" i="5"/>
  <c r="C16" i="5"/>
  <c r="J38" i="5" l="1"/>
  <c r="H28" i="5"/>
  <c r="E28" i="5"/>
  <c r="F28" i="5"/>
  <c r="I30" i="5" s="1"/>
  <c r="C28" i="5"/>
  <c r="G28" i="5"/>
  <c r="E31" i="76" l="1"/>
  <c r="E25" i="76"/>
  <c r="E33" i="76" s="1"/>
  <c r="E31" i="75"/>
  <c r="F28" i="75" s="1"/>
  <c r="F31" i="75" s="1"/>
  <c r="E25" i="75"/>
  <c r="E33" i="75" s="1"/>
  <c r="E31" i="74"/>
  <c r="E25" i="74"/>
  <c r="E33" i="74" s="1"/>
  <c r="D31" i="73"/>
  <c r="E28" i="73" s="1"/>
  <c r="E31" i="73" s="1"/>
  <c r="D25" i="73"/>
  <c r="E25" i="73" s="1"/>
  <c r="C31" i="72"/>
  <c r="D28" i="72"/>
  <c r="D31" i="72" s="1"/>
  <c r="E28" i="72" s="1"/>
  <c r="E31" i="72" s="1"/>
  <c r="C25" i="72"/>
  <c r="D22" i="72" s="1"/>
  <c r="D25" i="72" s="1"/>
  <c r="G56" i="94"/>
  <c r="C56" i="94"/>
  <c r="E55" i="94"/>
  <c r="E54" i="94"/>
  <c r="E53" i="94"/>
  <c r="E52" i="94"/>
  <c r="E51" i="94"/>
  <c r="E50" i="94"/>
  <c r="E49" i="94"/>
  <c r="E48" i="94"/>
  <c r="E47" i="94"/>
  <c r="E46" i="94"/>
  <c r="E45" i="94"/>
  <c r="E44" i="94"/>
  <c r="E43" i="94"/>
  <c r="E42" i="94"/>
  <c r="E41" i="94"/>
  <c r="E40" i="94"/>
  <c r="E39" i="94"/>
  <c r="E38" i="94"/>
  <c r="E37" i="94"/>
  <c r="E36" i="94"/>
  <c r="E35" i="94"/>
  <c r="E34" i="94"/>
  <c r="E33" i="94"/>
  <c r="E32" i="94"/>
  <c r="E31" i="94"/>
  <c r="E30" i="94"/>
  <c r="E29" i="94"/>
  <c r="E28" i="94"/>
  <c r="E27" i="94"/>
  <c r="E26" i="94"/>
  <c r="E25" i="94"/>
  <c r="E24" i="94"/>
  <c r="E23" i="94"/>
  <c r="E22" i="94"/>
  <c r="E21" i="94"/>
  <c r="E20" i="94"/>
  <c r="E19" i="94"/>
  <c r="E18" i="94"/>
  <c r="E17" i="94"/>
  <c r="E16" i="94"/>
  <c r="G56" i="90"/>
  <c r="C56" i="90"/>
  <c r="E55" i="90"/>
  <c r="E54" i="90"/>
  <c r="E53" i="90"/>
  <c r="E52" i="90"/>
  <c r="E51" i="90"/>
  <c r="E50" i="90"/>
  <c r="E49" i="90"/>
  <c r="E48" i="90"/>
  <c r="E47" i="90"/>
  <c r="E46" i="90"/>
  <c r="E45" i="90"/>
  <c r="E44" i="90"/>
  <c r="E43" i="90"/>
  <c r="E42" i="90"/>
  <c r="E41" i="90"/>
  <c r="E40" i="90"/>
  <c r="E39" i="90"/>
  <c r="E38" i="90"/>
  <c r="E37" i="90"/>
  <c r="E36" i="90"/>
  <c r="E35" i="90"/>
  <c r="E34" i="90"/>
  <c r="E33" i="90"/>
  <c r="E32" i="90"/>
  <c r="E31" i="90"/>
  <c r="E30" i="90"/>
  <c r="E29" i="90"/>
  <c r="E28" i="90"/>
  <c r="E27" i="90"/>
  <c r="E26" i="90"/>
  <c r="E25" i="90"/>
  <c r="E24" i="90"/>
  <c r="E23" i="90"/>
  <c r="E22" i="90"/>
  <c r="E21" i="90"/>
  <c r="E20" i="90"/>
  <c r="E19" i="90"/>
  <c r="E18" i="90"/>
  <c r="E17" i="90"/>
  <c r="E16" i="90"/>
  <c r="G56" i="70"/>
  <c r="C56" i="70"/>
  <c r="E55" i="70"/>
  <c r="E54" i="70"/>
  <c r="E53" i="70"/>
  <c r="E52" i="70"/>
  <c r="E51" i="70"/>
  <c r="E50" i="70"/>
  <c r="E49" i="70"/>
  <c r="E48" i="70"/>
  <c r="E47" i="70"/>
  <c r="E46" i="70"/>
  <c r="E45" i="70"/>
  <c r="E44" i="70"/>
  <c r="E43" i="70"/>
  <c r="E42" i="70"/>
  <c r="E41" i="70"/>
  <c r="E40" i="70"/>
  <c r="E39" i="70"/>
  <c r="E38" i="70"/>
  <c r="E37" i="70"/>
  <c r="E36" i="70"/>
  <c r="E35" i="70"/>
  <c r="E34" i="70"/>
  <c r="E33" i="70"/>
  <c r="E32" i="70"/>
  <c r="E31" i="70"/>
  <c r="E30" i="70"/>
  <c r="E29" i="70"/>
  <c r="E28" i="70"/>
  <c r="E27" i="70"/>
  <c r="E26" i="70"/>
  <c r="E25" i="70"/>
  <c r="E24" i="70"/>
  <c r="E23" i="70"/>
  <c r="E22" i="70"/>
  <c r="E21" i="70"/>
  <c r="E20" i="70"/>
  <c r="E19" i="70"/>
  <c r="E18" i="70"/>
  <c r="E17" i="70"/>
  <c r="E16" i="70"/>
  <c r="G56" i="66"/>
  <c r="C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18" i="66"/>
  <c r="E17" i="66"/>
  <c r="E16" i="66"/>
  <c r="H56" i="62"/>
  <c r="D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22" i="75" l="1"/>
  <c r="F25" i="75" s="1"/>
  <c r="F33" i="75" s="1"/>
  <c r="G38" i="75" s="1"/>
  <c r="E33" i="73"/>
  <c r="F38" i="73" s="1"/>
  <c r="F37" i="76"/>
  <c r="F38" i="76"/>
  <c r="F38" i="74"/>
  <c r="F37" i="74"/>
  <c r="F39" i="74" s="1"/>
  <c r="F37" i="73"/>
  <c r="D33" i="73"/>
  <c r="E22" i="72"/>
  <c r="E25" i="72" s="1"/>
  <c r="E33" i="72" s="1"/>
  <c r="D33" i="72"/>
  <c r="C33" i="72"/>
  <c r="F1" i="33"/>
  <c r="K1" i="6"/>
  <c r="I1" i="20"/>
  <c r="F1" i="56"/>
  <c r="K1" i="14"/>
  <c r="K1" i="53"/>
  <c r="I1" i="76"/>
  <c r="J1" i="75"/>
  <c r="I1" i="74"/>
  <c r="I1" i="73"/>
  <c r="I1" i="72"/>
  <c r="M1" i="86"/>
  <c r="M1" i="71"/>
  <c r="L1" i="97"/>
  <c r="J1" i="94"/>
  <c r="O1" i="93"/>
  <c r="L1" i="92"/>
  <c r="J1" i="70"/>
  <c r="O1" i="69"/>
  <c r="L1" i="68"/>
  <c r="L1" i="67"/>
  <c r="H1" i="66"/>
  <c r="K1" i="65"/>
  <c r="O1" i="64"/>
  <c r="L1" i="63"/>
  <c r="V1" i="102"/>
  <c r="P22" i="102"/>
  <c r="Q22" i="102"/>
  <c r="R14" i="102"/>
  <c r="S14" i="102" s="1"/>
  <c r="T14" i="102" s="1"/>
  <c r="U14" i="102" s="1"/>
  <c r="V14" i="102" s="1"/>
  <c r="N22" i="102" l="1"/>
  <c r="K22" i="102"/>
  <c r="H22" i="102"/>
  <c r="E22" i="102"/>
  <c r="G37" i="75"/>
  <c r="G39" i="75" s="1"/>
  <c r="O14" i="102"/>
  <c r="L14" i="102" s="1"/>
  <c r="I14" i="102" s="1"/>
  <c r="F14" i="102" s="1"/>
  <c r="C14" i="102" s="1"/>
  <c r="F39" i="76"/>
  <c r="F39" i="73"/>
  <c r="F38" i="72"/>
  <c r="F37" i="72"/>
  <c r="F39" i="72" s="1"/>
  <c r="K20" i="53" l="1"/>
  <c r="F20" i="53"/>
  <c r="K19" i="53"/>
  <c r="F19" i="53"/>
  <c r="M1" i="58" l="1"/>
  <c r="P1" i="59"/>
  <c r="L1" i="60"/>
  <c r="K1" i="61"/>
  <c r="I1" i="62"/>
  <c r="L58" i="100"/>
  <c r="G58" i="100"/>
  <c r="M58" i="100" s="1"/>
  <c r="L57" i="100"/>
  <c r="G57" i="100"/>
  <c r="M57" i="100" s="1"/>
  <c r="K56" i="100"/>
  <c r="K59" i="100" s="1"/>
  <c r="J56" i="100"/>
  <c r="J59" i="100" s="1"/>
  <c r="I56" i="100"/>
  <c r="I59" i="100" s="1"/>
  <c r="F56" i="100"/>
  <c r="F59" i="100" s="1"/>
  <c r="E56" i="100"/>
  <c r="E59" i="100" s="1"/>
  <c r="D56" i="100"/>
  <c r="D59" i="100" s="1"/>
  <c r="L55" i="100"/>
  <c r="G55" i="100"/>
  <c r="M55" i="100" s="1"/>
  <c r="L54" i="100"/>
  <c r="M54" i="100" s="1"/>
  <c r="G54" i="100"/>
  <c r="L53" i="100"/>
  <c r="G53" i="100"/>
  <c r="L52" i="100"/>
  <c r="G52" i="100"/>
  <c r="L51" i="100"/>
  <c r="G51" i="100"/>
  <c r="M51" i="100" s="1"/>
  <c r="L50" i="100"/>
  <c r="G50" i="100"/>
  <c r="L49" i="100"/>
  <c r="G49" i="100"/>
  <c r="L48" i="100"/>
  <c r="G48" i="100"/>
  <c r="L47" i="100"/>
  <c r="G47" i="100"/>
  <c r="M47" i="100" s="1"/>
  <c r="M46" i="100"/>
  <c r="L46" i="100"/>
  <c r="G46" i="100"/>
  <c r="L45" i="100"/>
  <c r="G45" i="100"/>
  <c r="L44" i="100"/>
  <c r="G44" i="100"/>
  <c r="M44" i="100" s="1"/>
  <c r="L43" i="100"/>
  <c r="G43" i="100"/>
  <c r="M43" i="100" s="1"/>
  <c r="L42" i="100"/>
  <c r="G42" i="100"/>
  <c r="M42" i="100" s="1"/>
  <c r="L41" i="100"/>
  <c r="M41" i="100" s="1"/>
  <c r="G41" i="100"/>
  <c r="L40" i="100"/>
  <c r="G40" i="100"/>
  <c r="M40" i="100" s="1"/>
  <c r="L39" i="100"/>
  <c r="G39" i="100"/>
  <c r="L38" i="100"/>
  <c r="G38" i="100"/>
  <c r="M38" i="100" s="1"/>
  <c r="L37" i="100"/>
  <c r="G37" i="100"/>
  <c r="L36" i="100"/>
  <c r="G36" i="100"/>
  <c r="M36" i="100" s="1"/>
  <c r="L35" i="100"/>
  <c r="G35" i="100"/>
  <c r="M35" i="100" s="1"/>
  <c r="L34" i="100"/>
  <c r="M34" i="100" s="1"/>
  <c r="G34" i="100"/>
  <c r="L33" i="100"/>
  <c r="G33" i="100"/>
  <c r="L32" i="100"/>
  <c r="G32" i="100"/>
  <c r="L31" i="100"/>
  <c r="G31" i="100"/>
  <c r="M31" i="100" s="1"/>
  <c r="L30" i="100"/>
  <c r="G30" i="100"/>
  <c r="L29" i="100"/>
  <c r="G29" i="100"/>
  <c r="L28" i="100"/>
  <c r="G28" i="100"/>
  <c r="L27" i="100"/>
  <c r="G27" i="100"/>
  <c r="L26" i="100"/>
  <c r="G26" i="100"/>
  <c r="L25" i="100"/>
  <c r="G25" i="100"/>
  <c r="L24" i="100"/>
  <c r="G24" i="100"/>
  <c r="L23" i="100"/>
  <c r="G23" i="100"/>
  <c r="M23" i="100" s="1"/>
  <c r="L22" i="100"/>
  <c r="G22" i="100"/>
  <c r="L21" i="100"/>
  <c r="G21" i="100"/>
  <c r="L20" i="100"/>
  <c r="G20" i="100"/>
  <c r="L19" i="100"/>
  <c r="G19" i="100"/>
  <c r="M19" i="100" s="1"/>
  <c r="L18" i="100"/>
  <c r="G18" i="100"/>
  <c r="L17" i="100"/>
  <c r="G17" i="100"/>
  <c r="L16" i="100"/>
  <c r="G16" i="100"/>
  <c r="M1" i="100"/>
  <c r="M45" i="100" l="1"/>
  <c r="M17" i="100"/>
  <c r="M21" i="100"/>
  <c r="M49" i="100"/>
  <c r="M18" i="100"/>
  <c r="M20" i="100"/>
  <c r="M32" i="100"/>
  <c r="M37" i="100"/>
  <c r="M39" i="100"/>
  <c r="M48" i="100"/>
  <c r="M52" i="100"/>
  <c r="M50" i="100"/>
  <c r="M30" i="100"/>
  <c r="M28" i="100"/>
  <c r="M27" i="100"/>
  <c r="M26" i="100"/>
  <c r="M24" i="100"/>
  <c r="L56" i="100"/>
  <c r="L59" i="100" s="1"/>
  <c r="J61" i="100"/>
  <c r="K66" i="100" s="1"/>
  <c r="M22" i="100"/>
  <c r="M53" i="100"/>
  <c r="M33" i="100"/>
  <c r="M29" i="100"/>
  <c r="M25" i="100"/>
  <c r="G56" i="100"/>
  <c r="G59" i="100" s="1"/>
  <c r="M16" i="100"/>
  <c r="M56" i="100" l="1"/>
  <c r="M59" i="100" s="1"/>
  <c r="M1" i="49"/>
  <c r="H13" i="49"/>
  <c r="D13" i="49"/>
  <c r="C13" i="49"/>
  <c r="H1" i="15"/>
  <c r="C13" i="15"/>
  <c r="H13" i="15"/>
  <c r="L1" i="12"/>
  <c r="G13" i="12"/>
  <c r="H13" i="12"/>
  <c r="I13" i="12"/>
  <c r="K13" i="12"/>
  <c r="F39" i="12" s="1"/>
  <c r="G1" i="18"/>
  <c r="O1" i="50"/>
  <c r="C102" i="33"/>
  <c r="D102" i="33" s="1"/>
  <c r="E102" i="33" s="1"/>
  <c r="I1" i="23"/>
  <c r="I1" i="21"/>
  <c r="G1" i="34"/>
  <c r="G20" i="23"/>
  <c r="I20" i="23" s="1"/>
  <c r="F1" i="78"/>
  <c r="Q1" i="30"/>
  <c r="M1" i="80"/>
  <c r="K1" i="79"/>
  <c r="E15" i="81"/>
  <c r="D15" i="81"/>
  <c r="E15" i="83"/>
  <c r="D15" i="83"/>
  <c r="L57" i="57" l="1"/>
  <c r="G57" i="57"/>
  <c r="I1" i="83"/>
  <c r="I1" i="81"/>
  <c r="M57" i="57" l="1"/>
  <c r="O1" i="9"/>
  <c r="L1" i="91"/>
  <c r="H1" i="90"/>
  <c r="K1" i="89"/>
  <c r="O1" i="88"/>
  <c r="L1" i="87"/>
  <c r="M1" i="57"/>
  <c r="H1" i="11"/>
  <c r="K56" i="97"/>
  <c r="F56" i="97"/>
  <c r="D56" i="97"/>
  <c r="C56" i="97"/>
  <c r="J55" i="97"/>
  <c r="L55" i="97" s="1"/>
  <c r="I55" i="97"/>
  <c r="E55" i="97"/>
  <c r="G55" i="97" s="1"/>
  <c r="J54" i="97"/>
  <c r="L54" i="97" s="1"/>
  <c r="I54" i="97"/>
  <c r="E54" i="97"/>
  <c r="G54" i="97" s="1"/>
  <c r="L53" i="97"/>
  <c r="J53" i="97"/>
  <c r="I53" i="97"/>
  <c r="E53" i="97"/>
  <c r="G53" i="97" s="1"/>
  <c r="J52" i="97"/>
  <c r="L52" i="97" s="1"/>
  <c r="I52" i="97"/>
  <c r="E52" i="97"/>
  <c r="G52" i="97" s="1"/>
  <c r="J51" i="97"/>
  <c r="L51" i="97" s="1"/>
  <c r="I51" i="97"/>
  <c r="E51" i="97"/>
  <c r="G51" i="97" s="1"/>
  <c r="J50" i="97"/>
  <c r="L50" i="97" s="1"/>
  <c r="I50" i="97"/>
  <c r="E50" i="97"/>
  <c r="G50" i="97" s="1"/>
  <c r="J49" i="97"/>
  <c r="L49" i="97" s="1"/>
  <c r="I49" i="97"/>
  <c r="E49" i="97"/>
  <c r="G49" i="97" s="1"/>
  <c r="J48" i="97"/>
  <c r="L48" i="97" s="1"/>
  <c r="I48" i="97"/>
  <c r="G48" i="97"/>
  <c r="E48" i="97"/>
  <c r="J47" i="97"/>
  <c r="L47" i="97" s="1"/>
  <c r="I47" i="97"/>
  <c r="E47" i="97"/>
  <c r="G47" i="97" s="1"/>
  <c r="J46" i="97"/>
  <c r="L46" i="97" s="1"/>
  <c r="I46" i="97"/>
  <c r="E46" i="97"/>
  <c r="G46" i="97" s="1"/>
  <c r="L45" i="97"/>
  <c r="J45" i="97"/>
  <c r="I45" i="97"/>
  <c r="E45" i="97"/>
  <c r="G45" i="97" s="1"/>
  <c r="J44" i="97"/>
  <c r="L44" i="97" s="1"/>
  <c r="I44" i="97"/>
  <c r="E44" i="97"/>
  <c r="G44" i="97" s="1"/>
  <c r="J43" i="97"/>
  <c r="L43" i="97" s="1"/>
  <c r="I43" i="97"/>
  <c r="E43" i="97"/>
  <c r="G43" i="97" s="1"/>
  <c r="J42" i="97"/>
  <c r="L42" i="97" s="1"/>
  <c r="I42" i="97"/>
  <c r="E42" i="97"/>
  <c r="G42" i="97" s="1"/>
  <c r="J41" i="97"/>
  <c r="L41" i="97" s="1"/>
  <c r="I41" i="97"/>
  <c r="E41" i="97"/>
  <c r="G41" i="97" s="1"/>
  <c r="J40" i="97"/>
  <c r="L40" i="97" s="1"/>
  <c r="I40" i="97"/>
  <c r="G40" i="97"/>
  <c r="E40" i="97"/>
  <c r="J39" i="97"/>
  <c r="L39" i="97" s="1"/>
  <c r="I39" i="97"/>
  <c r="E39" i="97"/>
  <c r="G39" i="97" s="1"/>
  <c r="J38" i="97"/>
  <c r="L38" i="97" s="1"/>
  <c r="I38" i="97"/>
  <c r="E38" i="97"/>
  <c r="G38" i="97" s="1"/>
  <c r="L37" i="97"/>
  <c r="J37" i="97"/>
  <c r="I37" i="97"/>
  <c r="E37" i="97"/>
  <c r="G37" i="97" s="1"/>
  <c r="J36" i="97"/>
  <c r="L36" i="97" s="1"/>
  <c r="I36" i="97"/>
  <c r="E36" i="97"/>
  <c r="G36" i="97" s="1"/>
  <c r="J35" i="97"/>
  <c r="L35" i="97" s="1"/>
  <c r="I35" i="97"/>
  <c r="E35" i="97"/>
  <c r="G35" i="97" s="1"/>
  <c r="J34" i="97"/>
  <c r="L34" i="97" s="1"/>
  <c r="I34" i="97"/>
  <c r="E34" i="97"/>
  <c r="G34" i="97" s="1"/>
  <c r="J33" i="97"/>
  <c r="L33" i="97" s="1"/>
  <c r="I33" i="97"/>
  <c r="E33" i="97"/>
  <c r="G33" i="97" s="1"/>
  <c r="J32" i="97"/>
  <c r="L32" i="97" s="1"/>
  <c r="I32" i="97"/>
  <c r="G32" i="97"/>
  <c r="E32" i="97"/>
  <c r="J31" i="97"/>
  <c r="L31" i="97" s="1"/>
  <c r="I31" i="97"/>
  <c r="E31" i="97"/>
  <c r="G31" i="97" s="1"/>
  <c r="J30" i="97"/>
  <c r="L30" i="97" s="1"/>
  <c r="I30" i="97"/>
  <c r="E30" i="97"/>
  <c r="G30" i="97" s="1"/>
  <c r="L29" i="97"/>
  <c r="J29" i="97"/>
  <c r="I29" i="97"/>
  <c r="E29" i="97"/>
  <c r="G29" i="97" s="1"/>
  <c r="J28" i="97"/>
  <c r="L28" i="97" s="1"/>
  <c r="I28" i="97"/>
  <c r="E28" i="97"/>
  <c r="G28" i="97" s="1"/>
  <c r="J27" i="97"/>
  <c r="L27" i="97" s="1"/>
  <c r="I27" i="97"/>
  <c r="E27" i="97"/>
  <c r="G27" i="97" s="1"/>
  <c r="J26" i="97"/>
  <c r="L26" i="97" s="1"/>
  <c r="I26" i="97"/>
  <c r="E26" i="97"/>
  <c r="G26" i="97" s="1"/>
  <c r="J25" i="97"/>
  <c r="L25" i="97" s="1"/>
  <c r="I25" i="97"/>
  <c r="E25" i="97"/>
  <c r="G25" i="97" s="1"/>
  <c r="J24" i="97"/>
  <c r="L24" i="97" s="1"/>
  <c r="I24" i="97"/>
  <c r="G24" i="97"/>
  <c r="E24" i="97"/>
  <c r="J23" i="97"/>
  <c r="L23" i="97" s="1"/>
  <c r="I23" i="97"/>
  <c r="E23" i="97"/>
  <c r="G23" i="97" s="1"/>
  <c r="J22" i="97"/>
  <c r="L22" i="97" s="1"/>
  <c r="I22" i="97"/>
  <c r="E22" i="97"/>
  <c r="G22" i="97" s="1"/>
  <c r="L21" i="97"/>
  <c r="J21" i="97"/>
  <c r="I21" i="97"/>
  <c r="E21" i="97"/>
  <c r="G21" i="97" s="1"/>
  <c r="J20" i="97"/>
  <c r="L20" i="97" s="1"/>
  <c r="I20" i="97"/>
  <c r="E20" i="97"/>
  <c r="G20" i="97" s="1"/>
  <c r="J19" i="97"/>
  <c r="L19" i="97" s="1"/>
  <c r="I19" i="97"/>
  <c r="E19" i="97"/>
  <c r="G19" i="97" s="1"/>
  <c r="J18" i="97"/>
  <c r="L18" i="97" s="1"/>
  <c r="I18" i="97"/>
  <c r="E18" i="97"/>
  <c r="G18" i="97" s="1"/>
  <c r="J17" i="97"/>
  <c r="L17" i="97" s="1"/>
  <c r="I17" i="97"/>
  <c r="E17" i="97"/>
  <c r="J16" i="97"/>
  <c r="L16" i="97" s="1"/>
  <c r="I16" i="97"/>
  <c r="G16" i="97"/>
  <c r="E16" i="97"/>
  <c r="E56" i="97" l="1"/>
  <c r="L56" i="97"/>
  <c r="G17" i="97"/>
  <c r="G56" i="97" s="1"/>
  <c r="J56" i="97"/>
  <c r="N56" i="93" l="1"/>
  <c r="K56" i="93"/>
  <c r="D56" i="93"/>
  <c r="C56" i="93"/>
  <c r="M55" i="93"/>
  <c r="O55" i="93" s="1"/>
  <c r="F55" i="94" s="1"/>
  <c r="H55" i="94" s="1"/>
  <c r="I55" i="93"/>
  <c r="H55" i="93"/>
  <c r="G55" i="93"/>
  <c r="M54" i="93"/>
  <c r="O54" i="93" s="1"/>
  <c r="F54" i="94" s="1"/>
  <c r="H54" i="94" s="1"/>
  <c r="I54" i="93"/>
  <c r="J54" i="93" s="1"/>
  <c r="L54" i="93" s="1"/>
  <c r="H54" i="93"/>
  <c r="G54" i="93"/>
  <c r="M53" i="93"/>
  <c r="O53" i="93" s="1"/>
  <c r="F53" i="94" s="1"/>
  <c r="H53" i="94" s="1"/>
  <c r="I53" i="93"/>
  <c r="H53" i="93"/>
  <c r="J53" i="93" s="1"/>
  <c r="L53" i="93" s="1"/>
  <c r="G53" i="93"/>
  <c r="M52" i="93"/>
  <c r="O52" i="93" s="1"/>
  <c r="F52" i="94" s="1"/>
  <c r="H52" i="94" s="1"/>
  <c r="I52" i="93"/>
  <c r="H52" i="93"/>
  <c r="J52" i="93" s="1"/>
  <c r="L52" i="93" s="1"/>
  <c r="G52" i="93"/>
  <c r="O51" i="93"/>
  <c r="F51" i="94" s="1"/>
  <c r="H51" i="94" s="1"/>
  <c r="M51" i="93"/>
  <c r="I51" i="93"/>
  <c r="H51" i="93"/>
  <c r="G51" i="93"/>
  <c r="M50" i="93"/>
  <c r="I50" i="93"/>
  <c r="H50" i="93"/>
  <c r="J50" i="93" s="1"/>
  <c r="L50" i="93" s="1"/>
  <c r="G50" i="93"/>
  <c r="M49" i="93"/>
  <c r="O49" i="93" s="1"/>
  <c r="F49" i="94" s="1"/>
  <c r="H49" i="94" s="1"/>
  <c r="I49" i="93"/>
  <c r="H49" i="93"/>
  <c r="G49" i="93"/>
  <c r="M48" i="93"/>
  <c r="O48" i="93" s="1"/>
  <c r="F48" i="94" s="1"/>
  <c r="H48" i="94" s="1"/>
  <c r="I48" i="93"/>
  <c r="H48" i="93"/>
  <c r="G48" i="93"/>
  <c r="M47" i="93"/>
  <c r="O47" i="93" s="1"/>
  <c r="F47" i="94" s="1"/>
  <c r="H47" i="94" s="1"/>
  <c r="I47" i="93"/>
  <c r="H47" i="93"/>
  <c r="G47" i="93"/>
  <c r="M46" i="93"/>
  <c r="O46" i="93" s="1"/>
  <c r="F46" i="94" s="1"/>
  <c r="H46" i="94" s="1"/>
  <c r="I46" i="93"/>
  <c r="H46" i="93"/>
  <c r="J46" i="93" s="1"/>
  <c r="L46" i="93" s="1"/>
  <c r="G46" i="93"/>
  <c r="M45" i="93"/>
  <c r="O45" i="93" s="1"/>
  <c r="F45" i="94" s="1"/>
  <c r="H45" i="94" s="1"/>
  <c r="I45" i="93"/>
  <c r="H45" i="93"/>
  <c r="J45" i="93" s="1"/>
  <c r="L45" i="93" s="1"/>
  <c r="G45" i="93"/>
  <c r="M44" i="93"/>
  <c r="I44" i="93"/>
  <c r="H44" i="93"/>
  <c r="J44" i="93" s="1"/>
  <c r="L44" i="93" s="1"/>
  <c r="G44" i="93"/>
  <c r="M43" i="93"/>
  <c r="O43" i="93" s="1"/>
  <c r="F43" i="94" s="1"/>
  <c r="H43" i="94" s="1"/>
  <c r="I43" i="93"/>
  <c r="J43" i="93" s="1"/>
  <c r="L43" i="93" s="1"/>
  <c r="H43" i="93"/>
  <c r="G43" i="93"/>
  <c r="M42" i="93"/>
  <c r="O42" i="93" s="1"/>
  <c r="F42" i="94" s="1"/>
  <c r="H42" i="94" s="1"/>
  <c r="J42" i="93"/>
  <c r="L42" i="93" s="1"/>
  <c r="I42" i="93"/>
  <c r="H42" i="93"/>
  <c r="G42" i="93"/>
  <c r="O41" i="93"/>
  <c r="F41" i="94" s="1"/>
  <c r="H41" i="94" s="1"/>
  <c r="M41" i="93"/>
  <c r="I41" i="93"/>
  <c r="H41" i="93"/>
  <c r="J41" i="93" s="1"/>
  <c r="L41" i="93" s="1"/>
  <c r="G41" i="93"/>
  <c r="M40" i="93"/>
  <c r="I40" i="93"/>
  <c r="H40" i="93"/>
  <c r="J40" i="93" s="1"/>
  <c r="L40" i="93" s="1"/>
  <c r="G40" i="93"/>
  <c r="M39" i="93"/>
  <c r="O39" i="93" s="1"/>
  <c r="F39" i="94" s="1"/>
  <c r="H39" i="94" s="1"/>
  <c r="I39" i="93"/>
  <c r="H39" i="93"/>
  <c r="G39" i="93"/>
  <c r="M38" i="93"/>
  <c r="O38" i="93" s="1"/>
  <c r="F38" i="94" s="1"/>
  <c r="H38" i="94" s="1"/>
  <c r="I38" i="93"/>
  <c r="J38" i="93" s="1"/>
  <c r="L38" i="93" s="1"/>
  <c r="H38" i="93"/>
  <c r="G38" i="93"/>
  <c r="M37" i="93"/>
  <c r="O37" i="93" s="1"/>
  <c r="F37" i="94" s="1"/>
  <c r="H37" i="94" s="1"/>
  <c r="I37" i="93"/>
  <c r="H37" i="93"/>
  <c r="J37" i="93" s="1"/>
  <c r="L37" i="93" s="1"/>
  <c r="G37" i="93"/>
  <c r="M36" i="93"/>
  <c r="O36" i="93" s="1"/>
  <c r="F36" i="94" s="1"/>
  <c r="H36" i="94" s="1"/>
  <c r="I36" i="93"/>
  <c r="H36" i="93"/>
  <c r="J36" i="93" s="1"/>
  <c r="L36" i="93" s="1"/>
  <c r="G36" i="93"/>
  <c r="O35" i="93"/>
  <c r="F35" i="94" s="1"/>
  <c r="H35" i="94" s="1"/>
  <c r="M35" i="93"/>
  <c r="I35" i="93"/>
  <c r="H35" i="93"/>
  <c r="G35" i="93"/>
  <c r="M34" i="93"/>
  <c r="I34" i="93"/>
  <c r="H34" i="93"/>
  <c r="J34" i="93" s="1"/>
  <c r="L34" i="93" s="1"/>
  <c r="G34" i="93"/>
  <c r="M33" i="93"/>
  <c r="O33" i="93" s="1"/>
  <c r="F33" i="94" s="1"/>
  <c r="H33" i="94" s="1"/>
  <c r="I33" i="93"/>
  <c r="H33" i="93"/>
  <c r="G33" i="93"/>
  <c r="M32" i="93"/>
  <c r="O32" i="93" s="1"/>
  <c r="F32" i="94" s="1"/>
  <c r="H32" i="94" s="1"/>
  <c r="I32" i="93"/>
  <c r="H32" i="93"/>
  <c r="G32" i="93"/>
  <c r="M31" i="93"/>
  <c r="O31" i="93" s="1"/>
  <c r="F31" i="94" s="1"/>
  <c r="H31" i="94" s="1"/>
  <c r="I31" i="93"/>
  <c r="H31" i="93"/>
  <c r="J31" i="93" s="1"/>
  <c r="L31" i="93" s="1"/>
  <c r="G31" i="93"/>
  <c r="M30" i="93"/>
  <c r="O30" i="93" s="1"/>
  <c r="F30" i="94" s="1"/>
  <c r="H30" i="94" s="1"/>
  <c r="I30" i="93"/>
  <c r="H30" i="93"/>
  <c r="J30" i="93" s="1"/>
  <c r="L30" i="93" s="1"/>
  <c r="G30" i="93"/>
  <c r="M29" i="93"/>
  <c r="O29" i="93" s="1"/>
  <c r="F29" i="94" s="1"/>
  <c r="H29" i="94" s="1"/>
  <c r="I29" i="93"/>
  <c r="H29" i="93"/>
  <c r="J29" i="93" s="1"/>
  <c r="L29" i="93" s="1"/>
  <c r="G29" i="93"/>
  <c r="M28" i="93"/>
  <c r="I28" i="93"/>
  <c r="H28" i="93"/>
  <c r="J28" i="93" s="1"/>
  <c r="L28" i="93" s="1"/>
  <c r="G28" i="93"/>
  <c r="M27" i="93"/>
  <c r="O27" i="93" s="1"/>
  <c r="F27" i="94" s="1"/>
  <c r="H27" i="94" s="1"/>
  <c r="I27" i="93"/>
  <c r="H27" i="93"/>
  <c r="G27" i="93"/>
  <c r="M26" i="93"/>
  <c r="O26" i="93" s="1"/>
  <c r="F26" i="94" s="1"/>
  <c r="H26" i="94" s="1"/>
  <c r="J26" i="93"/>
  <c r="L26" i="93" s="1"/>
  <c r="I26" i="93"/>
  <c r="H26" i="93"/>
  <c r="G26" i="93"/>
  <c r="O25" i="93"/>
  <c r="F25" i="94" s="1"/>
  <c r="H25" i="94" s="1"/>
  <c r="M25" i="93"/>
  <c r="I25" i="93"/>
  <c r="H25" i="93"/>
  <c r="J25" i="93" s="1"/>
  <c r="L25" i="93" s="1"/>
  <c r="G25" i="93"/>
  <c r="M24" i="93"/>
  <c r="I24" i="93"/>
  <c r="H24" i="93"/>
  <c r="J24" i="93" s="1"/>
  <c r="L24" i="93" s="1"/>
  <c r="G24" i="93"/>
  <c r="M23" i="93"/>
  <c r="O23" i="93" s="1"/>
  <c r="F23" i="94" s="1"/>
  <c r="H23" i="94" s="1"/>
  <c r="I23" i="93"/>
  <c r="H23" i="93"/>
  <c r="J23" i="93" s="1"/>
  <c r="L23" i="93" s="1"/>
  <c r="G23" i="93"/>
  <c r="M22" i="93"/>
  <c r="O22" i="93" s="1"/>
  <c r="F22" i="94" s="1"/>
  <c r="H22" i="94" s="1"/>
  <c r="I22" i="93"/>
  <c r="J22" i="93" s="1"/>
  <c r="L22" i="93" s="1"/>
  <c r="H22" i="93"/>
  <c r="G22" i="93"/>
  <c r="M21" i="93"/>
  <c r="O21" i="93" s="1"/>
  <c r="F21" i="94" s="1"/>
  <c r="H21" i="94" s="1"/>
  <c r="I21" i="93"/>
  <c r="H21" i="93"/>
  <c r="J21" i="93" s="1"/>
  <c r="L21" i="93" s="1"/>
  <c r="G21" i="93"/>
  <c r="M20" i="93"/>
  <c r="O20" i="93" s="1"/>
  <c r="F20" i="94" s="1"/>
  <c r="H20" i="94" s="1"/>
  <c r="I20" i="93"/>
  <c r="H20" i="93"/>
  <c r="J20" i="93" s="1"/>
  <c r="L20" i="93" s="1"/>
  <c r="G20" i="93"/>
  <c r="O19" i="93"/>
  <c r="F19" i="94" s="1"/>
  <c r="H19" i="94" s="1"/>
  <c r="M19" i="93"/>
  <c r="I19" i="93"/>
  <c r="H19" i="93"/>
  <c r="J19" i="93" s="1"/>
  <c r="L19" i="93" s="1"/>
  <c r="G19" i="93"/>
  <c r="M18" i="93"/>
  <c r="I18" i="93"/>
  <c r="H18" i="93"/>
  <c r="J18" i="93" s="1"/>
  <c r="L18" i="93" s="1"/>
  <c r="G18" i="93"/>
  <c r="M17" i="93"/>
  <c r="O17" i="93" s="1"/>
  <c r="F17" i="94" s="1"/>
  <c r="H17" i="94" s="1"/>
  <c r="I17" i="93"/>
  <c r="H17" i="93"/>
  <c r="G17" i="93"/>
  <c r="M16" i="93"/>
  <c r="I16" i="93"/>
  <c r="I56" i="93" s="1"/>
  <c r="H16" i="93"/>
  <c r="G16" i="93"/>
  <c r="K56" i="92"/>
  <c r="F56" i="92"/>
  <c r="D56" i="92"/>
  <c r="C56" i="92"/>
  <c r="J55" i="92"/>
  <c r="L55" i="92" s="1"/>
  <c r="I55" i="92"/>
  <c r="E55" i="92"/>
  <c r="G55" i="92" s="1"/>
  <c r="J54" i="92"/>
  <c r="L54" i="92" s="1"/>
  <c r="I54" i="92"/>
  <c r="E54" i="92"/>
  <c r="G54" i="92" s="1"/>
  <c r="J53" i="92"/>
  <c r="L53" i="92" s="1"/>
  <c r="I53" i="92"/>
  <c r="G53" i="92"/>
  <c r="E53" i="92"/>
  <c r="J52" i="92"/>
  <c r="L52" i="92" s="1"/>
  <c r="I52" i="92"/>
  <c r="E52" i="92"/>
  <c r="G52" i="92" s="1"/>
  <c r="J51" i="92"/>
  <c r="L51" i="92" s="1"/>
  <c r="I51" i="92"/>
  <c r="E51" i="92"/>
  <c r="G51" i="92" s="1"/>
  <c r="L50" i="92"/>
  <c r="J50" i="92"/>
  <c r="I50" i="92"/>
  <c r="E50" i="92"/>
  <c r="G50" i="92" s="1"/>
  <c r="J49" i="92"/>
  <c r="L49" i="92" s="1"/>
  <c r="I49" i="92"/>
  <c r="E49" i="92"/>
  <c r="G49" i="92" s="1"/>
  <c r="J48" i="92"/>
  <c r="L48" i="92" s="1"/>
  <c r="I48" i="92"/>
  <c r="E48" i="92"/>
  <c r="G48" i="92" s="1"/>
  <c r="J47" i="92"/>
  <c r="L47" i="92" s="1"/>
  <c r="I47" i="92"/>
  <c r="E47" i="92"/>
  <c r="G47" i="92" s="1"/>
  <c r="J46" i="92"/>
  <c r="L46" i="92" s="1"/>
  <c r="I46" i="92"/>
  <c r="E46" i="92"/>
  <c r="G46" i="92" s="1"/>
  <c r="J45" i="92"/>
  <c r="L45" i="92" s="1"/>
  <c r="I45" i="92"/>
  <c r="G45" i="92"/>
  <c r="E45" i="92"/>
  <c r="J44" i="92"/>
  <c r="L44" i="92" s="1"/>
  <c r="I44" i="92"/>
  <c r="E44" i="92"/>
  <c r="G44" i="92" s="1"/>
  <c r="J43" i="92"/>
  <c r="L43" i="92" s="1"/>
  <c r="I43" i="92"/>
  <c r="E43" i="92"/>
  <c r="G43" i="92" s="1"/>
  <c r="L42" i="92"/>
  <c r="J42" i="92"/>
  <c r="I42" i="92"/>
  <c r="E42" i="92"/>
  <c r="G42" i="92" s="1"/>
  <c r="J41" i="92"/>
  <c r="L41" i="92" s="1"/>
  <c r="I41" i="92"/>
  <c r="E41" i="92"/>
  <c r="G41" i="92" s="1"/>
  <c r="J40" i="92"/>
  <c r="L40" i="92" s="1"/>
  <c r="I40" i="92"/>
  <c r="E40" i="92"/>
  <c r="G40" i="92" s="1"/>
  <c r="J39" i="92"/>
  <c r="L39" i="92" s="1"/>
  <c r="I39" i="92"/>
  <c r="E39" i="92"/>
  <c r="G39" i="92" s="1"/>
  <c r="J38" i="92"/>
  <c r="L38" i="92" s="1"/>
  <c r="I38" i="92"/>
  <c r="E38" i="92"/>
  <c r="G38" i="92" s="1"/>
  <c r="J37" i="92"/>
  <c r="L37" i="92" s="1"/>
  <c r="I37" i="92"/>
  <c r="G37" i="92"/>
  <c r="E37" i="92"/>
  <c r="J36" i="92"/>
  <c r="L36" i="92" s="1"/>
  <c r="I36" i="92"/>
  <c r="E36" i="92"/>
  <c r="G36" i="92" s="1"/>
  <c r="J35" i="92"/>
  <c r="L35" i="92" s="1"/>
  <c r="I35" i="92"/>
  <c r="E35" i="92"/>
  <c r="G35" i="92" s="1"/>
  <c r="L34" i="92"/>
  <c r="J34" i="92"/>
  <c r="I34" i="92"/>
  <c r="E34" i="92"/>
  <c r="G34" i="92" s="1"/>
  <c r="J33" i="92"/>
  <c r="L33" i="92" s="1"/>
  <c r="I33" i="92"/>
  <c r="E33" i="92"/>
  <c r="G33" i="92" s="1"/>
  <c r="J32" i="92"/>
  <c r="L32" i="92" s="1"/>
  <c r="I32" i="92"/>
  <c r="E32" i="92"/>
  <c r="G32" i="92" s="1"/>
  <c r="J31" i="92"/>
  <c r="L31" i="92" s="1"/>
  <c r="I31" i="92"/>
  <c r="E31" i="92"/>
  <c r="G31" i="92" s="1"/>
  <c r="J30" i="92"/>
  <c r="L30" i="92" s="1"/>
  <c r="I30" i="92"/>
  <c r="E30" i="92"/>
  <c r="G30" i="92" s="1"/>
  <c r="J29" i="92"/>
  <c r="L29" i="92" s="1"/>
  <c r="I29" i="92"/>
  <c r="G29" i="92"/>
  <c r="E29" i="92"/>
  <c r="J28" i="92"/>
  <c r="L28" i="92" s="1"/>
  <c r="I28" i="92"/>
  <c r="E28" i="92"/>
  <c r="G28" i="92" s="1"/>
  <c r="J27" i="92"/>
  <c r="L27" i="92" s="1"/>
  <c r="I27" i="92"/>
  <c r="E27" i="92"/>
  <c r="G27" i="92" s="1"/>
  <c r="L26" i="92"/>
  <c r="J26" i="92"/>
  <c r="I26" i="92"/>
  <c r="E26" i="92"/>
  <c r="G26" i="92" s="1"/>
  <c r="J25" i="92"/>
  <c r="L25" i="92" s="1"/>
  <c r="I25" i="92"/>
  <c r="E25" i="92"/>
  <c r="G25" i="92" s="1"/>
  <c r="J24" i="92"/>
  <c r="L24" i="92" s="1"/>
  <c r="I24" i="92"/>
  <c r="E24" i="92"/>
  <c r="G24" i="92" s="1"/>
  <c r="J23" i="92"/>
  <c r="L23" i="92" s="1"/>
  <c r="I23" i="92"/>
  <c r="E23" i="92"/>
  <c r="G23" i="92" s="1"/>
  <c r="J22" i="92"/>
  <c r="L22" i="92" s="1"/>
  <c r="I22" i="92"/>
  <c r="E22" i="92"/>
  <c r="G22" i="92" s="1"/>
  <c r="J21" i="92"/>
  <c r="L21" i="92" s="1"/>
  <c r="I21" i="92"/>
  <c r="G21" i="92"/>
  <c r="E21" i="92"/>
  <c r="J20" i="92"/>
  <c r="L20" i="92" s="1"/>
  <c r="I20" i="92"/>
  <c r="E20" i="92"/>
  <c r="G20" i="92" s="1"/>
  <c r="J19" i="92"/>
  <c r="L19" i="92" s="1"/>
  <c r="I19" i="92"/>
  <c r="E19" i="92"/>
  <c r="G19" i="92" s="1"/>
  <c r="L18" i="92"/>
  <c r="J18" i="92"/>
  <c r="I18" i="92"/>
  <c r="E18" i="92"/>
  <c r="J17" i="92"/>
  <c r="L17" i="92" s="1"/>
  <c r="I17" i="92"/>
  <c r="E17" i="92"/>
  <c r="G17" i="92" s="1"/>
  <c r="J16" i="92"/>
  <c r="L16" i="92" s="1"/>
  <c r="I16" i="92"/>
  <c r="E16" i="92"/>
  <c r="G16" i="92" s="1"/>
  <c r="K56" i="91"/>
  <c r="F56" i="91"/>
  <c r="D56" i="91"/>
  <c r="C56" i="91"/>
  <c r="J55" i="91"/>
  <c r="L55" i="91" s="1"/>
  <c r="I55" i="91"/>
  <c r="E55" i="91"/>
  <c r="G55" i="91" s="1"/>
  <c r="J54" i="91"/>
  <c r="L54" i="91" s="1"/>
  <c r="I54" i="91"/>
  <c r="E54" i="91"/>
  <c r="G54" i="91" s="1"/>
  <c r="J53" i="91"/>
  <c r="L53" i="91" s="1"/>
  <c r="I53" i="91"/>
  <c r="E53" i="91"/>
  <c r="G53" i="91" s="1"/>
  <c r="J52" i="91"/>
  <c r="L52" i="91" s="1"/>
  <c r="I52" i="91"/>
  <c r="E52" i="91"/>
  <c r="G52" i="91" s="1"/>
  <c r="J51" i="91"/>
  <c r="L51" i="91" s="1"/>
  <c r="I51" i="91"/>
  <c r="E51" i="91"/>
  <c r="G51" i="91" s="1"/>
  <c r="J50" i="91"/>
  <c r="L50" i="91" s="1"/>
  <c r="I50" i="91"/>
  <c r="E50" i="91"/>
  <c r="G50" i="91" s="1"/>
  <c r="J49" i="91"/>
  <c r="L49" i="91" s="1"/>
  <c r="I49" i="91"/>
  <c r="E49" i="91"/>
  <c r="G49" i="91" s="1"/>
  <c r="L48" i="91"/>
  <c r="J48" i="91"/>
  <c r="I48" i="91"/>
  <c r="E48" i="91"/>
  <c r="G48" i="91" s="1"/>
  <c r="L47" i="91"/>
  <c r="J47" i="91"/>
  <c r="I47" i="91"/>
  <c r="E47" i="91"/>
  <c r="G47" i="91" s="1"/>
  <c r="J46" i="91"/>
  <c r="L46" i="91" s="1"/>
  <c r="I46" i="91"/>
  <c r="E46" i="91"/>
  <c r="G46" i="91" s="1"/>
  <c r="J45" i="91"/>
  <c r="L45" i="91" s="1"/>
  <c r="I45" i="91"/>
  <c r="E45" i="91"/>
  <c r="G45" i="91" s="1"/>
  <c r="L44" i="91"/>
  <c r="J44" i="91"/>
  <c r="I44" i="91"/>
  <c r="E44" i="91"/>
  <c r="G44" i="91" s="1"/>
  <c r="L43" i="91"/>
  <c r="J43" i="91"/>
  <c r="I43" i="91"/>
  <c r="E43" i="91"/>
  <c r="G43" i="91" s="1"/>
  <c r="J42" i="91"/>
  <c r="L42" i="91" s="1"/>
  <c r="I42" i="91"/>
  <c r="E42" i="91"/>
  <c r="G42" i="91" s="1"/>
  <c r="J41" i="91"/>
  <c r="L41" i="91" s="1"/>
  <c r="I41" i="91"/>
  <c r="E41" i="91"/>
  <c r="G41" i="91" s="1"/>
  <c r="L40" i="91"/>
  <c r="J40" i="91"/>
  <c r="I40" i="91"/>
  <c r="E40" i="91"/>
  <c r="G40" i="91" s="1"/>
  <c r="J39" i="91"/>
  <c r="L39" i="91" s="1"/>
  <c r="I39" i="91"/>
  <c r="G39" i="91"/>
  <c r="E39" i="91"/>
  <c r="J38" i="91"/>
  <c r="L38" i="91" s="1"/>
  <c r="I38" i="91"/>
  <c r="G38" i="91"/>
  <c r="E38" i="91"/>
  <c r="J37" i="91"/>
  <c r="L37" i="91" s="1"/>
  <c r="I37" i="91"/>
  <c r="E37" i="91"/>
  <c r="G37" i="91" s="1"/>
  <c r="J36" i="91"/>
  <c r="L36" i="91" s="1"/>
  <c r="I36" i="91"/>
  <c r="E36" i="91"/>
  <c r="G36" i="91" s="1"/>
  <c r="L35" i="91"/>
  <c r="J35" i="91"/>
  <c r="I35" i="91"/>
  <c r="E35" i="91"/>
  <c r="G35" i="91" s="1"/>
  <c r="J34" i="91"/>
  <c r="L34" i="91" s="1"/>
  <c r="I34" i="91"/>
  <c r="E34" i="91"/>
  <c r="G34" i="91" s="1"/>
  <c r="J33" i="91"/>
  <c r="L33" i="91" s="1"/>
  <c r="I33" i="91"/>
  <c r="E33" i="91"/>
  <c r="G33" i="91" s="1"/>
  <c r="J32" i="91"/>
  <c r="L32" i="91" s="1"/>
  <c r="I32" i="91"/>
  <c r="E32" i="91"/>
  <c r="G32" i="91" s="1"/>
  <c r="J31" i="91"/>
  <c r="L31" i="91" s="1"/>
  <c r="I31" i="91"/>
  <c r="E31" i="91"/>
  <c r="G31" i="91" s="1"/>
  <c r="J30" i="91"/>
  <c r="L30" i="91" s="1"/>
  <c r="I30" i="91"/>
  <c r="E30" i="91"/>
  <c r="G30" i="91" s="1"/>
  <c r="J29" i="91"/>
  <c r="L29" i="91" s="1"/>
  <c r="I29" i="91"/>
  <c r="E29" i="91"/>
  <c r="G29" i="91" s="1"/>
  <c r="J28" i="91"/>
  <c r="L28" i="91" s="1"/>
  <c r="I28" i="91"/>
  <c r="E28" i="91"/>
  <c r="G28" i="91" s="1"/>
  <c r="J27" i="91"/>
  <c r="L27" i="91" s="1"/>
  <c r="I27" i="91"/>
  <c r="E27" i="91"/>
  <c r="G27" i="91" s="1"/>
  <c r="J26" i="91"/>
  <c r="L26" i="91" s="1"/>
  <c r="I26" i="91"/>
  <c r="E26" i="91"/>
  <c r="G26" i="91" s="1"/>
  <c r="J25" i="91"/>
  <c r="L25" i="91" s="1"/>
  <c r="I25" i="91"/>
  <c r="E25" i="91"/>
  <c r="G25" i="91" s="1"/>
  <c r="J24" i="91"/>
  <c r="L24" i="91" s="1"/>
  <c r="I24" i="91"/>
  <c r="E24" i="91"/>
  <c r="G24" i="91" s="1"/>
  <c r="J23" i="91"/>
  <c r="L23" i="91" s="1"/>
  <c r="I23" i="91"/>
  <c r="E23" i="91"/>
  <c r="G23" i="91" s="1"/>
  <c r="J22" i="91"/>
  <c r="L22" i="91" s="1"/>
  <c r="I22" i="91"/>
  <c r="E22" i="91"/>
  <c r="G22" i="91" s="1"/>
  <c r="J21" i="91"/>
  <c r="L21" i="91" s="1"/>
  <c r="I21" i="91"/>
  <c r="E21" i="91"/>
  <c r="G21" i="91" s="1"/>
  <c r="J20" i="91"/>
  <c r="L20" i="91" s="1"/>
  <c r="I20" i="91"/>
  <c r="E20" i="91"/>
  <c r="G20" i="91" s="1"/>
  <c r="J19" i="91"/>
  <c r="L19" i="91" s="1"/>
  <c r="I19" i="91"/>
  <c r="E19" i="91"/>
  <c r="G19" i="91" s="1"/>
  <c r="J18" i="91"/>
  <c r="L18" i="91" s="1"/>
  <c r="I18" i="91"/>
  <c r="E18" i="91"/>
  <c r="G18" i="91" s="1"/>
  <c r="J17" i="91"/>
  <c r="L17" i="91" s="1"/>
  <c r="I17" i="91"/>
  <c r="E17" i="91"/>
  <c r="G17" i="91" s="1"/>
  <c r="J16" i="91"/>
  <c r="I16" i="91"/>
  <c r="E16" i="91"/>
  <c r="G16" i="91" s="1"/>
  <c r="J56" i="89"/>
  <c r="G56" i="89"/>
  <c r="C56" i="89"/>
  <c r="I55" i="89"/>
  <c r="E55" i="89"/>
  <c r="I54" i="89"/>
  <c r="E54" i="89"/>
  <c r="I53" i="89"/>
  <c r="E53" i="89"/>
  <c r="I52" i="89"/>
  <c r="E52" i="89"/>
  <c r="I51" i="89"/>
  <c r="E51" i="89"/>
  <c r="I50" i="89"/>
  <c r="E50" i="89"/>
  <c r="I49" i="89"/>
  <c r="E49" i="89"/>
  <c r="I48" i="89"/>
  <c r="E48" i="89"/>
  <c r="I47" i="89"/>
  <c r="E47" i="89"/>
  <c r="I46" i="89"/>
  <c r="E46" i="89"/>
  <c r="I45" i="89"/>
  <c r="E45" i="89"/>
  <c r="I44" i="89"/>
  <c r="E44" i="89"/>
  <c r="I43" i="89"/>
  <c r="E43" i="89"/>
  <c r="I42" i="89"/>
  <c r="E42" i="89"/>
  <c r="I41" i="89"/>
  <c r="E41" i="89"/>
  <c r="I40" i="89"/>
  <c r="E40" i="89"/>
  <c r="I39" i="89"/>
  <c r="E39" i="89"/>
  <c r="I38" i="89"/>
  <c r="E38" i="89"/>
  <c r="I37" i="89"/>
  <c r="E37" i="89"/>
  <c r="I36" i="89"/>
  <c r="E36" i="89"/>
  <c r="I35" i="89"/>
  <c r="E35" i="89"/>
  <c r="I34" i="89"/>
  <c r="E34" i="89"/>
  <c r="I33" i="89"/>
  <c r="E33" i="89"/>
  <c r="I32" i="89"/>
  <c r="E32" i="89"/>
  <c r="I31" i="89"/>
  <c r="E31" i="89"/>
  <c r="I30" i="89"/>
  <c r="E30" i="89"/>
  <c r="I29" i="89"/>
  <c r="E29" i="89"/>
  <c r="I28" i="89"/>
  <c r="E28" i="89"/>
  <c r="I27" i="89"/>
  <c r="E27" i="89"/>
  <c r="I26" i="89"/>
  <c r="E26" i="89"/>
  <c r="I25" i="89"/>
  <c r="E25" i="89"/>
  <c r="I24" i="89"/>
  <c r="E24" i="89"/>
  <c r="I23" i="89"/>
  <c r="E23" i="89"/>
  <c r="I22" i="89"/>
  <c r="E22" i="89"/>
  <c r="I21" i="89"/>
  <c r="E21" i="89"/>
  <c r="I20" i="89"/>
  <c r="E20" i="89"/>
  <c r="I19" i="89"/>
  <c r="E19" i="89"/>
  <c r="I18" i="89"/>
  <c r="E18" i="89"/>
  <c r="I17" i="89"/>
  <c r="E17" i="89"/>
  <c r="I16" i="89"/>
  <c r="E16" i="89"/>
  <c r="N57" i="88"/>
  <c r="K57" i="88"/>
  <c r="D57" i="88"/>
  <c r="C57" i="88"/>
  <c r="M56" i="88"/>
  <c r="O56" i="88" s="1"/>
  <c r="F55" i="89" s="1"/>
  <c r="H55" i="89" s="1"/>
  <c r="I56" i="88"/>
  <c r="H56" i="88"/>
  <c r="J56" i="88" s="1"/>
  <c r="L56" i="88" s="1"/>
  <c r="G56" i="88"/>
  <c r="M55" i="88"/>
  <c r="O55" i="88" s="1"/>
  <c r="F54" i="89" s="1"/>
  <c r="H54" i="89" s="1"/>
  <c r="I55" i="88"/>
  <c r="H55" i="88"/>
  <c r="J55" i="88" s="1"/>
  <c r="L55" i="88" s="1"/>
  <c r="G55" i="88"/>
  <c r="M54" i="88"/>
  <c r="I54" i="88"/>
  <c r="H54" i="88"/>
  <c r="O54" i="88" s="1"/>
  <c r="F53" i="89" s="1"/>
  <c r="H53" i="89" s="1"/>
  <c r="G54" i="88"/>
  <c r="M53" i="88"/>
  <c r="O53" i="88" s="1"/>
  <c r="K52" i="89" s="1"/>
  <c r="F52" i="90" s="1"/>
  <c r="H52" i="90" s="1"/>
  <c r="J53" i="88"/>
  <c r="L53" i="88" s="1"/>
  <c r="I53" i="88"/>
  <c r="H53" i="88"/>
  <c r="G53" i="88"/>
  <c r="O52" i="88"/>
  <c r="F51" i="89" s="1"/>
  <c r="H51" i="89" s="1"/>
  <c r="M52" i="88"/>
  <c r="I52" i="88"/>
  <c r="H52" i="88"/>
  <c r="G52" i="88"/>
  <c r="M51" i="88"/>
  <c r="I51" i="88"/>
  <c r="H51" i="88"/>
  <c r="J51" i="88" s="1"/>
  <c r="L51" i="88" s="1"/>
  <c r="G51" i="88"/>
  <c r="M50" i="88"/>
  <c r="I50" i="88"/>
  <c r="J50" i="88" s="1"/>
  <c r="L50" i="88" s="1"/>
  <c r="H50" i="88"/>
  <c r="G50" i="88"/>
  <c r="M49" i="88"/>
  <c r="O49" i="88" s="1"/>
  <c r="K48" i="89" s="1"/>
  <c r="F48" i="90" s="1"/>
  <c r="H48" i="90" s="1"/>
  <c r="I49" i="88"/>
  <c r="H49" i="88"/>
  <c r="J49" i="88" s="1"/>
  <c r="L49" i="88" s="1"/>
  <c r="G49" i="88"/>
  <c r="M48" i="88"/>
  <c r="O48" i="88" s="1"/>
  <c r="I48" i="88"/>
  <c r="H48" i="88"/>
  <c r="J48" i="88" s="1"/>
  <c r="L48" i="88" s="1"/>
  <c r="G48" i="88"/>
  <c r="M47" i="88"/>
  <c r="I47" i="88"/>
  <c r="H47" i="88"/>
  <c r="J47" i="88" s="1"/>
  <c r="L47" i="88" s="1"/>
  <c r="G47" i="88"/>
  <c r="M46" i="88"/>
  <c r="O46" i="88" s="1"/>
  <c r="F45" i="89" s="1"/>
  <c r="H45" i="89" s="1"/>
  <c r="I46" i="88"/>
  <c r="H46" i="88"/>
  <c r="J46" i="88" s="1"/>
  <c r="L46" i="88" s="1"/>
  <c r="G46" i="88"/>
  <c r="M45" i="88"/>
  <c r="O45" i="88" s="1"/>
  <c r="K44" i="89" s="1"/>
  <c r="F44" i="90" s="1"/>
  <c r="H44" i="90" s="1"/>
  <c r="I45" i="88"/>
  <c r="J45" i="88" s="1"/>
  <c r="L45" i="88" s="1"/>
  <c r="H45" i="88"/>
  <c r="G45" i="88"/>
  <c r="M44" i="88"/>
  <c r="O44" i="88" s="1"/>
  <c r="I44" i="88"/>
  <c r="H44" i="88"/>
  <c r="J44" i="88" s="1"/>
  <c r="L44" i="88" s="1"/>
  <c r="G44" i="88"/>
  <c r="M43" i="88"/>
  <c r="O43" i="88" s="1"/>
  <c r="F42" i="89" s="1"/>
  <c r="H42" i="89" s="1"/>
  <c r="I43" i="88"/>
  <c r="H43" i="88"/>
  <c r="J43" i="88" s="1"/>
  <c r="L43" i="88" s="1"/>
  <c r="G43" i="88"/>
  <c r="O42" i="88"/>
  <c r="F41" i="89" s="1"/>
  <c r="H41" i="89" s="1"/>
  <c r="M42" i="88"/>
  <c r="I42" i="88"/>
  <c r="J42" i="88" s="1"/>
  <c r="L42" i="88" s="1"/>
  <c r="H42" i="88"/>
  <c r="G42" i="88"/>
  <c r="M41" i="88"/>
  <c r="O41" i="88" s="1"/>
  <c r="K40" i="89" s="1"/>
  <c r="F40" i="90" s="1"/>
  <c r="H40" i="90" s="1"/>
  <c r="I41" i="88"/>
  <c r="H41" i="88"/>
  <c r="J41" i="88" s="1"/>
  <c r="L41" i="88" s="1"/>
  <c r="G41" i="88"/>
  <c r="M40" i="88"/>
  <c r="O40" i="88" s="1"/>
  <c r="I40" i="88"/>
  <c r="H40" i="88"/>
  <c r="J40" i="88" s="1"/>
  <c r="L40" i="88" s="1"/>
  <c r="G40" i="88"/>
  <c r="M39" i="88"/>
  <c r="I39" i="88"/>
  <c r="H39" i="88"/>
  <c r="J39" i="88" s="1"/>
  <c r="L39" i="88" s="1"/>
  <c r="G39" i="88"/>
  <c r="M38" i="88"/>
  <c r="O38" i="88" s="1"/>
  <c r="F37" i="89" s="1"/>
  <c r="H37" i="89" s="1"/>
  <c r="I38" i="88"/>
  <c r="H38" i="88"/>
  <c r="J38" i="88" s="1"/>
  <c r="L38" i="88" s="1"/>
  <c r="G38" i="88"/>
  <c r="M37" i="88"/>
  <c r="O37" i="88" s="1"/>
  <c r="K36" i="89" s="1"/>
  <c r="F36" i="90" s="1"/>
  <c r="H36" i="90" s="1"/>
  <c r="I37" i="88"/>
  <c r="J37" i="88" s="1"/>
  <c r="L37" i="88" s="1"/>
  <c r="H37" i="88"/>
  <c r="G37" i="88"/>
  <c r="M36" i="88"/>
  <c r="O36" i="88" s="1"/>
  <c r="I36" i="88"/>
  <c r="H36" i="88"/>
  <c r="J36" i="88" s="1"/>
  <c r="L36" i="88" s="1"/>
  <c r="G36" i="88"/>
  <c r="M35" i="88"/>
  <c r="O35" i="88" s="1"/>
  <c r="F34" i="89" s="1"/>
  <c r="H34" i="89" s="1"/>
  <c r="I35" i="88"/>
  <c r="H35" i="88"/>
  <c r="J35" i="88" s="1"/>
  <c r="L35" i="88" s="1"/>
  <c r="G35" i="88"/>
  <c r="O34" i="88"/>
  <c r="F33" i="89" s="1"/>
  <c r="H33" i="89" s="1"/>
  <c r="M34" i="88"/>
  <c r="I34" i="88"/>
  <c r="J34" i="88" s="1"/>
  <c r="L34" i="88" s="1"/>
  <c r="H34" i="88"/>
  <c r="G34" i="88"/>
  <c r="M33" i="88"/>
  <c r="O33" i="88" s="1"/>
  <c r="K32" i="89" s="1"/>
  <c r="F32" i="90" s="1"/>
  <c r="H32" i="90" s="1"/>
  <c r="I33" i="88"/>
  <c r="H33" i="88"/>
  <c r="J33" i="88" s="1"/>
  <c r="L33" i="88" s="1"/>
  <c r="G33" i="88"/>
  <c r="M32" i="88"/>
  <c r="O32" i="88" s="1"/>
  <c r="I32" i="88"/>
  <c r="H32" i="88"/>
  <c r="J32" i="88" s="1"/>
  <c r="L32" i="88" s="1"/>
  <c r="G32" i="88"/>
  <c r="M31" i="88"/>
  <c r="I31" i="88"/>
  <c r="H31" i="88"/>
  <c r="J31" i="88" s="1"/>
  <c r="L31" i="88" s="1"/>
  <c r="G31" i="88"/>
  <c r="M30" i="88"/>
  <c r="O30" i="88" s="1"/>
  <c r="F29" i="89" s="1"/>
  <c r="H29" i="89" s="1"/>
  <c r="I30" i="88"/>
  <c r="H30" i="88"/>
  <c r="J30" i="88" s="1"/>
  <c r="L30" i="88" s="1"/>
  <c r="G30" i="88"/>
  <c r="M29" i="88"/>
  <c r="O29" i="88" s="1"/>
  <c r="K28" i="89" s="1"/>
  <c r="F28" i="90" s="1"/>
  <c r="H28" i="90" s="1"/>
  <c r="I29" i="88"/>
  <c r="J29" i="88" s="1"/>
  <c r="L29" i="88" s="1"/>
  <c r="H29" i="88"/>
  <c r="G29" i="88"/>
  <c r="M28" i="88"/>
  <c r="I28" i="88"/>
  <c r="H28" i="88"/>
  <c r="G28" i="88"/>
  <c r="M27" i="88"/>
  <c r="O27" i="88" s="1"/>
  <c r="I27" i="88"/>
  <c r="H27" i="88"/>
  <c r="G27" i="88"/>
  <c r="M26" i="88"/>
  <c r="O26" i="88" s="1"/>
  <c r="F25" i="89" s="1"/>
  <c r="H25" i="89" s="1"/>
  <c r="I26" i="88"/>
  <c r="H26" i="88"/>
  <c r="J26" i="88" s="1"/>
  <c r="L26" i="88" s="1"/>
  <c r="G26" i="88"/>
  <c r="M25" i="88"/>
  <c r="O25" i="88" s="1"/>
  <c r="I25" i="88"/>
  <c r="J25" i="88" s="1"/>
  <c r="L25" i="88" s="1"/>
  <c r="H25" i="88"/>
  <c r="G25" i="88"/>
  <c r="M24" i="88"/>
  <c r="O24" i="88" s="1"/>
  <c r="I24" i="88"/>
  <c r="H24" i="88"/>
  <c r="G24" i="88"/>
  <c r="M23" i="88"/>
  <c r="I23" i="88"/>
  <c r="H23" i="88"/>
  <c r="J23" i="88" s="1"/>
  <c r="L23" i="88" s="1"/>
  <c r="G23" i="88"/>
  <c r="O22" i="88"/>
  <c r="F21" i="89" s="1"/>
  <c r="H21" i="89" s="1"/>
  <c r="M22" i="88"/>
  <c r="I22" i="88"/>
  <c r="J22" i="88" s="1"/>
  <c r="L22" i="88" s="1"/>
  <c r="H22" i="88"/>
  <c r="G22" i="88"/>
  <c r="M21" i="88"/>
  <c r="O21" i="88" s="1"/>
  <c r="I21" i="88"/>
  <c r="H21" i="88"/>
  <c r="G21" i="88"/>
  <c r="M20" i="88"/>
  <c r="O20" i="88" s="1"/>
  <c r="I20" i="88"/>
  <c r="H20" i="88"/>
  <c r="J20" i="88" s="1"/>
  <c r="L20" i="88" s="1"/>
  <c r="G20" i="88"/>
  <c r="M19" i="88"/>
  <c r="O19" i="88" s="1"/>
  <c r="I19" i="88"/>
  <c r="H19" i="88"/>
  <c r="J19" i="88" s="1"/>
  <c r="L19" i="88" s="1"/>
  <c r="G19" i="88"/>
  <c r="M18" i="88"/>
  <c r="O18" i="88" s="1"/>
  <c r="F17" i="89" s="1"/>
  <c r="H17" i="89" s="1"/>
  <c r="I18" i="88"/>
  <c r="J18" i="88" s="1"/>
  <c r="L18" i="88" s="1"/>
  <c r="H18" i="88"/>
  <c r="G18" i="88"/>
  <c r="M17" i="88"/>
  <c r="J17" i="88"/>
  <c r="I17" i="88"/>
  <c r="H17" i="88"/>
  <c r="G17" i="88"/>
  <c r="K56" i="87"/>
  <c r="F56" i="87"/>
  <c r="D56" i="87"/>
  <c r="C56" i="87"/>
  <c r="L55" i="87"/>
  <c r="J55" i="87"/>
  <c r="I55" i="87"/>
  <c r="E55" i="87"/>
  <c r="G55" i="87" s="1"/>
  <c r="L54" i="87"/>
  <c r="J54" i="87"/>
  <c r="I54" i="87"/>
  <c r="E54" i="87"/>
  <c r="G54" i="87" s="1"/>
  <c r="J53" i="87"/>
  <c r="L53" i="87" s="1"/>
  <c r="I53" i="87"/>
  <c r="E53" i="87"/>
  <c r="G53" i="87" s="1"/>
  <c r="J52" i="87"/>
  <c r="L52" i="87" s="1"/>
  <c r="I52" i="87"/>
  <c r="E52" i="87"/>
  <c r="G52" i="87" s="1"/>
  <c r="J51" i="87"/>
  <c r="L51" i="87" s="1"/>
  <c r="I51" i="87"/>
  <c r="E51" i="87"/>
  <c r="G51" i="87" s="1"/>
  <c r="J50" i="87"/>
  <c r="L50" i="87" s="1"/>
  <c r="I50" i="87"/>
  <c r="E50" i="87"/>
  <c r="G50" i="87" s="1"/>
  <c r="J49" i="87"/>
  <c r="L49" i="87" s="1"/>
  <c r="I49" i="87"/>
  <c r="E49" i="87"/>
  <c r="G49" i="87" s="1"/>
  <c r="J48" i="87"/>
  <c r="L48" i="87" s="1"/>
  <c r="I48" i="87"/>
  <c r="E48" i="87"/>
  <c r="G48" i="87" s="1"/>
  <c r="J47" i="87"/>
  <c r="L47" i="87" s="1"/>
  <c r="I47" i="87"/>
  <c r="E47" i="87"/>
  <c r="G47" i="87" s="1"/>
  <c r="J46" i="87"/>
  <c r="L46" i="87" s="1"/>
  <c r="I46" i="87"/>
  <c r="E46" i="87"/>
  <c r="G46" i="87" s="1"/>
  <c r="J45" i="87"/>
  <c r="L45" i="87" s="1"/>
  <c r="I45" i="87"/>
  <c r="E45" i="87"/>
  <c r="G45" i="87" s="1"/>
  <c r="J44" i="87"/>
  <c r="L44" i="87" s="1"/>
  <c r="I44" i="87"/>
  <c r="E44" i="87"/>
  <c r="G44" i="87" s="1"/>
  <c r="J43" i="87"/>
  <c r="L43" i="87" s="1"/>
  <c r="I43" i="87"/>
  <c r="E43" i="87"/>
  <c r="G43" i="87" s="1"/>
  <c r="J42" i="87"/>
  <c r="L42" i="87" s="1"/>
  <c r="I42" i="87"/>
  <c r="E42" i="87"/>
  <c r="G42" i="87" s="1"/>
  <c r="J41" i="87"/>
  <c r="L41" i="87" s="1"/>
  <c r="I41" i="87"/>
  <c r="E41" i="87"/>
  <c r="G41" i="87" s="1"/>
  <c r="J40" i="87"/>
  <c r="L40" i="87" s="1"/>
  <c r="I40" i="87"/>
  <c r="E40" i="87"/>
  <c r="G40" i="87" s="1"/>
  <c r="J39" i="87"/>
  <c r="L39" i="87" s="1"/>
  <c r="I39" i="87"/>
  <c r="E39" i="87"/>
  <c r="G39" i="87" s="1"/>
  <c r="J38" i="87"/>
  <c r="L38" i="87" s="1"/>
  <c r="I38" i="87"/>
  <c r="E38" i="87"/>
  <c r="G38" i="87" s="1"/>
  <c r="J37" i="87"/>
  <c r="L37" i="87" s="1"/>
  <c r="I37" i="87"/>
  <c r="E37" i="87"/>
  <c r="G37" i="87" s="1"/>
  <c r="J36" i="87"/>
  <c r="L36" i="87" s="1"/>
  <c r="I36" i="87"/>
  <c r="E36" i="87"/>
  <c r="G36" i="87" s="1"/>
  <c r="J35" i="87"/>
  <c r="L35" i="87" s="1"/>
  <c r="I35" i="87"/>
  <c r="E35" i="87"/>
  <c r="G35" i="87" s="1"/>
  <c r="J34" i="87"/>
  <c r="L34" i="87" s="1"/>
  <c r="I34" i="87"/>
  <c r="E34" i="87"/>
  <c r="G34" i="87" s="1"/>
  <c r="J33" i="87"/>
  <c r="L33" i="87" s="1"/>
  <c r="I33" i="87"/>
  <c r="E33" i="87"/>
  <c r="G33" i="87" s="1"/>
  <c r="J32" i="87"/>
  <c r="L32" i="87" s="1"/>
  <c r="I32" i="87"/>
  <c r="E32" i="87"/>
  <c r="G32" i="87" s="1"/>
  <c r="J31" i="87"/>
  <c r="L31" i="87" s="1"/>
  <c r="I31" i="87"/>
  <c r="E31" i="87"/>
  <c r="G31" i="87" s="1"/>
  <c r="J30" i="87"/>
  <c r="L30" i="87" s="1"/>
  <c r="I30" i="87"/>
  <c r="E30" i="87"/>
  <c r="G30" i="87" s="1"/>
  <c r="J29" i="87"/>
  <c r="L29" i="87" s="1"/>
  <c r="I29" i="87"/>
  <c r="E29" i="87"/>
  <c r="G29" i="87" s="1"/>
  <c r="J28" i="87"/>
  <c r="L28" i="87" s="1"/>
  <c r="I28" i="87"/>
  <c r="E28" i="87"/>
  <c r="G28" i="87" s="1"/>
  <c r="J27" i="87"/>
  <c r="L27" i="87" s="1"/>
  <c r="I27" i="87"/>
  <c r="E27" i="87"/>
  <c r="G27" i="87" s="1"/>
  <c r="J26" i="87"/>
  <c r="L26" i="87" s="1"/>
  <c r="I26" i="87"/>
  <c r="E26" i="87"/>
  <c r="G26" i="87" s="1"/>
  <c r="J25" i="87"/>
  <c r="L25" i="87" s="1"/>
  <c r="I25" i="87"/>
  <c r="E25" i="87"/>
  <c r="G25" i="87" s="1"/>
  <c r="J24" i="87"/>
  <c r="L24" i="87" s="1"/>
  <c r="I24" i="87"/>
  <c r="E24" i="87"/>
  <c r="G24" i="87" s="1"/>
  <c r="J23" i="87"/>
  <c r="L23" i="87" s="1"/>
  <c r="I23" i="87"/>
  <c r="E23" i="87"/>
  <c r="G23" i="87" s="1"/>
  <c r="J22" i="87"/>
  <c r="L22" i="87" s="1"/>
  <c r="I22" i="87"/>
  <c r="E22" i="87"/>
  <c r="G22" i="87" s="1"/>
  <c r="J21" i="87"/>
  <c r="L21" i="87" s="1"/>
  <c r="I21" i="87"/>
  <c r="E21" i="87"/>
  <c r="G21" i="87" s="1"/>
  <c r="J20" i="87"/>
  <c r="L20" i="87" s="1"/>
  <c r="I20" i="87"/>
  <c r="E20" i="87"/>
  <c r="G20" i="87" s="1"/>
  <c r="J19" i="87"/>
  <c r="L19" i="87" s="1"/>
  <c r="I19" i="87"/>
  <c r="E19" i="87"/>
  <c r="G19" i="87" s="1"/>
  <c r="J18" i="87"/>
  <c r="L18" i="87" s="1"/>
  <c r="I18" i="87"/>
  <c r="E18" i="87"/>
  <c r="G18" i="87" s="1"/>
  <c r="J17" i="87"/>
  <c r="L17" i="87" s="1"/>
  <c r="I17" i="87"/>
  <c r="E17" i="87"/>
  <c r="G17" i="87" s="1"/>
  <c r="J16" i="87"/>
  <c r="I16" i="87"/>
  <c r="E16" i="87"/>
  <c r="E56" i="87" s="1"/>
  <c r="G53" i="86"/>
  <c r="F53" i="86"/>
  <c r="E53" i="86"/>
  <c r="I52" i="86"/>
  <c r="H52" i="86"/>
  <c r="I51" i="86"/>
  <c r="H51" i="86"/>
  <c r="I50" i="86"/>
  <c r="H50" i="86"/>
  <c r="I49" i="86"/>
  <c r="H49" i="86"/>
  <c r="I48" i="86"/>
  <c r="H48" i="86"/>
  <c r="I47" i="86"/>
  <c r="H47" i="86"/>
  <c r="I46" i="86"/>
  <c r="H46" i="86"/>
  <c r="I45" i="86"/>
  <c r="H45" i="86"/>
  <c r="I43" i="86"/>
  <c r="H43" i="86"/>
  <c r="I42" i="86"/>
  <c r="H42" i="86"/>
  <c r="I41" i="86"/>
  <c r="H41" i="86"/>
  <c r="I40" i="86"/>
  <c r="H40" i="86"/>
  <c r="I39" i="86"/>
  <c r="H39" i="86"/>
  <c r="G31" i="86"/>
  <c r="F31" i="86"/>
  <c r="E31" i="86"/>
  <c r="I30" i="86"/>
  <c r="H30" i="86"/>
  <c r="I29" i="86"/>
  <c r="H29" i="86"/>
  <c r="I28" i="86"/>
  <c r="H28" i="86"/>
  <c r="I27" i="86"/>
  <c r="H27" i="86"/>
  <c r="I26" i="86"/>
  <c r="H26" i="86"/>
  <c r="I25" i="86"/>
  <c r="H25" i="86"/>
  <c r="I24" i="86"/>
  <c r="H24" i="86"/>
  <c r="I23" i="86"/>
  <c r="H23" i="86"/>
  <c r="I22" i="86"/>
  <c r="H22" i="86"/>
  <c r="I21" i="86"/>
  <c r="H21" i="86"/>
  <c r="I20" i="86"/>
  <c r="H20" i="86"/>
  <c r="I19" i="86"/>
  <c r="H19" i="86"/>
  <c r="I18" i="86"/>
  <c r="H18" i="86"/>
  <c r="I17" i="86"/>
  <c r="I31" i="86" s="1"/>
  <c r="H17" i="86"/>
  <c r="H31" i="86" s="1"/>
  <c r="G16" i="87" l="1"/>
  <c r="K21" i="89"/>
  <c r="F21" i="90" s="1"/>
  <c r="H21" i="90" s="1"/>
  <c r="K25" i="89"/>
  <c r="F25" i="90" s="1"/>
  <c r="H25" i="90" s="1"/>
  <c r="K29" i="89"/>
  <c r="F29" i="90" s="1"/>
  <c r="H29" i="90" s="1"/>
  <c r="K33" i="89"/>
  <c r="F33" i="90" s="1"/>
  <c r="H33" i="90" s="1"/>
  <c r="K45" i="89"/>
  <c r="F45" i="90" s="1"/>
  <c r="H45" i="90" s="1"/>
  <c r="M56" i="93"/>
  <c r="J55" i="93"/>
  <c r="L55" i="93" s="1"/>
  <c r="J54" i="88"/>
  <c r="L54" i="88" s="1"/>
  <c r="I53" i="86"/>
  <c r="K37" i="89"/>
  <c r="F37" i="90" s="1"/>
  <c r="H37" i="90" s="1"/>
  <c r="K41" i="89"/>
  <c r="F41" i="90" s="1"/>
  <c r="H41" i="90" s="1"/>
  <c r="J39" i="93"/>
  <c r="L39" i="93" s="1"/>
  <c r="O28" i="93"/>
  <c r="F28" i="94" s="1"/>
  <c r="H28" i="94" s="1"/>
  <c r="J35" i="93"/>
  <c r="L35" i="93" s="1"/>
  <c r="O44" i="93"/>
  <c r="F44" i="94" s="1"/>
  <c r="H44" i="94" s="1"/>
  <c r="J51" i="93"/>
  <c r="L51" i="93" s="1"/>
  <c r="H53" i="86"/>
  <c r="J56" i="87"/>
  <c r="J21" i="88"/>
  <c r="L21" i="88" s="1"/>
  <c r="J27" i="88"/>
  <c r="L27" i="88" s="1"/>
  <c r="J28" i="88"/>
  <c r="L28" i="88" s="1"/>
  <c r="O50" i="88"/>
  <c r="F49" i="89" s="1"/>
  <c r="H49" i="89" s="1"/>
  <c r="I56" i="89"/>
  <c r="J16" i="93"/>
  <c r="J17" i="93"/>
  <c r="L17" i="93" s="1"/>
  <c r="O18" i="93"/>
  <c r="F18" i="94" s="1"/>
  <c r="H18" i="94" s="1"/>
  <c r="O24" i="93"/>
  <c r="F24" i="94" s="1"/>
  <c r="H24" i="94" s="1"/>
  <c r="J27" i="93"/>
  <c r="L27" i="93" s="1"/>
  <c r="J32" i="93"/>
  <c r="L32" i="93" s="1"/>
  <c r="J33" i="93"/>
  <c r="L33" i="93" s="1"/>
  <c r="O34" i="93"/>
  <c r="F34" i="94" s="1"/>
  <c r="H34" i="94" s="1"/>
  <c r="O40" i="93"/>
  <c r="F40" i="94" s="1"/>
  <c r="H40" i="94" s="1"/>
  <c r="J47" i="93"/>
  <c r="L47" i="93" s="1"/>
  <c r="J48" i="93"/>
  <c r="L48" i="93" s="1"/>
  <c r="J49" i="93"/>
  <c r="L49" i="93" s="1"/>
  <c r="O50" i="93"/>
  <c r="F50" i="94" s="1"/>
  <c r="H50" i="94" s="1"/>
  <c r="G56" i="87"/>
  <c r="F19" i="89"/>
  <c r="H19" i="89" s="1"/>
  <c r="K19" i="89"/>
  <c r="F19" i="90" s="1"/>
  <c r="H19" i="90" s="1"/>
  <c r="F23" i="89"/>
  <c r="H23" i="89" s="1"/>
  <c r="K23" i="89"/>
  <c r="F23" i="90" s="1"/>
  <c r="H23" i="90" s="1"/>
  <c r="O31" i="88"/>
  <c r="O39" i="88"/>
  <c r="F38" i="89" s="1"/>
  <c r="H38" i="89" s="1"/>
  <c r="O47" i="88"/>
  <c r="F46" i="89" s="1"/>
  <c r="H46" i="89" s="1"/>
  <c r="K17" i="89"/>
  <c r="F17" i="90" s="1"/>
  <c r="H17" i="90" s="1"/>
  <c r="K49" i="89"/>
  <c r="F49" i="90" s="1"/>
  <c r="H49" i="90" s="1"/>
  <c r="K53" i="89"/>
  <c r="F53" i="90" s="1"/>
  <c r="H53" i="90" s="1"/>
  <c r="H57" i="88"/>
  <c r="O17" i="88"/>
  <c r="F18" i="89"/>
  <c r="H18" i="89" s="1"/>
  <c r="K18" i="89"/>
  <c r="F18" i="90" s="1"/>
  <c r="H18" i="90" s="1"/>
  <c r="I57" i="88"/>
  <c r="J24" i="88"/>
  <c r="L24" i="88" s="1"/>
  <c r="F31" i="89"/>
  <c r="H31" i="89" s="1"/>
  <c r="K31" i="89"/>
  <c r="F31" i="90" s="1"/>
  <c r="H31" i="90" s="1"/>
  <c r="F39" i="89"/>
  <c r="H39" i="89" s="1"/>
  <c r="K39" i="89"/>
  <c r="F39" i="90" s="1"/>
  <c r="H39" i="90" s="1"/>
  <c r="F47" i="89"/>
  <c r="H47" i="89" s="1"/>
  <c r="K47" i="89"/>
  <c r="F47" i="90" s="1"/>
  <c r="H47" i="90" s="1"/>
  <c r="O51" i="88"/>
  <c r="F50" i="89" s="1"/>
  <c r="H50" i="89" s="1"/>
  <c r="L17" i="88"/>
  <c r="K34" i="89"/>
  <c r="F34" i="90" s="1"/>
  <c r="H34" i="90" s="1"/>
  <c r="K38" i="89"/>
  <c r="F38" i="90" s="1"/>
  <c r="H38" i="90" s="1"/>
  <c r="K42" i="89"/>
  <c r="F42" i="90" s="1"/>
  <c r="H42" i="90" s="1"/>
  <c r="K54" i="89"/>
  <c r="F54" i="90" s="1"/>
  <c r="H54" i="90" s="1"/>
  <c r="K24" i="89"/>
  <c r="F24" i="90" s="1"/>
  <c r="H24" i="90" s="1"/>
  <c r="F24" i="89"/>
  <c r="H24" i="89" s="1"/>
  <c r="F26" i="89"/>
  <c r="H26" i="89" s="1"/>
  <c r="K26" i="89"/>
  <c r="F26" i="90" s="1"/>
  <c r="H26" i="90" s="1"/>
  <c r="L16" i="87"/>
  <c r="L56" i="87" s="1"/>
  <c r="M57" i="88"/>
  <c r="K20" i="89"/>
  <c r="F20" i="90" s="1"/>
  <c r="H20" i="90" s="1"/>
  <c r="F20" i="89"/>
  <c r="H20" i="89" s="1"/>
  <c r="O23" i="88"/>
  <c r="O28" i="88"/>
  <c r="F35" i="89"/>
  <c r="H35" i="89" s="1"/>
  <c r="K35" i="89"/>
  <c r="F35" i="90" s="1"/>
  <c r="H35" i="90" s="1"/>
  <c r="F43" i="89"/>
  <c r="H43" i="89" s="1"/>
  <c r="K43" i="89"/>
  <c r="F43" i="90" s="1"/>
  <c r="H43" i="90" s="1"/>
  <c r="J52" i="88"/>
  <c r="L52" i="88" s="1"/>
  <c r="F28" i="89"/>
  <c r="H28" i="89" s="1"/>
  <c r="F32" i="89"/>
  <c r="H32" i="89" s="1"/>
  <c r="F36" i="89"/>
  <c r="H36" i="89" s="1"/>
  <c r="F40" i="89"/>
  <c r="H40" i="89" s="1"/>
  <c r="F44" i="89"/>
  <c r="H44" i="89" s="1"/>
  <c r="F48" i="89"/>
  <c r="H48" i="89" s="1"/>
  <c r="F52" i="89"/>
  <c r="H52" i="89" s="1"/>
  <c r="J56" i="91"/>
  <c r="L56" i="92"/>
  <c r="L16" i="93"/>
  <c r="L56" i="93" s="1"/>
  <c r="E56" i="91"/>
  <c r="L16" i="91"/>
  <c r="L56" i="91" s="1"/>
  <c r="G18" i="92"/>
  <c r="G56" i="92" s="1"/>
  <c r="E56" i="92"/>
  <c r="K51" i="89"/>
  <c r="F51" i="90" s="1"/>
  <c r="H51" i="90" s="1"/>
  <c r="K55" i="89"/>
  <c r="F55" i="90" s="1"/>
  <c r="H55" i="90" s="1"/>
  <c r="G56" i="91"/>
  <c r="J56" i="92"/>
  <c r="O16" i="93"/>
  <c r="F16" i="94" s="1"/>
  <c r="H56" i="93"/>
  <c r="E37" i="83"/>
  <c r="D37" i="83"/>
  <c r="F36" i="83"/>
  <c r="F35" i="83"/>
  <c r="F34" i="83"/>
  <c r="F33" i="83"/>
  <c r="F32" i="83"/>
  <c r="F31" i="83"/>
  <c r="F30" i="83"/>
  <c r="F29" i="83"/>
  <c r="F28" i="83"/>
  <c r="F27" i="83"/>
  <c r="F26" i="83"/>
  <c r="F23" i="83"/>
  <c r="E22" i="83"/>
  <c r="E24" i="83" s="1"/>
  <c r="D22" i="83"/>
  <c r="D24" i="83" s="1"/>
  <c r="F21" i="83"/>
  <c r="F20" i="83"/>
  <c r="F22" i="83" s="1"/>
  <c r="F24" i="83" s="1"/>
  <c r="F37" i="83" l="1"/>
  <c r="J56" i="93"/>
  <c r="F56" i="94"/>
  <c r="F57" i="94" s="1"/>
  <c r="H16" i="94"/>
  <c r="H56" i="94" s="1"/>
  <c r="O56" i="93"/>
  <c r="K50" i="89"/>
  <c r="F50" i="90" s="1"/>
  <c r="H50" i="90" s="1"/>
  <c r="F27" i="89"/>
  <c r="H27" i="89" s="1"/>
  <c r="K27" i="89"/>
  <c r="F27" i="90" s="1"/>
  <c r="H27" i="90" s="1"/>
  <c r="K46" i="89"/>
  <c r="F46" i="90" s="1"/>
  <c r="H46" i="90" s="1"/>
  <c r="L57" i="88"/>
  <c r="F30" i="89"/>
  <c r="H30" i="89" s="1"/>
  <c r="K30" i="89"/>
  <c r="F30" i="90" s="1"/>
  <c r="H30" i="90" s="1"/>
  <c r="F22" i="89"/>
  <c r="H22" i="89" s="1"/>
  <c r="K22" i="89"/>
  <c r="F22" i="90" s="1"/>
  <c r="H22" i="90" s="1"/>
  <c r="J57" i="88"/>
  <c r="K16" i="89"/>
  <c r="F16" i="90" s="1"/>
  <c r="O57" i="88"/>
  <c r="F16" i="89"/>
  <c r="H16" i="90" l="1"/>
  <c r="H56" i="90" s="1"/>
  <c r="F56" i="90"/>
  <c r="F57" i="90" s="1"/>
  <c r="K56" i="89"/>
  <c r="H16" i="89"/>
  <c r="H56" i="89" s="1"/>
  <c r="F56" i="89"/>
  <c r="E35" i="81" l="1"/>
  <c r="D35" i="81"/>
  <c r="F34" i="81"/>
  <c r="F33" i="81"/>
  <c r="F32" i="81"/>
  <c r="F31" i="81"/>
  <c r="F30" i="81"/>
  <c r="F29" i="81"/>
  <c r="F28" i="81"/>
  <c r="F27" i="81"/>
  <c r="F26" i="81"/>
  <c r="F25" i="81"/>
  <c r="F24" i="81"/>
  <c r="F23" i="81"/>
  <c r="F21" i="81"/>
  <c r="E20" i="81"/>
  <c r="E22" i="81" s="1"/>
  <c r="D20" i="81"/>
  <c r="D22" i="81" s="1"/>
  <c r="F19" i="81"/>
  <c r="F18" i="81"/>
  <c r="F20" i="81" s="1"/>
  <c r="F22" i="81" s="1"/>
  <c r="J29" i="80"/>
  <c r="I29" i="80"/>
  <c r="H29" i="80"/>
  <c r="G29" i="80"/>
  <c r="F29" i="80"/>
  <c r="K28" i="80"/>
  <c r="K27" i="80"/>
  <c r="K26" i="80"/>
  <c r="K25" i="80"/>
  <c r="K24" i="80"/>
  <c r="K23" i="80"/>
  <c r="K22" i="80"/>
  <c r="K21" i="80"/>
  <c r="K20" i="80"/>
  <c r="K19" i="80"/>
  <c r="K18" i="80"/>
  <c r="K17" i="80"/>
  <c r="J25" i="79"/>
  <c r="I25" i="79"/>
  <c r="H25" i="79"/>
  <c r="G25" i="79"/>
  <c r="F25" i="79"/>
  <c r="E25" i="79"/>
  <c r="K24" i="79"/>
  <c r="K23" i="79"/>
  <c r="K25" i="79" s="1"/>
  <c r="F32" i="78"/>
  <c r="F35" i="81" l="1"/>
  <c r="K29" i="80"/>
  <c r="M29" i="80" s="1"/>
  <c r="G53" i="71"/>
  <c r="F53" i="71"/>
  <c r="E53" i="71"/>
  <c r="I52" i="71"/>
  <c r="H52" i="71"/>
  <c r="I51" i="71"/>
  <c r="H51" i="71"/>
  <c r="I50" i="71"/>
  <c r="H50" i="71"/>
  <c r="I49" i="71"/>
  <c r="H49" i="71"/>
  <c r="I48" i="71"/>
  <c r="H48" i="71"/>
  <c r="I47" i="71"/>
  <c r="H47" i="71"/>
  <c r="I46" i="71"/>
  <c r="H46" i="71"/>
  <c r="I45" i="71"/>
  <c r="H45" i="71"/>
  <c r="I43" i="71"/>
  <c r="H43" i="71"/>
  <c r="I42" i="71"/>
  <c r="H42" i="71"/>
  <c r="I41" i="71"/>
  <c r="H41" i="71"/>
  <c r="I40" i="71"/>
  <c r="H40" i="71"/>
  <c r="I39" i="71"/>
  <c r="H39" i="71"/>
  <c r="G31" i="71"/>
  <c r="F31" i="71"/>
  <c r="E31" i="71"/>
  <c r="I30" i="71"/>
  <c r="H30" i="71"/>
  <c r="I29" i="71"/>
  <c r="H29" i="71"/>
  <c r="I28" i="71"/>
  <c r="H28" i="71"/>
  <c r="I27" i="71"/>
  <c r="H27" i="71"/>
  <c r="I26" i="71"/>
  <c r="H26" i="71"/>
  <c r="I25" i="71"/>
  <c r="H25" i="71"/>
  <c r="I24" i="71"/>
  <c r="H24" i="71"/>
  <c r="I23" i="71"/>
  <c r="H23" i="71"/>
  <c r="I22" i="71"/>
  <c r="H22" i="71"/>
  <c r="I21" i="71"/>
  <c r="H21" i="71"/>
  <c r="I20" i="71"/>
  <c r="H20" i="71"/>
  <c r="I19" i="71"/>
  <c r="H19" i="71"/>
  <c r="I18" i="71"/>
  <c r="H18" i="71"/>
  <c r="I17" i="71"/>
  <c r="H17" i="71"/>
  <c r="N56" i="69"/>
  <c r="K56" i="69"/>
  <c r="D56" i="69"/>
  <c r="C56" i="69"/>
  <c r="M55" i="69"/>
  <c r="I55" i="69"/>
  <c r="H55" i="69"/>
  <c r="J55" i="69" s="1"/>
  <c r="L55" i="69" s="1"/>
  <c r="G55" i="69"/>
  <c r="M54" i="69"/>
  <c r="O54" i="69" s="1"/>
  <c r="F54" i="70" s="1"/>
  <c r="H54" i="70" s="1"/>
  <c r="I54" i="69"/>
  <c r="H54" i="69"/>
  <c r="G54" i="69"/>
  <c r="M53" i="69"/>
  <c r="I53" i="69"/>
  <c r="H53" i="69"/>
  <c r="G53" i="69"/>
  <c r="M52" i="69"/>
  <c r="O52" i="69" s="1"/>
  <c r="F52" i="70" s="1"/>
  <c r="H52" i="70" s="1"/>
  <c r="I52" i="69"/>
  <c r="H52" i="69"/>
  <c r="G52" i="69"/>
  <c r="M51" i="69"/>
  <c r="I51" i="69"/>
  <c r="H51" i="69"/>
  <c r="J51" i="69" s="1"/>
  <c r="L51" i="69" s="1"/>
  <c r="G51" i="69"/>
  <c r="M50" i="69"/>
  <c r="O50" i="69" s="1"/>
  <c r="F50" i="70" s="1"/>
  <c r="H50" i="70" s="1"/>
  <c r="I50" i="69"/>
  <c r="J50" i="69" s="1"/>
  <c r="L50" i="69" s="1"/>
  <c r="H50" i="69"/>
  <c r="G50" i="69"/>
  <c r="M49" i="69"/>
  <c r="O49" i="69" s="1"/>
  <c r="F49" i="70" s="1"/>
  <c r="H49" i="70" s="1"/>
  <c r="I49" i="69"/>
  <c r="H49" i="69"/>
  <c r="J49" i="69" s="1"/>
  <c r="L49" i="69" s="1"/>
  <c r="G49" i="69"/>
  <c r="M48" i="69"/>
  <c r="I48" i="69"/>
  <c r="H48" i="69"/>
  <c r="J48" i="69" s="1"/>
  <c r="L48" i="69" s="1"/>
  <c r="G48" i="69"/>
  <c r="M47" i="69"/>
  <c r="O47" i="69" s="1"/>
  <c r="F47" i="70" s="1"/>
  <c r="H47" i="70" s="1"/>
  <c r="I47" i="69"/>
  <c r="H47" i="69"/>
  <c r="J47" i="69" s="1"/>
  <c r="L47" i="69" s="1"/>
  <c r="G47" i="69"/>
  <c r="M46" i="69"/>
  <c r="O46" i="69" s="1"/>
  <c r="F46" i="70" s="1"/>
  <c r="H46" i="70" s="1"/>
  <c r="I46" i="69"/>
  <c r="H46" i="69"/>
  <c r="G46" i="69"/>
  <c r="M45" i="69"/>
  <c r="I45" i="69"/>
  <c r="H45" i="69"/>
  <c r="G45" i="69"/>
  <c r="M44" i="69"/>
  <c r="O44" i="69" s="1"/>
  <c r="F44" i="70" s="1"/>
  <c r="H44" i="70" s="1"/>
  <c r="I44" i="69"/>
  <c r="H44" i="69"/>
  <c r="G44" i="69"/>
  <c r="M43" i="69"/>
  <c r="I43" i="69"/>
  <c r="H43" i="69"/>
  <c r="G43" i="69"/>
  <c r="M42" i="69"/>
  <c r="O42" i="69" s="1"/>
  <c r="F42" i="70" s="1"/>
  <c r="H42" i="70" s="1"/>
  <c r="I42" i="69"/>
  <c r="H42" i="69"/>
  <c r="J42" i="69" s="1"/>
  <c r="L42" i="69" s="1"/>
  <c r="G42" i="69"/>
  <c r="M41" i="69"/>
  <c r="I41" i="69"/>
  <c r="H41" i="69"/>
  <c r="O41" i="69" s="1"/>
  <c r="F41" i="70" s="1"/>
  <c r="H41" i="70" s="1"/>
  <c r="G41" i="69"/>
  <c r="M40" i="69"/>
  <c r="I40" i="69"/>
  <c r="H40" i="69"/>
  <c r="J40" i="69" s="1"/>
  <c r="L40" i="69" s="1"/>
  <c r="G40" i="69"/>
  <c r="M39" i="69"/>
  <c r="I39" i="69"/>
  <c r="J39" i="69" s="1"/>
  <c r="L39" i="69" s="1"/>
  <c r="H39" i="69"/>
  <c r="G39" i="69"/>
  <c r="M38" i="69"/>
  <c r="O38" i="69" s="1"/>
  <c r="F38" i="70" s="1"/>
  <c r="H38" i="70" s="1"/>
  <c r="I38" i="69"/>
  <c r="H38" i="69"/>
  <c r="G38" i="69"/>
  <c r="M37" i="69"/>
  <c r="O37" i="69" s="1"/>
  <c r="F37" i="70" s="1"/>
  <c r="H37" i="70" s="1"/>
  <c r="I37" i="69"/>
  <c r="H37" i="69"/>
  <c r="J37" i="69" s="1"/>
  <c r="L37" i="69" s="1"/>
  <c r="G37" i="69"/>
  <c r="M36" i="69"/>
  <c r="I36" i="69"/>
  <c r="H36" i="69"/>
  <c r="J36" i="69" s="1"/>
  <c r="L36" i="69" s="1"/>
  <c r="G36" i="69"/>
  <c r="M35" i="69"/>
  <c r="I35" i="69"/>
  <c r="H35" i="69"/>
  <c r="J35" i="69" s="1"/>
  <c r="L35" i="69" s="1"/>
  <c r="G35" i="69"/>
  <c r="M34" i="69"/>
  <c r="O34" i="69" s="1"/>
  <c r="F34" i="70" s="1"/>
  <c r="H34" i="70" s="1"/>
  <c r="I34" i="69"/>
  <c r="J34" i="69" s="1"/>
  <c r="L34" i="69" s="1"/>
  <c r="H34" i="69"/>
  <c r="G34" i="69"/>
  <c r="M33" i="69"/>
  <c r="O33" i="69" s="1"/>
  <c r="F33" i="70" s="1"/>
  <c r="H33" i="70" s="1"/>
  <c r="I33" i="69"/>
  <c r="H33" i="69"/>
  <c r="G33" i="69"/>
  <c r="M32" i="69"/>
  <c r="I32" i="69"/>
  <c r="H32" i="69"/>
  <c r="G32" i="69"/>
  <c r="M31" i="69"/>
  <c r="O31" i="69" s="1"/>
  <c r="F31" i="70" s="1"/>
  <c r="H31" i="70" s="1"/>
  <c r="I31" i="69"/>
  <c r="H31" i="69"/>
  <c r="G31" i="69"/>
  <c r="M30" i="69"/>
  <c r="O30" i="69" s="1"/>
  <c r="F30" i="70" s="1"/>
  <c r="H30" i="70" s="1"/>
  <c r="I30" i="69"/>
  <c r="H30" i="69"/>
  <c r="G30" i="69"/>
  <c r="M29" i="69"/>
  <c r="O29" i="69" s="1"/>
  <c r="F29" i="70" s="1"/>
  <c r="H29" i="70" s="1"/>
  <c r="I29" i="69"/>
  <c r="H29" i="69"/>
  <c r="J29" i="69" s="1"/>
  <c r="L29" i="69" s="1"/>
  <c r="G29" i="69"/>
  <c r="M28" i="69"/>
  <c r="O28" i="69" s="1"/>
  <c r="F28" i="70" s="1"/>
  <c r="H28" i="70" s="1"/>
  <c r="I28" i="69"/>
  <c r="H28" i="69"/>
  <c r="G28" i="69"/>
  <c r="M27" i="69"/>
  <c r="I27" i="69"/>
  <c r="H27" i="69"/>
  <c r="J27" i="69" s="1"/>
  <c r="L27" i="69" s="1"/>
  <c r="G27" i="69"/>
  <c r="M26" i="69"/>
  <c r="I26" i="69"/>
  <c r="H26" i="69"/>
  <c r="J26" i="69" s="1"/>
  <c r="L26" i="69" s="1"/>
  <c r="G26" i="69"/>
  <c r="M25" i="69"/>
  <c r="O25" i="69" s="1"/>
  <c r="F25" i="70" s="1"/>
  <c r="H25" i="70" s="1"/>
  <c r="J25" i="69"/>
  <c r="L25" i="69" s="1"/>
  <c r="I25" i="69"/>
  <c r="H25" i="69"/>
  <c r="G25" i="69"/>
  <c r="O24" i="69"/>
  <c r="F24" i="70" s="1"/>
  <c r="H24" i="70" s="1"/>
  <c r="M24" i="69"/>
  <c r="I24" i="69"/>
  <c r="H24" i="69"/>
  <c r="G24" i="69"/>
  <c r="M23" i="69"/>
  <c r="I23" i="69"/>
  <c r="H23" i="69"/>
  <c r="J23" i="69" s="1"/>
  <c r="L23" i="69" s="1"/>
  <c r="G23" i="69"/>
  <c r="M22" i="69"/>
  <c r="I22" i="69"/>
  <c r="H22" i="69"/>
  <c r="J22" i="69" s="1"/>
  <c r="L22" i="69" s="1"/>
  <c r="G22" i="69"/>
  <c r="M21" i="69"/>
  <c r="O21" i="69" s="1"/>
  <c r="F21" i="70" s="1"/>
  <c r="H21" i="70" s="1"/>
  <c r="I21" i="69"/>
  <c r="J21" i="69" s="1"/>
  <c r="L21" i="69" s="1"/>
  <c r="H21" i="69"/>
  <c r="G21" i="69"/>
  <c r="M20" i="69"/>
  <c r="O20" i="69" s="1"/>
  <c r="F20" i="70" s="1"/>
  <c r="H20" i="70" s="1"/>
  <c r="I20" i="69"/>
  <c r="H20" i="69"/>
  <c r="G20" i="69"/>
  <c r="M19" i="69"/>
  <c r="O19" i="69" s="1"/>
  <c r="F19" i="70" s="1"/>
  <c r="H19" i="70" s="1"/>
  <c r="I19" i="69"/>
  <c r="H19" i="69"/>
  <c r="J19" i="69" s="1"/>
  <c r="L19" i="69" s="1"/>
  <c r="G19" i="69"/>
  <c r="M18" i="69"/>
  <c r="O18" i="69" s="1"/>
  <c r="F18" i="70" s="1"/>
  <c r="H18" i="70" s="1"/>
  <c r="I18" i="69"/>
  <c r="H18" i="69"/>
  <c r="J18" i="69" s="1"/>
  <c r="L18" i="69" s="1"/>
  <c r="G18" i="69"/>
  <c r="M17" i="69"/>
  <c r="I17" i="69"/>
  <c r="H17" i="69"/>
  <c r="O17" i="69" s="1"/>
  <c r="F17" i="70" s="1"/>
  <c r="H17" i="70" s="1"/>
  <c r="G17" i="69"/>
  <c r="M16" i="69"/>
  <c r="O16" i="69" s="1"/>
  <c r="F16" i="70" s="1"/>
  <c r="I16" i="69"/>
  <c r="I56" i="69" s="1"/>
  <c r="H16" i="69"/>
  <c r="G16" i="69"/>
  <c r="K56" i="68"/>
  <c r="F56" i="68"/>
  <c r="D56" i="68"/>
  <c r="C56" i="68"/>
  <c r="J55" i="68"/>
  <c r="L55" i="68" s="1"/>
  <c r="I55" i="68"/>
  <c r="E55" i="68"/>
  <c r="G55" i="68" s="1"/>
  <c r="J54" i="68"/>
  <c r="L54" i="68" s="1"/>
  <c r="I54" i="68"/>
  <c r="E54" i="68"/>
  <c r="G54" i="68" s="1"/>
  <c r="J53" i="68"/>
  <c r="L53" i="68" s="1"/>
  <c r="I53" i="68"/>
  <c r="E53" i="68"/>
  <c r="G53" i="68" s="1"/>
  <c r="J52" i="68"/>
  <c r="L52" i="68" s="1"/>
  <c r="I52" i="68"/>
  <c r="E52" i="68"/>
  <c r="G52" i="68" s="1"/>
  <c r="J51" i="68"/>
  <c r="L51" i="68" s="1"/>
  <c r="I51" i="68"/>
  <c r="E51" i="68"/>
  <c r="G51" i="68" s="1"/>
  <c r="J50" i="68"/>
  <c r="L50" i="68" s="1"/>
  <c r="I50" i="68"/>
  <c r="E50" i="68"/>
  <c r="G50" i="68" s="1"/>
  <c r="J49" i="68"/>
  <c r="L49" i="68" s="1"/>
  <c r="I49" i="68"/>
  <c r="E49" i="68"/>
  <c r="G49" i="68" s="1"/>
  <c r="J48" i="68"/>
  <c r="L48" i="68" s="1"/>
  <c r="I48" i="68"/>
  <c r="E48" i="68"/>
  <c r="G48" i="68" s="1"/>
  <c r="J47" i="68"/>
  <c r="L47" i="68" s="1"/>
  <c r="I47" i="68"/>
  <c r="E47" i="68"/>
  <c r="G47" i="68" s="1"/>
  <c r="J46" i="68"/>
  <c r="L46" i="68" s="1"/>
  <c r="I46" i="68"/>
  <c r="E46" i="68"/>
  <c r="G46" i="68" s="1"/>
  <c r="J45" i="68"/>
  <c r="L45" i="68" s="1"/>
  <c r="I45" i="68"/>
  <c r="E45" i="68"/>
  <c r="G45" i="68" s="1"/>
  <c r="J44" i="68"/>
  <c r="L44" i="68" s="1"/>
  <c r="I44" i="68"/>
  <c r="E44" i="68"/>
  <c r="G44" i="68" s="1"/>
  <c r="J43" i="68"/>
  <c r="L43" i="68" s="1"/>
  <c r="I43" i="68"/>
  <c r="E43" i="68"/>
  <c r="G43" i="68" s="1"/>
  <c r="J42" i="68"/>
  <c r="L42" i="68" s="1"/>
  <c r="I42" i="68"/>
  <c r="E42" i="68"/>
  <c r="G42" i="68" s="1"/>
  <c r="J41" i="68"/>
  <c r="L41" i="68" s="1"/>
  <c r="I41" i="68"/>
  <c r="E41" i="68"/>
  <c r="G41" i="68" s="1"/>
  <c r="J40" i="68"/>
  <c r="L40" i="68" s="1"/>
  <c r="I40" i="68"/>
  <c r="E40" i="68"/>
  <c r="G40" i="68" s="1"/>
  <c r="J39" i="68"/>
  <c r="L39" i="68" s="1"/>
  <c r="I39" i="68"/>
  <c r="E39" i="68"/>
  <c r="G39" i="68" s="1"/>
  <c r="J38" i="68"/>
  <c r="L38" i="68" s="1"/>
  <c r="I38" i="68"/>
  <c r="E38" i="68"/>
  <c r="G38" i="68" s="1"/>
  <c r="J37" i="68"/>
  <c r="L37" i="68" s="1"/>
  <c r="I37" i="68"/>
  <c r="E37" i="68"/>
  <c r="G37" i="68" s="1"/>
  <c r="J36" i="68"/>
  <c r="L36" i="68" s="1"/>
  <c r="I36" i="68"/>
  <c r="E36" i="68"/>
  <c r="G36" i="68" s="1"/>
  <c r="J35" i="68"/>
  <c r="L35" i="68" s="1"/>
  <c r="I35" i="68"/>
  <c r="E35" i="68"/>
  <c r="G35" i="68" s="1"/>
  <c r="J34" i="68"/>
  <c r="L34" i="68" s="1"/>
  <c r="I34" i="68"/>
  <c r="E34" i="68"/>
  <c r="G34" i="68" s="1"/>
  <c r="J33" i="68"/>
  <c r="L33" i="68" s="1"/>
  <c r="I33" i="68"/>
  <c r="E33" i="68"/>
  <c r="G33" i="68" s="1"/>
  <c r="J32" i="68"/>
  <c r="L32" i="68" s="1"/>
  <c r="I32" i="68"/>
  <c r="E32" i="68"/>
  <c r="G32" i="68" s="1"/>
  <c r="J31" i="68"/>
  <c r="L31" i="68" s="1"/>
  <c r="I31" i="68"/>
  <c r="E31" i="68"/>
  <c r="G31" i="68" s="1"/>
  <c r="J30" i="68"/>
  <c r="L30" i="68" s="1"/>
  <c r="I30" i="68"/>
  <c r="E30" i="68"/>
  <c r="G30" i="68" s="1"/>
  <c r="J29" i="68"/>
  <c r="L29" i="68" s="1"/>
  <c r="I29" i="68"/>
  <c r="E29" i="68"/>
  <c r="G29" i="68" s="1"/>
  <c r="J28" i="68"/>
  <c r="L28" i="68" s="1"/>
  <c r="I28" i="68"/>
  <c r="E28" i="68"/>
  <c r="G28" i="68" s="1"/>
  <c r="J27" i="68"/>
  <c r="L27" i="68" s="1"/>
  <c r="I27" i="68"/>
  <c r="E27" i="68"/>
  <c r="G27" i="68" s="1"/>
  <c r="J26" i="68"/>
  <c r="L26" i="68" s="1"/>
  <c r="I26" i="68"/>
  <c r="E26" i="68"/>
  <c r="G26" i="68" s="1"/>
  <c r="J25" i="68"/>
  <c r="L25" i="68" s="1"/>
  <c r="I25" i="68"/>
  <c r="G25" i="68"/>
  <c r="E25" i="68"/>
  <c r="J24" i="68"/>
  <c r="L24" i="68" s="1"/>
  <c r="I24" i="68"/>
  <c r="E24" i="68"/>
  <c r="G24" i="68" s="1"/>
  <c r="J23" i="68"/>
  <c r="L23" i="68" s="1"/>
  <c r="I23" i="68"/>
  <c r="E23" i="68"/>
  <c r="G23" i="68" s="1"/>
  <c r="L22" i="68"/>
  <c r="J22" i="68"/>
  <c r="I22" i="68"/>
  <c r="E22" i="68"/>
  <c r="G22" i="68" s="1"/>
  <c r="J21" i="68"/>
  <c r="L21" i="68" s="1"/>
  <c r="I21" i="68"/>
  <c r="E21" i="68"/>
  <c r="G21" i="68" s="1"/>
  <c r="J20" i="68"/>
  <c r="L20" i="68" s="1"/>
  <c r="I20" i="68"/>
  <c r="E20" i="68"/>
  <c r="G20" i="68" s="1"/>
  <c r="J19" i="68"/>
  <c r="L19" i="68" s="1"/>
  <c r="I19" i="68"/>
  <c r="E19" i="68"/>
  <c r="G19" i="68" s="1"/>
  <c r="J18" i="68"/>
  <c r="L18" i="68" s="1"/>
  <c r="I18" i="68"/>
  <c r="E18" i="68"/>
  <c r="G18" i="68" s="1"/>
  <c r="J17" i="68"/>
  <c r="L17" i="68" s="1"/>
  <c r="I17" i="68"/>
  <c r="G17" i="68"/>
  <c r="E17" i="68"/>
  <c r="J16" i="68"/>
  <c r="I16" i="68"/>
  <c r="E16" i="68"/>
  <c r="K56" i="67"/>
  <c r="F56" i="67"/>
  <c r="D56" i="67"/>
  <c r="C56" i="67"/>
  <c r="J55" i="67"/>
  <c r="L55" i="67" s="1"/>
  <c r="I55" i="67"/>
  <c r="G55" i="67"/>
  <c r="E55" i="67"/>
  <c r="J54" i="67"/>
  <c r="L54" i="67" s="1"/>
  <c r="I54" i="67"/>
  <c r="G54" i="67"/>
  <c r="E54" i="67"/>
  <c r="J53" i="67"/>
  <c r="L53" i="67" s="1"/>
  <c r="I53" i="67"/>
  <c r="E53" i="67"/>
  <c r="G53" i="67" s="1"/>
  <c r="J52" i="67"/>
  <c r="L52" i="67" s="1"/>
  <c r="I52" i="67"/>
  <c r="E52" i="67"/>
  <c r="G52" i="67" s="1"/>
  <c r="L51" i="67"/>
  <c r="J51" i="67"/>
  <c r="I51" i="67"/>
  <c r="E51" i="67"/>
  <c r="G51" i="67" s="1"/>
  <c r="J50" i="67"/>
  <c r="L50" i="67" s="1"/>
  <c r="I50" i="67"/>
  <c r="E50" i="67"/>
  <c r="G50" i="67" s="1"/>
  <c r="L49" i="67"/>
  <c r="J49" i="67"/>
  <c r="I49" i="67"/>
  <c r="E49" i="67"/>
  <c r="G49" i="67" s="1"/>
  <c r="L48" i="67"/>
  <c r="J48" i="67"/>
  <c r="I48" i="67"/>
  <c r="E48" i="67"/>
  <c r="G48" i="67" s="1"/>
  <c r="J47" i="67"/>
  <c r="L47" i="67" s="1"/>
  <c r="I47" i="67"/>
  <c r="G47" i="67"/>
  <c r="E47" i="67"/>
  <c r="J46" i="67"/>
  <c r="L46" i="67" s="1"/>
  <c r="I46" i="67"/>
  <c r="G46" i="67"/>
  <c r="E46" i="67"/>
  <c r="J45" i="67"/>
  <c r="L45" i="67" s="1"/>
  <c r="I45" i="67"/>
  <c r="E45" i="67"/>
  <c r="G45" i="67" s="1"/>
  <c r="J44" i="67"/>
  <c r="L44" i="67" s="1"/>
  <c r="I44" i="67"/>
  <c r="E44" i="67"/>
  <c r="G44" i="67" s="1"/>
  <c r="L43" i="67"/>
  <c r="J43" i="67"/>
  <c r="I43" i="67"/>
  <c r="E43" i="67"/>
  <c r="G43" i="67" s="1"/>
  <c r="J42" i="67"/>
  <c r="L42" i="67" s="1"/>
  <c r="I42" i="67"/>
  <c r="E42" i="67"/>
  <c r="G42" i="67" s="1"/>
  <c r="L41" i="67"/>
  <c r="J41" i="67"/>
  <c r="I41" i="67"/>
  <c r="E41" i="67"/>
  <c r="G41" i="67" s="1"/>
  <c r="L40" i="67"/>
  <c r="J40" i="67"/>
  <c r="I40" i="67"/>
  <c r="E40" i="67"/>
  <c r="G40" i="67" s="1"/>
  <c r="J39" i="67"/>
  <c r="L39" i="67" s="1"/>
  <c r="I39" i="67"/>
  <c r="G39" i="67"/>
  <c r="E39" i="67"/>
  <c r="J38" i="67"/>
  <c r="L38" i="67" s="1"/>
  <c r="I38" i="67"/>
  <c r="G38" i="67"/>
  <c r="E38" i="67"/>
  <c r="J37" i="67"/>
  <c r="L37" i="67" s="1"/>
  <c r="I37" i="67"/>
  <c r="E37" i="67"/>
  <c r="G37" i="67" s="1"/>
  <c r="J36" i="67"/>
  <c r="L36" i="67" s="1"/>
  <c r="I36" i="67"/>
  <c r="E36" i="67"/>
  <c r="G36" i="67" s="1"/>
  <c r="L35" i="67"/>
  <c r="J35" i="67"/>
  <c r="I35" i="67"/>
  <c r="E35" i="67"/>
  <c r="G35" i="67" s="1"/>
  <c r="J34" i="67"/>
  <c r="L34" i="67" s="1"/>
  <c r="I34" i="67"/>
  <c r="E34" i="67"/>
  <c r="G34" i="67" s="1"/>
  <c r="L33" i="67"/>
  <c r="J33" i="67"/>
  <c r="I33" i="67"/>
  <c r="E33" i="67"/>
  <c r="G33" i="67" s="1"/>
  <c r="L32" i="67"/>
  <c r="J32" i="67"/>
  <c r="I32" i="67"/>
  <c r="E32" i="67"/>
  <c r="G32" i="67" s="1"/>
  <c r="J31" i="67"/>
  <c r="L31" i="67" s="1"/>
  <c r="I31" i="67"/>
  <c r="G31" i="67"/>
  <c r="E31" i="67"/>
  <c r="J30" i="67"/>
  <c r="L30" i="67" s="1"/>
  <c r="I30" i="67"/>
  <c r="G30" i="67"/>
  <c r="E30" i="67"/>
  <c r="J29" i="67"/>
  <c r="L29" i="67" s="1"/>
  <c r="I29" i="67"/>
  <c r="E29" i="67"/>
  <c r="G29" i="67" s="1"/>
  <c r="J28" i="67"/>
  <c r="L28" i="67" s="1"/>
  <c r="I28" i="67"/>
  <c r="E28" i="67"/>
  <c r="G28" i="67" s="1"/>
  <c r="L27" i="67"/>
  <c r="J27" i="67"/>
  <c r="I27" i="67"/>
  <c r="E27" i="67"/>
  <c r="G27" i="67" s="1"/>
  <c r="J26" i="67"/>
  <c r="L26" i="67" s="1"/>
  <c r="I26" i="67"/>
  <c r="E26" i="67"/>
  <c r="G26" i="67" s="1"/>
  <c r="L25" i="67"/>
  <c r="J25" i="67"/>
  <c r="I25" i="67"/>
  <c r="E25" i="67"/>
  <c r="G25" i="67" s="1"/>
  <c r="L24" i="67"/>
  <c r="J24" i="67"/>
  <c r="I24" i="67"/>
  <c r="E24" i="67"/>
  <c r="G24" i="67" s="1"/>
  <c r="J23" i="67"/>
  <c r="L23" i="67" s="1"/>
  <c r="I23" i="67"/>
  <c r="G23" i="67"/>
  <c r="E23" i="67"/>
  <c r="J22" i="67"/>
  <c r="L22" i="67" s="1"/>
  <c r="I22" i="67"/>
  <c r="G22" i="67"/>
  <c r="E22" i="67"/>
  <c r="J21" i="67"/>
  <c r="L21" i="67" s="1"/>
  <c r="I21" i="67"/>
  <c r="E21" i="67"/>
  <c r="G21" i="67" s="1"/>
  <c r="J20" i="67"/>
  <c r="L20" i="67" s="1"/>
  <c r="I20" i="67"/>
  <c r="E20" i="67"/>
  <c r="G20" i="67" s="1"/>
  <c r="L19" i="67"/>
  <c r="J19" i="67"/>
  <c r="I19" i="67"/>
  <c r="E19" i="67"/>
  <c r="G19" i="67" s="1"/>
  <c r="J18" i="67"/>
  <c r="L18" i="67" s="1"/>
  <c r="I18" i="67"/>
  <c r="E18" i="67"/>
  <c r="G18" i="67" s="1"/>
  <c r="L17" i="67"/>
  <c r="J17" i="67"/>
  <c r="I17" i="67"/>
  <c r="E17" i="67"/>
  <c r="G17" i="67" s="1"/>
  <c r="L16" i="67"/>
  <c r="J16" i="67"/>
  <c r="I16" i="67"/>
  <c r="E16" i="67"/>
  <c r="G16" i="67" s="1"/>
  <c r="G56" i="67" s="1"/>
  <c r="J56" i="65"/>
  <c r="G56" i="65"/>
  <c r="C56" i="65"/>
  <c r="I55" i="65"/>
  <c r="E55" i="65"/>
  <c r="I54" i="65"/>
  <c r="E54" i="65"/>
  <c r="I53" i="65"/>
  <c r="E53" i="65"/>
  <c r="I52" i="65"/>
  <c r="E52" i="65"/>
  <c r="I51" i="65"/>
  <c r="E51" i="65"/>
  <c r="I50" i="65"/>
  <c r="E50" i="65"/>
  <c r="I49" i="65"/>
  <c r="E49" i="65"/>
  <c r="I48" i="65"/>
  <c r="E48" i="65"/>
  <c r="I47" i="65"/>
  <c r="E47" i="65"/>
  <c r="I46" i="65"/>
  <c r="E46" i="65"/>
  <c r="I45" i="65"/>
  <c r="E45" i="65"/>
  <c r="I44" i="65"/>
  <c r="E44" i="65"/>
  <c r="I43" i="65"/>
  <c r="E43" i="65"/>
  <c r="I42" i="65"/>
  <c r="E42" i="65"/>
  <c r="I41" i="65"/>
  <c r="E41" i="65"/>
  <c r="I40" i="65"/>
  <c r="E40" i="65"/>
  <c r="I39" i="65"/>
  <c r="E39" i="65"/>
  <c r="I38" i="65"/>
  <c r="E38" i="65"/>
  <c r="I37" i="65"/>
  <c r="E37" i="65"/>
  <c r="I36" i="65"/>
  <c r="E36" i="65"/>
  <c r="I35" i="65"/>
  <c r="E35" i="65"/>
  <c r="I34" i="65"/>
  <c r="E34" i="65"/>
  <c r="I33" i="65"/>
  <c r="E33" i="65"/>
  <c r="I32" i="65"/>
  <c r="E32" i="65"/>
  <c r="I31" i="65"/>
  <c r="E31" i="65"/>
  <c r="I30" i="65"/>
  <c r="E30" i="65"/>
  <c r="I29" i="65"/>
  <c r="E29" i="65"/>
  <c r="I28" i="65"/>
  <c r="E28" i="65"/>
  <c r="I27" i="65"/>
  <c r="E27" i="65"/>
  <c r="I26" i="65"/>
  <c r="E26" i="65"/>
  <c r="I25" i="65"/>
  <c r="E25" i="65"/>
  <c r="I24" i="65"/>
  <c r="E24" i="65"/>
  <c r="I23" i="65"/>
  <c r="E23" i="65"/>
  <c r="I22" i="65"/>
  <c r="E22" i="65"/>
  <c r="I21" i="65"/>
  <c r="E21" i="65"/>
  <c r="I20" i="65"/>
  <c r="E20" i="65"/>
  <c r="I19" i="65"/>
  <c r="E19" i="65"/>
  <c r="I18" i="65"/>
  <c r="E18" i="65"/>
  <c r="I17" i="65"/>
  <c r="E17" i="65"/>
  <c r="I16" i="65"/>
  <c r="E16" i="65"/>
  <c r="N56" i="64"/>
  <c r="K56" i="64"/>
  <c r="D56" i="64"/>
  <c r="C56" i="64"/>
  <c r="O55" i="64"/>
  <c r="F55" i="65" s="1"/>
  <c r="H55" i="65" s="1"/>
  <c r="M55" i="64"/>
  <c r="I55" i="64"/>
  <c r="H55" i="64"/>
  <c r="J55" i="64" s="1"/>
  <c r="L55" i="64" s="1"/>
  <c r="G55" i="64"/>
  <c r="M54" i="64"/>
  <c r="I54" i="64"/>
  <c r="H54" i="64"/>
  <c r="G54" i="64"/>
  <c r="M53" i="64"/>
  <c r="I53" i="64"/>
  <c r="H53" i="64"/>
  <c r="G53" i="64"/>
  <c r="M52" i="64"/>
  <c r="I52" i="64"/>
  <c r="H52" i="64"/>
  <c r="G52" i="64"/>
  <c r="M51" i="64"/>
  <c r="I51" i="64"/>
  <c r="H51" i="64"/>
  <c r="G51" i="64"/>
  <c r="M50" i="64"/>
  <c r="I50" i="64"/>
  <c r="H50" i="64"/>
  <c r="G50" i="64"/>
  <c r="M49" i="64"/>
  <c r="I49" i="64"/>
  <c r="H49" i="64"/>
  <c r="G49" i="64"/>
  <c r="M48" i="64"/>
  <c r="I48" i="64"/>
  <c r="H48" i="64"/>
  <c r="G48" i="64"/>
  <c r="M47" i="64"/>
  <c r="I47" i="64"/>
  <c r="H47" i="64"/>
  <c r="G47" i="64"/>
  <c r="M46" i="64"/>
  <c r="I46" i="64"/>
  <c r="H46" i="64"/>
  <c r="G46" i="64"/>
  <c r="M45" i="64"/>
  <c r="I45" i="64"/>
  <c r="H45" i="64"/>
  <c r="G45" i="64"/>
  <c r="M44" i="64"/>
  <c r="I44" i="64"/>
  <c r="H44" i="64"/>
  <c r="G44" i="64"/>
  <c r="M43" i="64"/>
  <c r="I43" i="64"/>
  <c r="H43" i="64"/>
  <c r="G43" i="64"/>
  <c r="M42" i="64"/>
  <c r="I42" i="64"/>
  <c r="H42" i="64"/>
  <c r="G42" i="64"/>
  <c r="M41" i="64"/>
  <c r="I41" i="64"/>
  <c r="H41" i="64"/>
  <c r="G41" i="64"/>
  <c r="M40" i="64"/>
  <c r="I40" i="64"/>
  <c r="H40" i="64"/>
  <c r="G40" i="64"/>
  <c r="M39" i="64"/>
  <c r="I39" i="64"/>
  <c r="H39" i="64"/>
  <c r="G39" i="64"/>
  <c r="M38" i="64"/>
  <c r="I38" i="64"/>
  <c r="H38" i="64"/>
  <c r="G38" i="64"/>
  <c r="M37" i="64"/>
  <c r="I37" i="64"/>
  <c r="H37" i="64"/>
  <c r="G37" i="64"/>
  <c r="M36" i="64"/>
  <c r="I36" i="64"/>
  <c r="H36" i="64"/>
  <c r="G36" i="64"/>
  <c r="M35" i="64"/>
  <c r="I35" i="64"/>
  <c r="H35" i="64"/>
  <c r="G35" i="64"/>
  <c r="M34" i="64"/>
  <c r="I34" i="64"/>
  <c r="H34" i="64"/>
  <c r="G34" i="64"/>
  <c r="M33" i="64"/>
  <c r="I33" i="64"/>
  <c r="H33" i="64"/>
  <c r="G33" i="64"/>
  <c r="M32" i="64"/>
  <c r="I32" i="64"/>
  <c r="H32" i="64"/>
  <c r="G32" i="64"/>
  <c r="M31" i="64"/>
  <c r="I31" i="64"/>
  <c r="H31" i="64"/>
  <c r="G31" i="64"/>
  <c r="M30" i="64"/>
  <c r="I30" i="64"/>
  <c r="H30" i="64"/>
  <c r="G30" i="64"/>
  <c r="M29" i="64"/>
  <c r="I29" i="64"/>
  <c r="H29" i="64"/>
  <c r="G29" i="64"/>
  <c r="M28" i="64"/>
  <c r="I28" i="64"/>
  <c r="H28" i="64"/>
  <c r="G28" i="64"/>
  <c r="M27" i="64"/>
  <c r="I27" i="64"/>
  <c r="H27" i="64"/>
  <c r="G27" i="64"/>
  <c r="M26" i="64"/>
  <c r="I26" i="64"/>
  <c r="H26" i="64"/>
  <c r="G26" i="64"/>
  <c r="M25" i="64"/>
  <c r="I25" i="64"/>
  <c r="H25" i="64"/>
  <c r="G25" i="64"/>
  <c r="M24" i="64"/>
  <c r="I24" i="64"/>
  <c r="H24" i="64"/>
  <c r="G24" i="64"/>
  <c r="M23" i="64"/>
  <c r="I23" i="64"/>
  <c r="H23" i="64"/>
  <c r="G23" i="64"/>
  <c r="M22" i="64"/>
  <c r="I22" i="64"/>
  <c r="H22" i="64"/>
  <c r="G22" i="64"/>
  <c r="M21" i="64"/>
  <c r="I21" i="64"/>
  <c r="H21" i="64"/>
  <c r="G21" i="64"/>
  <c r="M20" i="64"/>
  <c r="I20" i="64"/>
  <c r="H20" i="64"/>
  <c r="G20" i="64"/>
  <c r="M19" i="64"/>
  <c r="I19" i="64"/>
  <c r="H19" i="64"/>
  <c r="G19" i="64"/>
  <c r="M18" i="64"/>
  <c r="I18" i="64"/>
  <c r="H18" i="64"/>
  <c r="G18" i="64"/>
  <c r="M17" i="64"/>
  <c r="I17" i="64"/>
  <c r="H17" i="64"/>
  <c r="G17" i="64"/>
  <c r="M16" i="64"/>
  <c r="I16" i="64"/>
  <c r="H16" i="64"/>
  <c r="G16" i="64"/>
  <c r="K56" i="63"/>
  <c r="J55" i="63"/>
  <c r="L55" i="63" s="1"/>
  <c r="I55" i="63"/>
  <c r="J54" i="63"/>
  <c r="L54" i="63" s="1"/>
  <c r="I54" i="63"/>
  <c r="I53" i="63"/>
  <c r="J53" i="63"/>
  <c r="L53" i="63" s="1"/>
  <c r="J52" i="63"/>
  <c r="L52" i="63" s="1"/>
  <c r="I52" i="63"/>
  <c r="J51" i="63"/>
  <c r="L51" i="63" s="1"/>
  <c r="I51" i="63"/>
  <c r="I50" i="63"/>
  <c r="J50" i="63"/>
  <c r="L50" i="63" s="1"/>
  <c r="J49" i="63"/>
  <c r="L49" i="63" s="1"/>
  <c r="I49" i="63"/>
  <c r="J48" i="63"/>
  <c r="L48" i="63" s="1"/>
  <c r="I48" i="63"/>
  <c r="I47" i="63"/>
  <c r="J47" i="63"/>
  <c r="L47" i="63" s="1"/>
  <c r="J46" i="63"/>
  <c r="L46" i="63" s="1"/>
  <c r="I46" i="63"/>
  <c r="I45" i="63"/>
  <c r="J45" i="63"/>
  <c r="L45" i="63" s="1"/>
  <c r="J44" i="63"/>
  <c r="L44" i="63" s="1"/>
  <c r="I44" i="63"/>
  <c r="J43" i="63"/>
  <c r="L43" i="63" s="1"/>
  <c r="I43" i="63"/>
  <c r="I42" i="63"/>
  <c r="J42" i="63"/>
  <c r="L42" i="63" s="1"/>
  <c r="J41" i="63"/>
  <c r="L41" i="63" s="1"/>
  <c r="I41" i="63"/>
  <c r="I40" i="63"/>
  <c r="J40" i="63"/>
  <c r="L40" i="63" s="1"/>
  <c r="J39" i="63"/>
  <c r="L39" i="63" s="1"/>
  <c r="I39" i="63"/>
  <c r="I38" i="63"/>
  <c r="J38" i="63"/>
  <c r="L38" i="63" s="1"/>
  <c r="J37" i="63"/>
  <c r="L37" i="63" s="1"/>
  <c r="I37" i="63"/>
  <c r="J36" i="63"/>
  <c r="L36" i="63" s="1"/>
  <c r="I36" i="63"/>
  <c r="I35" i="63"/>
  <c r="J35" i="63"/>
  <c r="L35" i="63" s="1"/>
  <c r="J34" i="63"/>
  <c r="L34" i="63" s="1"/>
  <c r="I34" i="63"/>
  <c r="I33" i="63"/>
  <c r="J33" i="63"/>
  <c r="L33" i="63" s="1"/>
  <c r="J32" i="63"/>
  <c r="L32" i="63" s="1"/>
  <c r="I32" i="63"/>
  <c r="I31" i="63"/>
  <c r="J31" i="63"/>
  <c r="L31" i="63" s="1"/>
  <c r="I30" i="63"/>
  <c r="J30" i="63"/>
  <c r="L30" i="63" s="1"/>
  <c r="I29" i="63"/>
  <c r="J29" i="63"/>
  <c r="L29" i="63" s="1"/>
  <c r="I28" i="63"/>
  <c r="J28" i="63"/>
  <c r="L28" i="63" s="1"/>
  <c r="I27" i="63"/>
  <c r="J27" i="63"/>
  <c r="L27" i="63" s="1"/>
  <c r="I26" i="63"/>
  <c r="J26" i="63"/>
  <c r="L26" i="63" s="1"/>
  <c r="I25" i="63"/>
  <c r="J25" i="63"/>
  <c r="L25" i="63" s="1"/>
  <c r="I24" i="63"/>
  <c r="J24" i="63"/>
  <c r="L24" i="63" s="1"/>
  <c r="J23" i="63"/>
  <c r="L23" i="63" s="1"/>
  <c r="I23" i="63"/>
  <c r="I22" i="63"/>
  <c r="J22" i="63"/>
  <c r="L22" i="63" s="1"/>
  <c r="J21" i="63"/>
  <c r="L21" i="63" s="1"/>
  <c r="I21" i="63"/>
  <c r="J20" i="63"/>
  <c r="L20" i="63" s="1"/>
  <c r="I20" i="63"/>
  <c r="J19" i="63"/>
  <c r="L19" i="63" s="1"/>
  <c r="I19" i="63"/>
  <c r="J18" i="63"/>
  <c r="L18" i="63" s="1"/>
  <c r="I18" i="63"/>
  <c r="J17" i="63"/>
  <c r="L17" i="63" s="1"/>
  <c r="I17" i="63"/>
  <c r="I16" i="63"/>
  <c r="J56" i="61"/>
  <c r="G56" i="61"/>
  <c r="C56" i="61"/>
  <c r="I55" i="61"/>
  <c r="E55" i="61"/>
  <c r="I54" i="61"/>
  <c r="E54" i="61"/>
  <c r="I53" i="61"/>
  <c r="E53" i="61"/>
  <c r="I52" i="61"/>
  <c r="E52" i="61"/>
  <c r="I51" i="61"/>
  <c r="E51" i="61"/>
  <c r="I50" i="61"/>
  <c r="E50" i="61"/>
  <c r="I49" i="61"/>
  <c r="E49" i="61"/>
  <c r="I48" i="61"/>
  <c r="E48" i="61"/>
  <c r="I47" i="61"/>
  <c r="E47" i="61"/>
  <c r="I46" i="61"/>
  <c r="E46" i="61"/>
  <c r="I45" i="61"/>
  <c r="E45" i="61"/>
  <c r="I44" i="61"/>
  <c r="E44" i="61"/>
  <c r="I43" i="61"/>
  <c r="E43" i="61"/>
  <c r="I42" i="61"/>
  <c r="E42" i="61"/>
  <c r="I41" i="61"/>
  <c r="E41" i="61"/>
  <c r="I40" i="61"/>
  <c r="E40" i="61"/>
  <c r="I39" i="61"/>
  <c r="E39" i="61"/>
  <c r="I38" i="61"/>
  <c r="E38" i="61"/>
  <c r="I37" i="61"/>
  <c r="E37" i="61"/>
  <c r="I36" i="61"/>
  <c r="E36" i="61"/>
  <c r="I35" i="61"/>
  <c r="E35" i="61"/>
  <c r="I34" i="61"/>
  <c r="E34" i="61"/>
  <c r="I33" i="61"/>
  <c r="E33" i="61"/>
  <c r="I32" i="61"/>
  <c r="E32" i="61"/>
  <c r="I31" i="61"/>
  <c r="E31" i="61"/>
  <c r="I30" i="61"/>
  <c r="E30" i="61"/>
  <c r="I29" i="61"/>
  <c r="E29" i="61"/>
  <c r="I28" i="61"/>
  <c r="E28" i="61"/>
  <c r="I27" i="61"/>
  <c r="E27" i="61"/>
  <c r="I26" i="61"/>
  <c r="E26" i="61"/>
  <c r="I25" i="61"/>
  <c r="E25" i="61"/>
  <c r="I24" i="61"/>
  <c r="E24" i="61"/>
  <c r="I23" i="61"/>
  <c r="E23" i="61"/>
  <c r="I22" i="61"/>
  <c r="E22" i="61"/>
  <c r="I21" i="61"/>
  <c r="E21" i="61"/>
  <c r="I20" i="61"/>
  <c r="E20" i="61"/>
  <c r="I19" i="61"/>
  <c r="E19" i="61"/>
  <c r="I18" i="61"/>
  <c r="E18" i="61"/>
  <c r="I17" i="61"/>
  <c r="E17" i="61"/>
  <c r="I16" i="61"/>
  <c r="E16" i="61"/>
  <c r="K56" i="60"/>
  <c r="H56" i="60"/>
  <c r="D56" i="60"/>
  <c r="J55" i="60"/>
  <c r="F55" i="60"/>
  <c r="J54" i="60"/>
  <c r="F54" i="60"/>
  <c r="F53" i="60"/>
  <c r="J52" i="60"/>
  <c r="F52" i="60"/>
  <c r="J51" i="60"/>
  <c r="F51" i="60"/>
  <c r="J50" i="60"/>
  <c r="F50" i="60"/>
  <c r="J49" i="60"/>
  <c r="F49" i="60"/>
  <c r="J48" i="60"/>
  <c r="F48" i="60"/>
  <c r="J47" i="60"/>
  <c r="F47" i="60"/>
  <c r="J46" i="60"/>
  <c r="F46" i="60"/>
  <c r="J45" i="60"/>
  <c r="F45" i="60"/>
  <c r="J44" i="60"/>
  <c r="F44" i="60"/>
  <c r="J43" i="60"/>
  <c r="F43" i="60"/>
  <c r="J42" i="60"/>
  <c r="F42" i="60"/>
  <c r="J41" i="60"/>
  <c r="F41" i="60"/>
  <c r="J40" i="60"/>
  <c r="F40" i="60"/>
  <c r="J39" i="60"/>
  <c r="F39" i="60"/>
  <c r="J38" i="60"/>
  <c r="F38" i="60"/>
  <c r="J37" i="60"/>
  <c r="F37" i="60"/>
  <c r="J36" i="60"/>
  <c r="F36" i="60"/>
  <c r="J35" i="60"/>
  <c r="F35" i="60"/>
  <c r="J34" i="60"/>
  <c r="F34" i="60"/>
  <c r="J33" i="60"/>
  <c r="F33" i="60"/>
  <c r="J32" i="60"/>
  <c r="F32" i="60"/>
  <c r="J31" i="60"/>
  <c r="F31" i="60"/>
  <c r="J30" i="60"/>
  <c r="F30" i="60"/>
  <c r="J29" i="60"/>
  <c r="F29" i="60"/>
  <c r="J28" i="60"/>
  <c r="F28" i="60"/>
  <c r="J27" i="60"/>
  <c r="F27" i="60"/>
  <c r="J26" i="60"/>
  <c r="F26" i="60"/>
  <c r="J25" i="60"/>
  <c r="F25" i="60"/>
  <c r="J24" i="60"/>
  <c r="F24" i="60"/>
  <c r="J23" i="60"/>
  <c r="F23" i="60"/>
  <c r="J22" i="60"/>
  <c r="F22" i="60"/>
  <c r="J21" i="60"/>
  <c r="F21" i="60"/>
  <c r="J20" i="60"/>
  <c r="F20" i="60"/>
  <c r="J19" i="60"/>
  <c r="F19" i="60"/>
  <c r="J18" i="60"/>
  <c r="F18" i="60"/>
  <c r="J17" i="60"/>
  <c r="F17" i="60"/>
  <c r="J16" i="60"/>
  <c r="F16" i="60"/>
  <c r="O56" i="59"/>
  <c r="L56" i="59"/>
  <c r="E56" i="59"/>
  <c r="D56" i="59"/>
  <c r="N55" i="59"/>
  <c r="J55" i="59"/>
  <c r="I55" i="59"/>
  <c r="K55" i="59" s="1"/>
  <c r="M55" i="59" s="1"/>
  <c r="H55" i="59"/>
  <c r="N54" i="59"/>
  <c r="J54" i="59"/>
  <c r="I54" i="59"/>
  <c r="K54" i="59" s="1"/>
  <c r="M54" i="59" s="1"/>
  <c r="H54" i="59"/>
  <c r="N53" i="59"/>
  <c r="J53" i="59"/>
  <c r="I53" i="59"/>
  <c r="H53" i="59"/>
  <c r="N52" i="59"/>
  <c r="J52" i="59"/>
  <c r="I52" i="59"/>
  <c r="H52" i="59"/>
  <c r="N51" i="59"/>
  <c r="J51" i="59"/>
  <c r="I51" i="59"/>
  <c r="H51" i="59"/>
  <c r="N50" i="59"/>
  <c r="J50" i="59"/>
  <c r="I50" i="59"/>
  <c r="H50" i="59"/>
  <c r="N49" i="59"/>
  <c r="J49" i="59"/>
  <c r="I49" i="59"/>
  <c r="H49" i="59"/>
  <c r="N48" i="59"/>
  <c r="J48" i="59"/>
  <c r="I48" i="59"/>
  <c r="H48" i="59"/>
  <c r="N47" i="59"/>
  <c r="J47" i="59"/>
  <c r="I47" i="59"/>
  <c r="H47" i="59"/>
  <c r="N46" i="59"/>
  <c r="J46" i="59"/>
  <c r="I46" i="59"/>
  <c r="H46" i="59"/>
  <c r="N45" i="59"/>
  <c r="J45" i="59"/>
  <c r="I45" i="59"/>
  <c r="H45" i="59"/>
  <c r="N44" i="59"/>
  <c r="J44" i="59"/>
  <c r="I44" i="59"/>
  <c r="H44" i="59"/>
  <c r="N43" i="59"/>
  <c r="J43" i="59"/>
  <c r="I43" i="59"/>
  <c r="H43" i="59"/>
  <c r="N42" i="59"/>
  <c r="J42" i="59"/>
  <c r="I42" i="59"/>
  <c r="H42" i="59"/>
  <c r="N41" i="59"/>
  <c r="J41" i="59"/>
  <c r="I41" i="59"/>
  <c r="H41" i="59"/>
  <c r="N40" i="59"/>
  <c r="J40" i="59"/>
  <c r="I40" i="59"/>
  <c r="H40" i="59"/>
  <c r="N39" i="59"/>
  <c r="J39" i="59"/>
  <c r="I39" i="59"/>
  <c r="H39" i="59"/>
  <c r="N38" i="59"/>
  <c r="J38" i="59"/>
  <c r="I38" i="59"/>
  <c r="H38" i="59"/>
  <c r="N37" i="59"/>
  <c r="J37" i="59"/>
  <c r="I37" i="59"/>
  <c r="H37" i="59"/>
  <c r="N36" i="59"/>
  <c r="J36" i="59"/>
  <c r="I36" i="59"/>
  <c r="H36" i="59"/>
  <c r="N35" i="59"/>
  <c r="J35" i="59"/>
  <c r="I35" i="59"/>
  <c r="H35" i="59"/>
  <c r="N34" i="59"/>
  <c r="J34" i="59"/>
  <c r="I34" i="59"/>
  <c r="H34" i="59"/>
  <c r="J33" i="59"/>
  <c r="I33" i="59"/>
  <c r="H33" i="59"/>
  <c r="N32" i="59"/>
  <c r="J32" i="59"/>
  <c r="I32" i="59"/>
  <c r="H32" i="59"/>
  <c r="N31" i="59"/>
  <c r="J31" i="59"/>
  <c r="I31" i="59"/>
  <c r="H31" i="59"/>
  <c r="N30" i="59"/>
  <c r="J30" i="59"/>
  <c r="I30" i="59"/>
  <c r="H30" i="59"/>
  <c r="N29" i="59"/>
  <c r="J29" i="59"/>
  <c r="I29" i="59"/>
  <c r="H29" i="59"/>
  <c r="N28" i="59"/>
  <c r="J28" i="59"/>
  <c r="I28" i="59"/>
  <c r="H28" i="59"/>
  <c r="N27" i="59"/>
  <c r="J27" i="59"/>
  <c r="I27" i="59"/>
  <c r="H27" i="59"/>
  <c r="N26" i="59"/>
  <c r="J26" i="59"/>
  <c r="I26" i="59"/>
  <c r="H26" i="59"/>
  <c r="N25" i="59"/>
  <c r="J25" i="59"/>
  <c r="I25" i="59"/>
  <c r="H25" i="59"/>
  <c r="I24" i="59"/>
  <c r="H24" i="59"/>
  <c r="N23" i="59"/>
  <c r="J23" i="59"/>
  <c r="I23" i="59"/>
  <c r="H23" i="59"/>
  <c r="N22" i="59"/>
  <c r="J22" i="59"/>
  <c r="I22" i="59"/>
  <c r="H22" i="59"/>
  <c r="N21" i="59"/>
  <c r="J21" i="59"/>
  <c r="I21" i="59"/>
  <c r="H21" i="59"/>
  <c r="N20" i="59"/>
  <c r="J20" i="59"/>
  <c r="I20" i="59"/>
  <c r="H20" i="59"/>
  <c r="N19" i="59"/>
  <c r="J19" i="59"/>
  <c r="I19" i="59"/>
  <c r="H19" i="59"/>
  <c r="N18" i="59"/>
  <c r="J18" i="59"/>
  <c r="I18" i="59"/>
  <c r="H18" i="59"/>
  <c r="N17" i="59"/>
  <c r="J17" i="59"/>
  <c r="I17" i="59"/>
  <c r="H17" i="59"/>
  <c r="N16" i="59"/>
  <c r="J16" i="59"/>
  <c r="I16" i="59"/>
  <c r="H16" i="59"/>
  <c r="G56" i="58"/>
  <c r="E56" i="58"/>
  <c r="D56" i="58"/>
  <c r="K55" i="58"/>
  <c r="M55" i="58" s="1"/>
  <c r="J55" i="58"/>
  <c r="F55" i="58"/>
  <c r="H55" i="58" s="1"/>
  <c r="K54" i="58"/>
  <c r="M54" i="58" s="1"/>
  <c r="J54" i="58"/>
  <c r="F54" i="58"/>
  <c r="H54" i="58" s="1"/>
  <c r="J53" i="58"/>
  <c r="P53" i="58" s="1"/>
  <c r="F53" i="58"/>
  <c r="H53" i="58" s="1"/>
  <c r="K53" i="58" s="1"/>
  <c r="M53" i="58" s="1"/>
  <c r="K52" i="58"/>
  <c r="M52" i="58" s="1"/>
  <c r="J52" i="58"/>
  <c r="P52" i="58" s="1"/>
  <c r="F52" i="58"/>
  <c r="H52" i="58" s="1"/>
  <c r="K51" i="58"/>
  <c r="M51" i="58" s="1"/>
  <c r="J51" i="58"/>
  <c r="P51" i="58" s="1"/>
  <c r="F51" i="58"/>
  <c r="H51" i="58" s="1"/>
  <c r="J50" i="58"/>
  <c r="P50" i="58" s="1"/>
  <c r="F50" i="58"/>
  <c r="H50" i="58" s="1"/>
  <c r="K50" i="58" s="1"/>
  <c r="M50" i="58" s="1"/>
  <c r="K49" i="58"/>
  <c r="M49" i="58" s="1"/>
  <c r="J49" i="58"/>
  <c r="P49" i="58" s="1"/>
  <c r="F49" i="58"/>
  <c r="H49" i="58" s="1"/>
  <c r="K48" i="58"/>
  <c r="M48" i="58" s="1"/>
  <c r="J48" i="58"/>
  <c r="P48" i="58" s="1"/>
  <c r="F48" i="58"/>
  <c r="H48" i="58" s="1"/>
  <c r="J47" i="58"/>
  <c r="P47" i="58" s="1"/>
  <c r="F47" i="58"/>
  <c r="H47" i="58" s="1"/>
  <c r="K47" i="58" s="1"/>
  <c r="M47" i="58" s="1"/>
  <c r="K46" i="58"/>
  <c r="M46" i="58" s="1"/>
  <c r="J46" i="58"/>
  <c r="P46" i="58" s="1"/>
  <c r="F46" i="58"/>
  <c r="H46" i="58" s="1"/>
  <c r="K45" i="58"/>
  <c r="M45" i="58" s="1"/>
  <c r="J45" i="58"/>
  <c r="P45" i="58" s="1"/>
  <c r="F45" i="58"/>
  <c r="H45" i="58" s="1"/>
  <c r="K44" i="58"/>
  <c r="M44" i="58" s="1"/>
  <c r="J44" i="58"/>
  <c r="P44" i="58" s="1"/>
  <c r="F44" i="58"/>
  <c r="H44" i="58" s="1"/>
  <c r="K43" i="58"/>
  <c r="M43" i="58" s="1"/>
  <c r="J43" i="58"/>
  <c r="P43" i="58" s="1"/>
  <c r="F43" i="58"/>
  <c r="H43" i="58" s="1"/>
  <c r="J42" i="58"/>
  <c r="P42" i="58" s="1"/>
  <c r="F42" i="58"/>
  <c r="H42" i="58" s="1"/>
  <c r="K42" i="58" s="1"/>
  <c r="M42" i="58" s="1"/>
  <c r="K41" i="58"/>
  <c r="M41" i="58" s="1"/>
  <c r="J41" i="58"/>
  <c r="P41" i="58" s="1"/>
  <c r="F41" i="58"/>
  <c r="H41" i="58" s="1"/>
  <c r="K40" i="58"/>
  <c r="M40" i="58" s="1"/>
  <c r="J40" i="58"/>
  <c r="P40" i="58" s="1"/>
  <c r="F40" i="58"/>
  <c r="H40" i="58" s="1"/>
  <c r="K39" i="58"/>
  <c r="M39" i="58" s="1"/>
  <c r="J39" i="58"/>
  <c r="P39" i="58" s="1"/>
  <c r="F39" i="58"/>
  <c r="H39" i="58" s="1"/>
  <c r="J38" i="58"/>
  <c r="P38" i="58" s="1"/>
  <c r="F38" i="58"/>
  <c r="H38" i="58" s="1"/>
  <c r="K38" i="58" s="1"/>
  <c r="M38" i="58" s="1"/>
  <c r="K37" i="58"/>
  <c r="M37" i="58" s="1"/>
  <c r="J37" i="58"/>
  <c r="P37" i="58" s="1"/>
  <c r="F37" i="58"/>
  <c r="H37" i="58" s="1"/>
  <c r="K36" i="58"/>
  <c r="M36" i="58" s="1"/>
  <c r="J36" i="58"/>
  <c r="P36" i="58" s="1"/>
  <c r="F36" i="58"/>
  <c r="H36" i="58" s="1"/>
  <c r="J35" i="58"/>
  <c r="P35" i="58" s="1"/>
  <c r="F35" i="58"/>
  <c r="H35" i="58" s="1"/>
  <c r="K35" i="58" s="1"/>
  <c r="M35" i="58" s="1"/>
  <c r="K34" i="58"/>
  <c r="M34" i="58" s="1"/>
  <c r="J34" i="58"/>
  <c r="P34" i="58" s="1"/>
  <c r="F34" i="58"/>
  <c r="H34" i="58" s="1"/>
  <c r="J33" i="58"/>
  <c r="P33" i="58" s="1"/>
  <c r="F33" i="58"/>
  <c r="H33" i="58" s="1"/>
  <c r="K33" i="58" s="1"/>
  <c r="M33" i="58" s="1"/>
  <c r="K32" i="58"/>
  <c r="M32" i="58" s="1"/>
  <c r="J32" i="58"/>
  <c r="P32" i="58" s="1"/>
  <c r="F32" i="58"/>
  <c r="H32" i="58" s="1"/>
  <c r="J31" i="58"/>
  <c r="P31" i="58" s="1"/>
  <c r="H31" i="58"/>
  <c r="K31" i="58" s="1"/>
  <c r="M31" i="58" s="1"/>
  <c r="J30" i="58"/>
  <c r="P30" i="58" s="1"/>
  <c r="F30" i="58"/>
  <c r="H30" i="58" s="1"/>
  <c r="K30" i="58" s="1"/>
  <c r="M30" i="58" s="1"/>
  <c r="J29" i="58"/>
  <c r="P29" i="58" s="1"/>
  <c r="F29" i="58"/>
  <c r="H29" i="58" s="1"/>
  <c r="K29" i="58" s="1"/>
  <c r="M29" i="58" s="1"/>
  <c r="J28" i="58"/>
  <c r="P28" i="58" s="1"/>
  <c r="F28" i="58"/>
  <c r="H28" i="58" s="1"/>
  <c r="K28" i="58" s="1"/>
  <c r="M28" i="58" s="1"/>
  <c r="J27" i="58"/>
  <c r="P27" i="58" s="1"/>
  <c r="F27" i="58"/>
  <c r="H27" i="58" s="1"/>
  <c r="K27" i="58" s="1"/>
  <c r="M27" i="58" s="1"/>
  <c r="J26" i="58"/>
  <c r="P26" i="58" s="1"/>
  <c r="F26" i="58"/>
  <c r="H26" i="58" s="1"/>
  <c r="K26" i="58" s="1"/>
  <c r="M26" i="58" s="1"/>
  <c r="J25" i="58"/>
  <c r="P25" i="58" s="1"/>
  <c r="F25" i="58"/>
  <c r="H25" i="58" s="1"/>
  <c r="K25" i="58" s="1"/>
  <c r="M25" i="58" s="1"/>
  <c r="F24" i="58"/>
  <c r="H24" i="58" s="1"/>
  <c r="K23" i="58"/>
  <c r="M23" i="58" s="1"/>
  <c r="J23" i="58"/>
  <c r="P23" i="58" s="1"/>
  <c r="F23" i="58"/>
  <c r="H23" i="58" s="1"/>
  <c r="J22" i="58"/>
  <c r="P22" i="58" s="1"/>
  <c r="F22" i="58"/>
  <c r="H22" i="58" s="1"/>
  <c r="K22" i="58" s="1"/>
  <c r="K21" i="58"/>
  <c r="M21" i="58" s="1"/>
  <c r="J21" i="58"/>
  <c r="P21" i="58" s="1"/>
  <c r="F21" i="58"/>
  <c r="H21" i="58" s="1"/>
  <c r="K20" i="58"/>
  <c r="M20" i="58" s="1"/>
  <c r="J20" i="58"/>
  <c r="P20" i="58" s="1"/>
  <c r="F20" i="58"/>
  <c r="H20" i="58" s="1"/>
  <c r="K19" i="58"/>
  <c r="M19" i="58" s="1"/>
  <c r="J19" i="58"/>
  <c r="P19" i="58" s="1"/>
  <c r="F19" i="58"/>
  <c r="H19" i="58" s="1"/>
  <c r="K18" i="58"/>
  <c r="M18" i="58" s="1"/>
  <c r="F18" i="58"/>
  <c r="H18" i="58" s="1"/>
  <c r="K17" i="58"/>
  <c r="M17" i="58" s="1"/>
  <c r="J17" i="58"/>
  <c r="P17" i="58" s="1"/>
  <c r="F17" i="58"/>
  <c r="H17" i="58" s="1"/>
  <c r="J16" i="58"/>
  <c r="P16" i="58" s="1"/>
  <c r="F16" i="58"/>
  <c r="H16" i="58" s="1"/>
  <c r="K16" i="58" s="1"/>
  <c r="M16" i="58" s="1"/>
  <c r="L58" i="57"/>
  <c r="G58" i="57"/>
  <c r="K56" i="57"/>
  <c r="K59" i="57" s="1"/>
  <c r="J56" i="57"/>
  <c r="J59" i="57" s="1"/>
  <c r="K64" i="57" s="1"/>
  <c r="I56" i="57"/>
  <c r="I59" i="57" s="1"/>
  <c r="F56" i="57"/>
  <c r="F59" i="57" s="1"/>
  <c r="E56" i="57"/>
  <c r="E59" i="57" s="1"/>
  <c r="D56" i="57"/>
  <c r="D59" i="57" s="1"/>
  <c r="L55" i="57"/>
  <c r="G55" i="57"/>
  <c r="L54" i="57"/>
  <c r="G54" i="57"/>
  <c r="L53" i="57"/>
  <c r="G53" i="57"/>
  <c r="L52" i="57"/>
  <c r="G52" i="57"/>
  <c r="L51" i="57"/>
  <c r="G51" i="57"/>
  <c r="L50" i="57"/>
  <c r="G50" i="57"/>
  <c r="L49" i="57"/>
  <c r="G49" i="57"/>
  <c r="L48" i="57"/>
  <c r="G48" i="57"/>
  <c r="L47" i="57"/>
  <c r="G47" i="57"/>
  <c r="L46" i="57"/>
  <c r="G46" i="57"/>
  <c r="L45" i="57"/>
  <c r="G45" i="57"/>
  <c r="L44" i="57"/>
  <c r="G44" i="57"/>
  <c r="L43" i="57"/>
  <c r="G43" i="57"/>
  <c r="L42" i="57"/>
  <c r="G42" i="57"/>
  <c r="L41" i="57"/>
  <c r="G41" i="57"/>
  <c r="L40" i="57"/>
  <c r="G40" i="57"/>
  <c r="L39" i="57"/>
  <c r="G39" i="57"/>
  <c r="L38" i="57"/>
  <c r="G38" i="57"/>
  <c r="L37" i="57"/>
  <c r="G37" i="57"/>
  <c r="L36" i="57"/>
  <c r="G36" i="57"/>
  <c r="L35" i="57"/>
  <c r="G35" i="57"/>
  <c r="L34" i="57"/>
  <c r="G34" i="57"/>
  <c r="L33" i="57"/>
  <c r="G33" i="57"/>
  <c r="L32" i="57"/>
  <c r="G32" i="57"/>
  <c r="L31" i="57"/>
  <c r="G31" i="57"/>
  <c r="L30" i="57"/>
  <c r="G30" i="57"/>
  <c r="L29" i="57"/>
  <c r="G29" i="57"/>
  <c r="L28" i="57"/>
  <c r="G28" i="57"/>
  <c r="L27" i="57"/>
  <c r="M27" i="57" s="1"/>
  <c r="G27" i="57"/>
  <c r="L26" i="57"/>
  <c r="G26" i="57"/>
  <c r="L25" i="57"/>
  <c r="G25" i="57"/>
  <c r="L24" i="57"/>
  <c r="G24" i="57"/>
  <c r="M24" i="57" s="1"/>
  <c r="L23" i="57"/>
  <c r="G23" i="57"/>
  <c r="L22" i="57"/>
  <c r="G22" i="57"/>
  <c r="L21" i="57"/>
  <c r="G21" i="57"/>
  <c r="L20" i="57"/>
  <c r="G20" i="57"/>
  <c r="L19" i="57"/>
  <c r="G19" i="57"/>
  <c r="L18" i="57"/>
  <c r="G18" i="57"/>
  <c r="L17" i="57"/>
  <c r="G17" i="57"/>
  <c r="L16" i="57"/>
  <c r="G16" i="57"/>
  <c r="J54" i="64" l="1"/>
  <c r="L54" i="64" s="1"/>
  <c r="J17" i="64"/>
  <c r="L17" i="64" s="1"/>
  <c r="J21" i="64"/>
  <c r="L21" i="64" s="1"/>
  <c r="O23" i="64"/>
  <c r="J25" i="64"/>
  <c r="L25" i="64" s="1"/>
  <c r="H16" i="70"/>
  <c r="J28" i="69"/>
  <c r="L28" i="69" s="1"/>
  <c r="J41" i="69"/>
  <c r="L41" i="69" s="1"/>
  <c r="J46" i="69"/>
  <c r="L46" i="69" s="1"/>
  <c r="O51" i="69"/>
  <c r="F51" i="70" s="1"/>
  <c r="H51" i="70" s="1"/>
  <c r="J54" i="69"/>
  <c r="L54" i="69" s="1"/>
  <c r="O55" i="69"/>
  <c r="F55" i="70" s="1"/>
  <c r="H55" i="70" s="1"/>
  <c r="I56" i="65"/>
  <c r="J17" i="69"/>
  <c r="L17" i="69" s="1"/>
  <c r="J24" i="69"/>
  <c r="L24" i="69" s="1"/>
  <c r="O26" i="69"/>
  <c r="F26" i="70" s="1"/>
  <c r="H26" i="70" s="1"/>
  <c r="O27" i="69"/>
  <c r="F27" i="70" s="1"/>
  <c r="H27" i="70" s="1"/>
  <c r="O40" i="69"/>
  <c r="F40" i="70" s="1"/>
  <c r="H40" i="70" s="1"/>
  <c r="O45" i="69"/>
  <c r="F45" i="70" s="1"/>
  <c r="H45" i="70" s="1"/>
  <c r="O53" i="69"/>
  <c r="F53" i="70" s="1"/>
  <c r="H53" i="70" s="1"/>
  <c r="I53" i="71"/>
  <c r="P55" i="58"/>
  <c r="P59" i="58" s="1"/>
  <c r="M43" i="57"/>
  <c r="M47" i="57"/>
  <c r="M49" i="57"/>
  <c r="M51" i="57"/>
  <c r="M58" i="57"/>
  <c r="O34" i="64"/>
  <c r="O46" i="64"/>
  <c r="F46" i="65" s="1"/>
  <c r="H46" i="65" s="1"/>
  <c r="O48" i="64"/>
  <c r="F48" i="65" s="1"/>
  <c r="H48" i="65" s="1"/>
  <c r="O52" i="64"/>
  <c r="F52" i="65" s="1"/>
  <c r="H52" i="65" s="1"/>
  <c r="O54" i="64"/>
  <c r="F54" i="65" s="1"/>
  <c r="H54" i="65" s="1"/>
  <c r="J20" i="69"/>
  <c r="L20" i="69" s="1"/>
  <c r="O22" i="69"/>
  <c r="F22" i="70" s="1"/>
  <c r="H22" i="70" s="1"/>
  <c r="O23" i="69"/>
  <c r="F23" i="70" s="1"/>
  <c r="H23" i="70" s="1"/>
  <c r="J30" i="69"/>
  <c r="L30" i="69" s="1"/>
  <c r="J31" i="69"/>
  <c r="L31" i="69" s="1"/>
  <c r="J33" i="69"/>
  <c r="L33" i="69" s="1"/>
  <c r="J38" i="69"/>
  <c r="L38" i="69" s="1"/>
  <c r="J43" i="69"/>
  <c r="L43" i="69" s="1"/>
  <c r="J44" i="69"/>
  <c r="L44" i="69" s="1"/>
  <c r="J52" i="69"/>
  <c r="L52" i="69" s="1"/>
  <c r="O28" i="64"/>
  <c r="F28" i="65" s="1"/>
  <c r="H28" i="65" s="1"/>
  <c r="O42" i="64"/>
  <c r="F42" i="65" s="1"/>
  <c r="H42" i="65" s="1"/>
  <c r="O38" i="64"/>
  <c r="K38" i="65" s="1"/>
  <c r="F38" i="66" s="1"/>
  <c r="H38" i="66" s="1"/>
  <c r="J22" i="64"/>
  <c r="L22" i="64" s="1"/>
  <c r="J26" i="64"/>
  <c r="L26" i="64" s="1"/>
  <c r="J28" i="64"/>
  <c r="L28" i="64" s="1"/>
  <c r="P38" i="59"/>
  <c r="G38" i="60" s="1"/>
  <c r="I38" i="60" s="1"/>
  <c r="P48" i="59"/>
  <c r="L48" i="60" s="1"/>
  <c r="P22" i="59"/>
  <c r="G22" i="60" s="1"/>
  <c r="I22" i="60" s="1"/>
  <c r="K24" i="58"/>
  <c r="M24" i="58" s="1"/>
  <c r="M22" i="58"/>
  <c r="P17" i="59"/>
  <c r="L17" i="60" s="1"/>
  <c r="K46" i="59"/>
  <c r="M46" i="59" s="1"/>
  <c r="K39" i="59"/>
  <c r="M39" i="59" s="1"/>
  <c r="K41" i="59"/>
  <c r="M41" i="59" s="1"/>
  <c r="O19" i="64"/>
  <c r="F19" i="65" s="1"/>
  <c r="H19" i="65" s="1"/>
  <c r="O16" i="64"/>
  <c r="F16" i="65" s="1"/>
  <c r="H16" i="65" s="1"/>
  <c r="J31" i="64"/>
  <c r="L31" i="64" s="1"/>
  <c r="J37" i="64"/>
  <c r="L37" i="64" s="1"/>
  <c r="J49" i="64"/>
  <c r="L49" i="64" s="1"/>
  <c r="J51" i="64"/>
  <c r="L51" i="64" s="1"/>
  <c r="J53" i="64"/>
  <c r="L53" i="64" s="1"/>
  <c r="O20" i="64"/>
  <c r="F20" i="65" s="1"/>
  <c r="H20" i="65" s="1"/>
  <c r="O24" i="64"/>
  <c r="F24" i="65" s="1"/>
  <c r="H24" i="65" s="1"/>
  <c r="J30" i="64"/>
  <c r="L30" i="64" s="1"/>
  <c r="O32" i="64"/>
  <c r="F32" i="65" s="1"/>
  <c r="H32" i="65" s="1"/>
  <c r="O36" i="64"/>
  <c r="F36" i="65" s="1"/>
  <c r="H36" i="65" s="1"/>
  <c r="J38" i="64"/>
  <c r="L38" i="64" s="1"/>
  <c r="J40" i="64"/>
  <c r="L40" i="64" s="1"/>
  <c r="J42" i="64"/>
  <c r="L42" i="64" s="1"/>
  <c r="O25" i="64"/>
  <c r="F25" i="65" s="1"/>
  <c r="H25" i="65" s="1"/>
  <c r="O27" i="64"/>
  <c r="F27" i="65" s="1"/>
  <c r="H27" i="65" s="1"/>
  <c r="J29" i="64"/>
  <c r="L29" i="64" s="1"/>
  <c r="J33" i="64"/>
  <c r="L33" i="64" s="1"/>
  <c r="J24" i="64"/>
  <c r="L24" i="64" s="1"/>
  <c r="O29" i="64"/>
  <c r="F29" i="65" s="1"/>
  <c r="H29" i="65" s="1"/>
  <c r="O33" i="64"/>
  <c r="F33" i="65" s="1"/>
  <c r="H33" i="65" s="1"/>
  <c r="O37" i="64"/>
  <c r="F37" i="65" s="1"/>
  <c r="H37" i="65" s="1"/>
  <c r="O43" i="64"/>
  <c r="F43" i="65" s="1"/>
  <c r="H43" i="65" s="1"/>
  <c r="O51" i="64"/>
  <c r="F51" i="65" s="1"/>
  <c r="H51" i="65" s="1"/>
  <c r="J16" i="64"/>
  <c r="L16" i="64" s="1"/>
  <c r="J20" i="64"/>
  <c r="L20" i="64" s="1"/>
  <c r="J45" i="64"/>
  <c r="L45" i="64" s="1"/>
  <c r="J47" i="64"/>
  <c r="L47" i="64" s="1"/>
  <c r="J34" i="64"/>
  <c r="L34" i="64" s="1"/>
  <c r="O44" i="64"/>
  <c r="F44" i="65" s="1"/>
  <c r="H44" i="65" s="1"/>
  <c r="J46" i="64"/>
  <c r="L46" i="64" s="1"/>
  <c r="J48" i="64"/>
  <c r="L48" i="64" s="1"/>
  <c r="J50" i="64"/>
  <c r="L50" i="64" s="1"/>
  <c r="O35" i="64"/>
  <c r="K35" i="65" s="1"/>
  <c r="F35" i="66" s="1"/>
  <c r="H35" i="66" s="1"/>
  <c r="J52" i="64"/>
  <c r="L52" i="64" s="1"/>
  <c r="J18" i="64"/>
  <c r="L18" i="64" s="1"/>
  <c r="J39" i="64"/>
  <c r="L39" i="64" s="1"/>
  <c r="J41" i="64"/>
  <c r="L41" i="64" s="1"/>
  <c r="J43" i="64"/>
  <c r="L43" i="64" s="1"/>
  <c r="O17" i="64"/>
  <c r="F17" i="65" s="1"/>
  <c r="H17" i="65" s="1"/>
  <c r="O31" i="64"/>
  <c r="F31" i="65" s="1"/>
  <c r="H31" i="65" s="1"/>
  <c r="O40" i="64"/>
  <c r="F40" i="65" s="1"/>
  <c r="H40" i="65" s="1"/>
  <c r="O49" i="64"/>
  <c r="F49" i="65" s="1"/>
  <c r="H49" i="65" s="1"/>
  <c r="O22" i="64"/>
  <c r="F22" i="65" s="1"/>
  <c r="H22" i="65" s="1"/>
  <c r="J36" i="64"/>
  <c r="L36" i="64" s="1"/>
  <c r="O39" i="64"/>
  <c r="F39" i="65" s="1"/>
  <c r="H39" i="65" s="1"/>
  <c r="J44" i="64"/>
  <c r="L44" i="64" s="1"/>
  <c r="O45" i="64"/>
  <c r="F45" i="65" s="1"/>
  <c r="H45" i="65" s="1"/>
  <c r="J32" i="64"/>
  <c r="L32" i="64" s="1"/>
  <c r="O47" i="64"/>
  <c r="F47" i="65" s="1"/>
  <c r="H47" i="65" s="1"/>
  <c r="O50" i="64"/>
  <c r="K50" i="65" s="1"/>
  <c r="F50" i="66" s="1"/>
  <c r="H50" i="66" s="1"/>
  <c r="O21" i="64"/>
  <c r="F21" i="65" s="1"/>
  <c r="H21" i="65" s="1"/>
  <c r="O53" i="64"/>
  <c r="F53" i="65" s="1"/>
  <c r="H53" i="65" s="1"/>
  <c r="O41" i="64"/>
  <c r="F41" i="65" s="1"/>
  <c r="H41" i="65" s="1"/>
  <c r="H56" i="64"/>
  <c r="H53" i="71"/>
  <c r="H31" i="71"/>
  <c r="I31" i="71"/>
  <c r="K38" i="59"/>
  <c r="M38" i="59" s="1"/>
  <c r="P54" i="59"/>
  <c r="G54" i="60" s="1"/>
  <c r="I54" i="60" s="1"/>
  <c r="K29" i="59"/>
  <c r="M29" i="59" s="1"/>
  <c r="K31" i="59"/>
  <c r="M31" i="59" s="1"/>
  <c r="K37" i="59"/>
  <c r="M37" i="59" s="1"/>
  <c r="K47" i="59"/>
  <c r="M47" i="59" s="1"/>
  <c r="K51" i="59"/>
  <c r="M51" i="59" s="1"/>
  <c r="K21" i="59"/>
  <c r="M21" i="59" s="1"/>
  <c r="K35" i="59"/>
  <c r="M35" i="59" s="1"/>
  <c r="P41" i="59"/>
  <c r="G41" i="60" s="1"/>
  <c r="I41" i="60" s="1"/>
  <c r="P45" i="59"/>
  <c r="L45" i="60" s="1"/>
  <c r="P49" i="59"/>
  <c r="L49" i="60" s="1"/>
  <c r="P51" i="59"/>
  <c r="G51" i="60" s="1"/>
  <c r="I51" i="60" s="1"/>
  <c r="P21" i="59"/>
  <c r="L21" i="60" s="1"/>
  <c r="P33" i="59"/>
  <c r="G33" i="60" s="1"/>
  <c r="I33" i="60" s="1"/>
  <c r="K50" i="59"/>
  <c r="M50" i="59" s="1"/>
  <c r="K26" i="59"/>
  <c r="M26" i="59" s="1"/>
  <c r="P26" i="59"/>
  <c r="K25" i="59"/>
  <c r="M25" i="59" s="1"/>
  <c r="P53" i="59"/>
  <c r="L53" i="60" s="1"/>
  <c r="K43" i="59"/>
  <c r="M43" i="59" s="1"/>
  <c r="K45" i="59"/>
  <c r="M45" i="59" s="1"/>
  <c r="K24" i="59"/>
  <c r="M24" i="59" s="1"/>
  <c r="K28" i="59"/>
  <c r="M28" i="59" s="1"/>
  <c r="P42" i="59"/>
  <c r="G42" i="60" s="1"/>
  <c r="I42" i="60" s="1"/>
  <c r="K44" i="59"/>
  <c r="M44" i="59" s="1"/>
  <c r="K19" i="59"/>
  <c r="M19" i="59" s="1"/>
  <c r="K18" i="59"/>
  <c r="M18" i="59" s="1"/>
  <c r="K27" i="59"/>
  <c r="M27" i="59" s="1"/>
  <c r="K40" i="59"/>
  <c r="M40" i="59" s="1"/>
  <c r="P46" i="59"/>
  <c r="G46" i="60" s="1"/>
  <c r="I46" i="60" s="1"/>
  <c r="P50" i="59"/>
  <c r="G50" i="60" s="1"/>
  <c r="I50" i="60" s="1"/>
  <c r="P30" i="59"/>
  <c r="P34" i="59"/>
  <c r="G34" i="60" s="1"/>
  <c r="I34" i="60" s="1"/>
  <c r="K23" i="59"/>
  <c r="M23" i="59" s="1"/>
  <c r="K53" i="59"/>
  <c r="M53" i="59" s="1"/>
  <c r="P28" i="59"/>
  <c r="K30" i="59"/>
  <c r="M30" i="59" s="1"/>
  <c r="K22" i="59"/>
  <c r="M22" i="59" s="1"/>
  <c r="P25" i="59"/>
  <c r="K42" i="59"/>
  <c r="M42" i="59" s="1"/>
  <c r="P32" i="59"/>
  <c r="G32" i="60" s="1"/>
  <c r="I32" i="60" s="1"/>
  <c r="K34" i="59"/>
  <c r="M34" i="59" s="1"/>
  <c r="P35" i="59"/>
  <c r="G35" i="60" s="1"/>
  <c r="I35" i="60" s="1"/>
  <c r="P37" i="59"/>
  <c r="L37" i="60" s="1"/>
  <c r="K49" i="59"/>
  <c r="M49" i="59" s="1"/>
  <c r="P47" i="59"/>
  <c r="G47" i="60" s="1"/>
  <c r="I47" i="60" s="1"/>
  <c r="P52" i="59"/>
  <c r="L52" i="60" s="1"/>
  <c r="O52" i="60" s="1"/>
  <c r="P19" i="59"/>
  <c r="G19" i="60" s="1"/>
  <c r="I19" i="60" s="1"/>
  <c r="P18" i="59"/>
  <c r="G18" i="60" s="1"/>
  <c r="I18" i="60" s="1"/>
  <c r="M39" i="57"/>
  <c r="M30" i="57"/>
  <c r="M38" i="57"/>
  <c r="M46" i="57"/>
  <c r="M54" i="57"/>
  <c r="M18" i="57"/>
  <c r="M22" i="57"/>
  <c r="M32" i="57"/>
  <c r="M40" i="57"/>
  <c r="M55" i="57"/>
  <c r="M17" i="57"/>
  <c r="M19" i="57"/>
  <c r="M23" i="57"/>
  <c r="M25" i="57"/>
  <c r="M48" i="57"/>
  <c r="M31" i="57"/>
  <c r="M33" i="57"/>
  <c r="M35" i="57"/>
  <c r="M41" i="57"/>
  <c r="G56" i="57"/>
  <c r="G59" i="57" s="1"/>
  <c r="M20" i="57"/>
  <c r="M29" i="57"/>
  <c r="M34" i="57"/>
  <c r="M36" i="57"/>
  <c r="M45" i="57"/>
  <c r="M50" i="57"/>
  <c r="M52" i="57"/>
  <c r="L56" i="57"/>
  <c r="L59" i="57" s="1"/>
  <c r="M21" i="57"/>
  <c r="M26" i="57"/>
  <c r="M28" i="57"/>
  <c r="M37" i="57"/>
  <c r="M42" i="57"/>
  <c r="M44" i="57"/>
  <c r="M53" i="57"/>
  <c r="G48" i="60"/>
  <c r="I48" i="60" s="1"/>
  <c r="K56" i="58"/>
  <c r="N56" i="59"/>
  <c r="H56" i="58"/>
  <c r="K16" i="59"/>
  <c r="P16" i="59"/>
  <c r="K17" i="59"/>
  <c r="M17" i="59" s="1"/>
  <c r="P23" i="59"/>
  <c r="K32" i="59"/>
  <c r="M32" i="59" s="1"/>
  <c r="K33" i="59"/>
  <c r="M33" i="59" s="1"/>
  <c r="P39" i="59"/>
  <c r="G39" i="60" s="1"/>
  <c r="I39" i="60" s="1"/>
  <c r="P43" i="59"/>
  <c r="G43" i="60" s="1"/>
  <c r="I43" i="60" s="1"/>
  <c r="K52" i="59"/>
  <c r="M52" i="59" s="1"/>
  <c r="I56" i="59"/>
  <c r="J56" i="60"/>
  <c r="F56" i="58"/>
  <c r="J56" i="59"/>
  <c r="K20" i="59"/>
  <c r="M20" i="59" s="1"/>
  <c r="P20" i="59"/>
  <c r="P27" i="59"/>
  <c r="P29" i="59"/>
  <c r="K36" i="59"/>
  <c r="M36" i="59" s="1"/>
  <c r="P36" i="59"/>
  <c r="P44" i="59"/>
  <c r="K48" i="59"/>
  <c r="M48" i="59" s="1"/>
  <c r="P55" i="59"/>
  <c r="G55" i="60" s="1"/>
  <c r="I55" i="60" s="1"/>
  <c r="P24" i="59"/>
  <c r="P31" i="59"/>
  <c r="P40" i="59"/>
  <c r="G49" i="60"/>
  <c r="I49" i="60" s="1"/>
  <c r="I56" i="61"/>
  <c r="J19" i="64"/>
  <c r="L19" i="64" s="1"/>
  <c r="F23" i="65"/>
  <c r="H23" i="65" s="1"/>
  <c r="K23" i="65"/>
  <c r="F23" i="66" s="1"/>
  <c r="H23" i="66" s="1"/>
  <c r="O26" i="64"/>
  <c r="J35" i="64"/>
  <c r="L35" i="64" s="1"/>
  <c r="I56" i="64"/>
  <c r="J23" i="64"/>
  <c r="L23" i="64" s="1"/>
  <c r="O30" i="64"/>
  <c r="L56" i="67"/>
  <c r="O18" i="64"/>
  <c r="M56" i="64"/>
  <c r="J27" i="64"/>
  <c r="L27" i="64" s="1"/>
  <c r="F34" i="65"/>
  <c r="H34" i="65" s="1"/>
  <c r="K34" i="65"/>
  <c r="F34" i="66" s="1"/>
  <c r="H34" i="66" s="1"/>
  <c r="J56" i="67"/>
  <c r="E56" i="68"/>
  <c r="E56" i="67"/>
  <c r="K55" i="65"/>
  <c r="F55" i="66" s="1"/>
  <c r="H55" i="66" s="1"/>
  <c r="L16" i="68"/>
  <c r="L56" i="68" s="1"/>
  <c r="J56" i="68"/>
  <c r="G16" i="68"/>
  <c r="G56" i="68" s="1"/>
  <c r="O35" i="69"/>
  <c r="F35" i="70" s="1"/>
  <c r="H35" i="70" s="1"/>
  <c r="H56" i="69"/>
  <c r="M56" i="69"/>
  <c r="J32" i="69"/>
  <c r="L32" i="69" s="1"/>
  <c r="O32" i="69"/>
  <c r="F32" i="70" s="1"/>
  <c r="H32" i="70" s="1"/>
  <c r="O39" i="69"/>
  <c r="F39" i="70" s="1"/>
  <c r="H39" i="70" s="1"/>
  <c r="J45" i="69"/>
  <c r="L45" i="69" s="1"/>
  <c r="O48" i="69"/>
  <c r="F48" i="70" s="1"/>
  <c r="H48" i="70" s="1"/>
  <c r="J53" i="69"/>
  <c r="L53" i="69" s="1"/>
  <c r="O36" i="69"/>
  <c r="F36" i="70" s="1"/>
  <c r="H36" i="70" s="1"/>
  <c r="O43" i="69"/>
  <c r="F43" i="70" s="1"/>
  <c r="H43" i="70" s="1"/>
  <c r="J16" i="69"/>
  <c r="M16" i="57"/>
  <c r="K54" i="65" l="1"/>
  <c r="F54" i="66" s="1"/>
  <c r="H54" i="66" s="1"/>
  <c r="K46" i="65"/>
  <c r="F46" i="66" s="1"/>
  <c r="H46" i="66" s="1"/>
  <c r="F38" i="65"/>
  <c r="H38" i="65" s="1"/>
  <c r="K27" i="65"/>
  <c r="F27" i="66" s="1"/>
  <c r="H27" i="66" s="1"/>
  <c r="K32" i="65"/>
  <c r="F32" i="66" s="1"/>
  <c r="H32" i="66" s="1"/>
  <c r="F17" i="61"/>
  <c r="H17" i="61" s="1"/>
  <c r="O17" i="60"/>
  <c r="K53" i="65"/>
  <c r="F53" i="66" s="1"/>
  <c r="H53" i="66" s="1"/>
  <c r="K28" i="65"/>
  <c r="F28" i="66" s="1"/>
  <c r="H28" i="66" s="1"/>
  <c r="G17" i="60"/>
  <c r="I17" i="60" s="1"/>
  <c r="F45" i="61"/>
  <c r="H45" i="61" s="1"/>
  <c r="O45" i="60"/>
  <c r="L54" i="60"/>
  <c r="K52" i="65"/>
  <c r="F52" i="66" s="1"/>
  <c r="H52" i="66" s="1"/>
  <c r="F56" i="70"/>
  <c r="F58" i="70" s="1"/>
  <c r="F37" i="61"/>
  <c r="H37" i="61" s="1"/>
  <c r="O37" i="60"/>
  <c r="F53" i="61"/>
  <c r="H53" i="61" s="1"/>
  <c r="O53" i="60"/>
  <c r="F49" i="61"/>
  <c r="H49" i="61" s="1"/>
  <c r="O49" i="60"/>
  <c r="F48" i="61"/>
  <c r="H48" i="61" s="1"/>
  <c r="O48" i="60"/>
  <c r="K19" i="65"/>
  <c r="F19" i="66" s="1"/>
  <c r="H19" i="66" s="1"/>
  <c r="F21" i="61"/>
  <c r="H21" i="61" s="1"/>
  <c r="O21" i="60"/>
  <c r="K48" i="65"/>
  <c r="F48" i="66" s="1"/>
  <c r="H48" i="66" s="1"/>
  <c r="H56" i="70"/>
  <c r="K33" i="65"/>
  <c r="F33" i="66" s="1"/>
  <c r="H33" i="66" s="1"/>
  <c r="K42" i="65"/>
  <c r="F42" i="66" s="1"/>
  <c r="H42" i="66" s="1"/>
  <c r="L38" i="60"/>
  <c r="F35" i="65"/>
  <c r="H35" i="65" s="1"/>
  <c r="L33" i="60"/>
  <c r="K33" i="61" s="1"/>
  <c r="G23" i="60"/>
  <c r="I23" i="60" s="1"/>
  <c r="L22" i="60"/>
  <c r="G31" i="60"/>
  <c r="I31" i="60" s="1"/>
  <c r="G30" i="60"/>
  <c r="I30" i="60" s="1"/>
  <c r="G28" i="60"/>
  <c r="I28" i="60" s="1"/>
  <c r="G27" i="60"/>
  <c r="I27" i="60" s="1"/>
  <c r="G26" i="60"/>
  <c r="I26" i="60" s="1"/>
  <c r="G25" i="60"/>
  <c r="I25" i="60" s="1"/>
  <c r="G24" i="60"/>
  <c r="I24" i="60" s="1"/>
  <c r="K51" i="65"/>
  <c r="F51" i="66" s="1"/>
  <c r="H51" i="66" s="1"/>
  <c r="K16" i="65"/>
  <c r="F16" i="66" s="1"/>
  <c r="H16" i="66" s="1"/>
  <c r="K45" i="65"/>
  <c r="F45" i="66" s="1"/>
  <c r="H45" i="66" s="1"/>
  <c r="K17" i="65"/>
  <c r="F17" i="66" s="1"/>
  <c r="H17" i="66" s="1"/>
  <c r="K24" i="65"/>
  <c r="F24" i="66" s="1"/>
  <c r="H24" i="66" s="1"/>
  <c r="L51" i="60"/>
  <c r="L41" i="60"/>
  <c r="M56" i="58"/>
  <c r="L26" i="60"/>
  <c r="L46" i="60"/>
  <c r="K22" i="65"/>
  <c r="F22" i="66" s="1"/>
  <c r="H22" i="66" s="1"/>
  <c r="G52" i="60"/>
  <c r="I52" i="60" s="1"/>
  <c r="L19" i="60"/>
  <c r="K29" i="65"/>
  <c r="F29" i="66" s="1"/>
  <c r="H29" i="66" s="1"/>
  <c r="K36" i="65"/>
  <c r="F36" i="66" s="1"/>
  <c r="H36" i="66" s="1"/>
  <c r="K20" i="65"/>
  <c r="F20" i="66" s="1"/>
  <c r="H20" i="66" s="1"/>
  <c r="K25" i="65"/>
  <c r="F25" i="66" s="1"/>
  <c r="H25" i="66" s="1"/>
  <c r="K43" i="65"/>
  <c r="F43" i="66" s="1"/>
  <c r="H43" i="66" s="1"/>
  <c r="K31" i="65"/>
  <c r="F31" i="66" s="1"/>
  <c r="H31" i="66" s="1"/>
  <c r="K37" i="65"/>
  <c r="F37" i="66" s="1"/>
  <c r="H37" i="66" s="1"/>
  <c r="K44" i="65"/>
  <c r="F44" i="66" s="1"/>
  <c r="H44" i="66" s="1"/>
  <c r="K21" i="65"/>
  <c r="F21" i="66" s="1"/>
  <c r="H21" i="66" s="1"/>
  <c r="F50" i="65"/>
  <c r="H50" i="65" s="1"/>
  <c r="L56" i="64"/>
  <c r="K47" i="65"/>
  <c r="F47" i="66" s="1"/>
  <c r="H47" i="66" s="1"/>
  <c r="K39" i="65"/>
  <c r="F39" i="66" s="1"/>
  <c r="H39" i="66" s="1"/>
  <c r="O56" i="64"/>
  <c r="K49" i="65"/>
  <c r="F49" i="66" s="1"/>
  <c r="H49" i="66" s="1"/>
  <c r="K41" i="65"/>
  <c r="F41" i="66" s="1"/>
  <c r="H41" i="66" s="1"/>
  <c r="K40" i="65"/>
  <c r="F40" i="66" s="1"/>
  <c r="H40" i="66" s="1"/>
  <c r="J16" i="63"/>
  <c r="G21" i="60"/>
  <c r="I21" i="60" s="1"/>
  <c r="G37" i="60"/>
  <c r="I37" i="60" s="1"/>
  <c r="L34" i="60"/>
  <c r="K21" i="61"/>
  <c r="L55" i="60"/>
  <c r="K55" i="61" s="1"/>
  <c r="G55" i="62" s="1"/>
  <c r="I55" i="62" s="1"/>
  <c r="G45" i="60"/>
  <c r="I45" i="60" s="1"/>
  <c r="L32" i="60"/>
  <c r="L25" i="60"/>
  <c r="G53" i="60"/>
  <c r="I53" i="60" s="1"/>
  <c r="L30" i="60"/>
  <c r="L42" i="60"/>
  <c r="L28" i="60"/>
  <c r="K48" i="61"/>
  <c r="L18" i="60"/>
  <c r="L50" i="60"/>
  <c r="O50" i="60" s="1"/>
  <c r="L39" i="60"/>
  <c r="K45" i="61"/>
  <c r="K53" i="61"/>
  <c r="F52" i="61"/>
  <c r="H52" i="61" s="1"/>
  <c r="K52" i="61"/>
  <c r="L23" i="60"/>
  <c r="K37" i="61"/>
  <c r="K49" i="61"/>
  <c r="L35" i="60"/>
  <c r="L47" i="60"/>
  <c r="M56" i="57"/>
  <c r="M59" i="57" s="1"/>
  <c r="J56" i="64"/>
  <c r="J58" i="64" s="1"/>
  <c r="F30" i="65"/>
  <c r="H30" i="65" s="1"/>
  <c r="K30" i="65"/>
  <c r="F30" i="66" s="1"/>
  <c r="H30" i="66" s="1"/>
  <c r="K17" i="61"/>
  <c r="F26" i="65"/>
  <c r="H26" i="65" s="1"/>
  <c r="K26" i="65"/>
  <c r="F26" i="66" s="1"/>
  <c r="H26" i="66" s="1"/>
  <c r="F38" i="61"/>
  <c r="H38" i="61" s="1"/>
  <c r="G44" i="60"/>
  <c r="I44" i="60" s="1"/>
  <c r="L44" i="60"/>
  <c r="O44" i="60" s="1"/>
  <c r="L43" i="60"/>
  <c r="O43" i="60" s="1"/>
  <c r="L27" i="60"/>
  <c r="O27" i="60" s="1"/>
  <c r="O56" i="69"/>
  <c r="L31" i="60"/>
  <c r="O31" i="60" s="1"/>
  <c r="G40" i="60"/>
  <c r="I40" i="60" s="1"/>
  <c r="L40" i="60"/>
  <c r="O40" i="60" s="1"/>
  <c r="G36" i="60"/>
  <c r="I36" i="60" s="1"/>
  <c r="L36" i="60"/>
  <c r="O36" i="60" s="1"/>
  <c r="G20" i="60"/>
  <c r="I20" i="60" s="1"/>
  <c r="L20" i="60"/>
  <c r="O20" i="60" s="1"/>
  <c r="G16" i="60"/>
  <c r="L16" i="60"/>
  <c r="O16" i="60" s="1"/>
  <c r="P56" i="59"/>
  <c r="J56" i="69"/>
  <c r="J58" i="69" s="1"/>
  <c r="L16" i="69"/>
  <c r="L56" i="69" s="1"/>
  <c r="F18" i="65"/>
  <c r="K18" i="65"/>
  <c r="F18" i="66" s="1"/>
  <c r="H18" i="66" s="1"/>
  <c r="K56" i="59"/>
  <c r="K58" i="59" s="1"/>
  <c r="M16" i="59"/>
  <c r="M56" i="59" s="1"/>
  <c r="F55" i="61"/>
  <c r="H55" i="61" s="1"/>
  <c r="L24" i="60"/>
  <c r="L29" i="60"/>
  <c r="O29" i="60" s="1"/>
  <c r="G29" i="60"/>
  <c r="I29" i="60" s="1"/>
  <c r="G33" i="62" l="1"/>
  <c r="I33" i="62" s="1"/>
  <c r="M33" i="61"/>
  <c r="G17" i="62"/>
  <c r="I17" i="62" s="1"/>
  <c r="M17" i="61"/>
  <c r="G37" i="62"/>
  <c r="I37" i="62" s="1"/>
  <c r="M37" i="61"/>
  <c r="F34" i="61"/>
  <c r="H34" i="61" s="1"/>
  <c r="O34" i="60"/>
  <c r="G45" i="62"/>
  <c r="I45" i="62" s="1"/>
  <c r="M45" i="61"/>
  <c r="F46" i="61"/>
  <c r="H46" i="61" s="1"/>
  <c r="O46" i="60"/>
  <c r="F51" i="61"/>
  <c r="H51" i="61" s="1"/>
  <c r="O51" i="60"/>
  <c r="F35" i="61"/>
  <c r="H35" i="61" s="1"/>
  <c r="O35" i="60"/>
  <c r="G52" i="62"/>
  <c r="I52" i="62" s="1"/>
  <c r="M52" i="61"/>
  <c r="K39" i="61"/>
  <c r="O39" i="60"/>
  <c r="F19" i="61"/>
  <c r="H19" i="61" s="1"/>
  <c r="O19" i="60"/>
  <c r="K38" i="61"/>
  <c r="O38" i="60"/>
  <c r="G53" i="62"/>
  <c r="I53" i="62" s="1"/>
  <c r="M53" i="61"/>
  <c r="F18" i="61"/>
  <c r="H18" i="61" s="1"/>
  <c r="O18" i="60"/>
  <c r="K32" i="61"/>
  <c r="O32" i="60"/>
  <c r="F41" i="61"/>
  <c r="H41" i="61" s="1"/>
  <c r="O41" i="60"/>
  <c r="K54" i="61"/>
  <c r="G54" i="62" s="1"/>
  <c r="I54" i="62" s="1"/>
  <c r="F54" i="61"/>
  <c r="H54" i="61" s="1"/>
  <c r="F47" i="61"/>
  <c r="H47" i="61" s="1"/>
  <c r="O47" i="60"/>
  <c r="F23" i="61"/>
  <c r="H23" i="61" s="1"/>
  <c r="O23" i="60"/>
  <c r="G48" i="62"/>
  <c r="I48" i="62" s="1"/>
  <c r="M48" i="61"/>
  <c r="K34" i="61"/>
  <c r="G49" i="62"/>
  <c r="I49" i="62" s="1"/>
  <c r="M49" i="61"/>
  <c r="F42" i="61"/>
  <c r="H42" i="61" s="1"/>
  <c r="O42" i="60"/>
  <c r="G21" i="62"/>
  <c r="I21" i="62" s="1"/>
  <c r="M21" i="61"/>
  <c r="F33" i="61"/>
  <c r="H33" i="61" s="1"/>
  <c r="O33" i="60"/>
  <c r="F30" i="61"/>
  <c r="H30" i="61" s="1"/>
  <c r="O30" i="60"/>
  <c r="F28" i="61"/>
  <c r="H28" i="61" s="1"/>
  <c r="O28" i="60"/>
  <c r="F26" i="61"/>
  <c r="H26" i="61" s="1"/>
  <c r="O26" i="60"/>
  <c r="F25" i="61"/>
  <c r="H25" i="61" s="1"/>
  <c r="O25" i="60"/>
  <c r="O24" i="60"/>
  <c r="K22" i="61"/>
  <c r="O22" i="60"/>
  <c r="K46" i="61"/>
  <c r="K41" i="61"/>
  <c r="K51" i="61"/>
  <c r="K26" i="61"/>
  <c r="F39" i="61"/>
  <c r="H39" i="61" s="1"/>
  <c r="K19" i="61"/>
  <c r="F56" i="66"/>
  <c r="F58" i="66" s="1"/>
  <c r="H56" i="66"/>
  <c r="J56" i="63"/>
  <c r="L16" i="63"/>
  <c r="L56" i="63" s="1"/>
  <c r="K42" i="61"/>
  <c r="K35" i="61"/>
  <c r="K18" i="61"/>
  <c r="F32" i="61"/>
  <c r="H32" i="61" s="1"/>
  <c r="K25" i="61"/>
  <c r="F22" i="61"/>
  <c r="H22" i="61" s="1"/>
  <c r="K28" i="61"/>
  <c r="K30" i="61"/>
  <c r="K47" i="61"/>
  <c r="F50" i="61"/>
  <c r="H50" i="61" s="1"/>
  <c r="K50" i="61"/>
  <c r="K23" i="61"/>
  <c r="G56" i="60"/>
  <c r="G58" i="60" s="1"/>
  <c r="I16" i="60"/>
  <c r="I56" i="60" s="1"/>
  <c r="F43" i="61"/>
  <c r="H43" i="61" s="1"/>
  <c r="K43" i="61"/>
  <c r="F36" i="61"/>
  <c r="H36" i="61" s="1"/>
  <c r="K36" i="61"/>
  <c r="F40" i="61"/>
  <c r="H40" i="61" s="1"/>
  <c r="K40" i="61"/>
  <c r="F44" i="61"/>
  <c r="H44" i="61" s="1"/>
  <c r="K44" i="61"/>
  <c r="F24" i="61"/>
  <c r="H24" i="61" s="1"/>
  <c r="K24" i="61"/>
  <c r="F29" i="61"/>
  <c r="H29" i="61" s="1"/>
  <c r="K29" i="61"/>
  <c r="H18" i="65"/>
  <c r="H56" i="65" s="1"/>
  <c r="F56" i="65"/>
  <c r="F58" i="65" s="1"/>
  <c r="F16" i="61"/>
  <c r="L56" i="60"/>
  <c r="O56" i="60" s="1"/>
  <c r="K16" i="61"/>
  <c r="F20" i="61"/>
  <c r="H20" i="61" s="1"/>
  <c r="K20" i="61"/>
  <c r="F31" i="61"/>
  <c r="H31" i="61" s="1"/>
  <c r="K31" i="61"/>
  <c r="F27" i="61"/>
  <c r="H27" i="61" s="1"/>
  <c r="K27" i="61"/>
  <c r="K56" i="65"/>
  <c r="G36" i="62" l="1"/>
  <c r="I36" i="62" s="1"/>
  <c r="M36" i="61"/>
  <c r="G20" i="62"/>
  <c r="I20" i="62" s="1"/>
  <c r="M20" i="61"/>
  <c r="G25" i="62"/>
  <c r="I25" i="62" s="1"/>
  <c r="M25" i="61"/>
  <c r="G42" i="62"/>
  <c r="I42" i="62" s="1"/>
  <c r="M42" i="61"/>
  <c r="G51" i="62"/>
  <c r="I51" i="62" s="1"/>
  <c r="M51" i="61"/>
  <c r="G38" i="62"/>
  <c r="I38" i="62" s="1"/>
  <c r="M38" i="61"/>
  <c r="G24" i="62"/>
  <c r="I24" i="62" s="1"/>
  <c r="M24" i="61"/>
  <c r="G40" i="62"/>
  <c r="I40" i="62" s="1"/>
  <c r="M40" i="61"/>
  <c r="G43" i="62"/>
  <c r="I43" i="62" s="1"/>
  <c r="M43" i="61"/>
  <c r="G23" i="62"/>
  <c r="I23" i="62" s="1"/>
  <c r="M23" i="61"/>
  <c r="G30" i="62"/>
  <c r="I30" i="62" s="1"/>
  <c r="M30" i="61"/>
  <c r="G19" i="62"/>
  <c r="I19" i="62" s="1"/>
  <c r="M19" i="61"/>
  <c r="G41" i="62"/>
  <c r="I41" i="62" s="1"/>
  <c r="M41" i="61"/>
  <c r="G29" i="62"/>
  <c r="I29" i="62" s="1"/>
  <c r="M29" i="61"/>
  <c r="G44" i="62"/>
  <c r="I44" i="62" s="1"/>
  <c r="M44" i="61"/>
  <c r="G35" i="62"/>
  <c r="I35" i="62" s="1"/>
  <c r="M35" i="61"/>
  <c r="G26" i="62"/>
  <c r="I26" i="62" s="1"/>
  <c r="M26" i="61"/>
  <c r="G27" i="62"/>
  <c r="I27" i="62" s="1"/>
  <c r="M27" i="61"/>
  <c r="G47" i="62"/>
  <c r="I47" i="62" s="1"/>
  <c r="M47" i="61"/>
  <c r="G22" i="62"/>
  <c r="I22" i="62" s="1"/>
  <c r="M22" i="61"/>
  <c r="G39" i="62"/>
  <c r="I39" i="62" s="1"/>
  <c r="M39" i="61"/>
  <c r="G31" i="62"/>
  <c r="I31" i="62" s="1"/>
  <c r="M31" i="61"/>
  <c r="G16" i="62"/>
  <c r="I16" i="62" s="1"/>
  <c r="M16" i="61"/>
  <c r="G50" i="62"/>
  <c r="I50" i="62" s="1"/>
  <c r="M50" i="61"/>
  <c r="G28" i="62"/>
  <c r="I28" i="62" s="1"/>
  <c r="M28" i="61"/>
  <c r="G18" i="62"/>
  <c r="I18" i="62" s="1"/>
  <c r="M18" i="61"/>
  <c r="G46" i="62"/>
  <c r="I46" i="62" s="1"/>
  <c r="M46" i="61"/>
  <c r="G34" i="62"/>
  <c r="I34" i="62" s="1"/>
  <c r="M34" i="61"/>
  <c r="G32" i="62"/>
  <c r="I32" i="62" s="1"/>
  <c r="M32" i="61"/>
  <c r="G56" i="62"/>
  <c r="G58" i="62" s="1"/>
  <c r="I56" i="62"/>
  <c r="F56" i="61"/>
  <c r="F58" i="61" s="1"/>
  <c r="H16" i="61"/>
  <c r="H56" i="61" s="1"/>
  <c r="K56" i="61"/>
  <c r="M56" i="61" l="1"/>
  <c r="H1" i="56"/>
  <c r="C71" i="56"/>
  <c r="B71" i="56"/>
  <c r="D48" i="56"/>
  <c r="F48" i="56" s="1"/>
  <c r="C48" i="56"/>
  <c r="F33" i="56"/>
  <c r="C33" i="56"/>
  <c r="B33" i="56"/>
  <c r="F30" i="56"/>
  <c r="F29" i="56"/>
  <c r="D31" i="56" s="1"/>
  <c r="H26" i="56"/>
  <c r="H25" i="56"/>
  <c r="H24" i="56"/>
  <c r="C24" i="56"/>
  <c r="I23" i="56"/>
  <c r="H23" i="56"/>
  <c r="L22" i="56"/>
  <c r="K22" i="56"/>
  <c r="J22" i="56"/>
  <c r="I22" i="56"/>
  <c r="E24" i="56" l="1"/>
  <c r="B23" i="56"/>
  <c r="B73" i="56"/>
  <c r="B76" i="56" s="1"/>
  <c r="D33" i="56"/>
  <c r="D23" i="56"/>
  <c r="E23" i="56"/>
  <c r="E48" i="56"/>
  <c r="D24" i="56"/>
  <c r="F24" i="56" s="1"/>
  <c r="D25" i="56"/>
  <c r="C23" i="56"/>
  <c r="C27" i="56" s="1"/>
  <c r="E31" i="56" l="1"/>
  <c r="F31" i="56" s="1"/>
  <c r="C73" i="56"/>
  <c r="C76" i="56" s="1"/>
  <c r="E32" i="56"/>
  <c r="F32" i="56" s="1"/>
  <c r="E71" i="56"/>
  <c r="E73" i="56" s="1"/>
  <c r="E76" i="56" s="1"/>
  <c r="F23" i="56"/>
  <c r="B27" i="56"/>
  <c r="D27" i="56"/>
  <c r="E25" i="56"/>
  <c r="E26" i="56" l="1"/>
  <c r="F26" i="56" s="1"/>
  <c r="E33" i="56"/>
  <c r="F35" i="56"/>
  <c r="D71" i="56"/>
  <c r="D73" i="56" s="1"/>
  <c r="E27" i="56"/>
  <c r="F27" i="56" s="1"/>
  <c r="F25" i="56"/>
  <c r="F71" i="56" l="1"/>
  <c r="D76" i="56"/>
  <c r="F76" i="56" s="1"/>
  <c r="F73" i="56"/>
  <c r="G12" i="105" l="1"/>
  <c r="F12" i="105"/>
  <c r="I12" i="105" s="1"/>
  <c r="E12" i="105"/>
  <c r="H12" i="20"/>
  <c r="G12" i="5"/>
  <c r="F12" i="5"/>
  <c r="G12" i="20"/>
  <c r="F12" i="20"/>
  <c r="E12" i="5"/>
  <c r="J13" i="14"/>
  <c r="I13" i="14" s="1"/>
  <c r="G13" i="49"/>
  <c r="F13" i="15"/>
  <c r="F13" i="49"/>
  <c r="G13" i="15"/>
  <c r="E13" i="49"/>
  <c r="M40" i="49"/>
  <c r="E13" i="15"/>
  <c r="F13" i="11"/>
  <c r="E13" i="11" s="1"/>
  <c r="D13" i="11" s="1"/>
  <c r="C13" i="11" s="1"/>
  <c r="B13" i="11" s="1"/>
  <c r="G13" i="11"/>
  <c r="I50" i="14" l="1"/>
  <c r="J50" i="14"/>
  <c r="D81" i="33"/>
  <c r="D82" i="33"/>
  <c r="D83" i="33"/>
  <c r="D84" i="33"/>
  <c r="D85" i="33"/>
  <c r="D86" i="33"/>
  <c r="D87" i="33"/>
  <c r="D88" i="33"/>
  <c r="D89" i="33"/>
  <c r="D90" i="33"/>
  <c r="D80" i="33"/>
  <c r="J57" i="14" l="1"/>
  <c r="J12" i="14"/>
  <c r="J49" i="14" s="1"/>
  <c r="H57" i="14"/>
  <c r="J32" i="14" l="1"/>
  <c r="H32" i="14"/>
  <c r="B61" i="34" l="1"/>
  <c r="E55" i="34" s="1"/>
  <c r="G48" i="34"/>
  <c r="G47" i="34"/>
  <c r="G46" i="34"/>
  <c r="G45" i="34"/>
  <c r="G44" i="34"/>
  <c r="F39" i="34"/>
  <c r="E48" i="34" s="1"/>
  <c r="F38" i="34"/>
  <c r="E47" i="34" s="1"/>
  <c r="F37" i="34"/>
  <c r="E46" i="34" s="1"/>
  <c r="F36" i="34"/>
  <c r="E45" i="34" s="1"/>
  <c r="F35" i="34"/>
  <c r="E44" i="34" s="1"/>
  <c r="A33" i="34"/>
  <c r="A42" i="34" s="1"/>
  <c r="F30" i="34"/>
  <c r="F29" i="34"/>
  <c r="F28" i="34"/>
  <c r="F27" i="34"/>
  <c r="F26" i="34"/>
  <c r="F25" i="34"/>
  <c r="F24" i="34"/>
  <c r="F113" i="33"/>
  <c r="F112" i="33"/>
  <c r="F111" i="33"/>
  <c r="F110" i="33"/>
  <c r="F109" i="33"/>
  <c r="F108" i="33"/>
  <c r="F107" i="33"/>
  <c r="F106" i="33"/>
  <c r="F105" i="33"/>
  <c r="F104" i="33"/>
  <c r="E90" i="33"/>
  <c r="C114" i="33" s="1"/>
  <c r="E89" i="33"/>
  <c r="C113" i="33" s="1"/>
  <c r="E88" i="33"/>
  <c r="C112" i="33" s="1"/>
  <c r="E87" i="33"/>
  <c r="C111" i="33" s="1"/>
  <c r="E86" i="33"/>
  <c r="C110" i="33" s="1"/>
  <c r="E85" i="33"/>
  <c r="C109" i="33" s="1"/>
  <c r="E84" i="33"/>
  <c r="C108" i="33" s="1"/>
  <c r="E83" i="33"/>
  <c r="C107" i="33" s="1"/>
  <c r="E82" i="33"/>
  <c r="C106" i="33" s="1"/>
  <c r="E81" i="33"/>
  <c r="C105" i="33" s="1"/>
  <c r="E80" i="33"/>
  <c r="C104" i="33" s="1"/>
  <c r="F59" i="33"/>
  <c r="E59" i="33"/>
  <c r="D59" i="33"/>
  <c r="C59" i="33"/>
  <c r="A59" i="33"/>
  <c r="A58" i="33"/>
  <c r="A90" i="33" s="1"/>
  <c r="A114" i="33" s="1"/>
  <c r="A56" i="33"/>
  <c r="A88" i="33" s="1"/>
  <c r="A112" i="33" s="1"/>
  <c r="A55" i="33"/>
  <c r="A87" i="33" s="1"/>
  <c r="A111" i="33" s="1"/>
  <c r="A54" i="33"/>
  <c r="A86" i="33" s="1"/>
  <c r="A110" i="33" s="1"/>
  <c r="A53" i="33"/>
  <c r="A85" i="33" s="1"/>
  <c r="A109" i="33" s="1"/>
  <c r="A52" i="33"/>
  <c r="A84" i="33" s="1"/>
  <c r="A108" i="33" s="1"/>
  <c r="A51" i="33"/>
  <c r="A83" i="33" s="1"/>
  <c r="A107" i="33" s="1"/>
  <c r="A50" i="33"/>
  <c r="A82" i="33" s="1"/>
  <c r="A106" i="33" s="1"/>
  <c r="A49" i="33"/>
  <c r="A81" i="33" s="1"/>
  <c r="A105" i="33" s="1"/>
  <c r="A48" i="33"/>
  <c r="A80" i="33" s="1"/>
  <c r="A104" i="33" s="1"/>
  <c r="D28" i="33"/>
  <c r="E27" i="33" s="1"/>
  <c r="B28" i="33"/>
  <c r="C27" i="33" s="1"/>
  <c r="C24" i="33"/>
  <c r="C22" i="33"/>
  <c r="C18" i="33"/>
  <c r="C17" i="33"/>
  <c r="C20" i="33" l="1"/>
  <c r="C25" i="33"/>
  <c r="C21" i="33"/>
  <c r="C26" i="33"/>
  <c r="C19" i="33"/>
  <c r="C23" i="33"/>
  <c r="G50" i="34"/>
  <c r="B48" i="34"/>
  <c r="B47" i="34"/>
  <c r="B46" i="34"/>
  <c r="B45" i="34"/>
  <c r="B44" i="34"/>
  <c r="D44" i="34"/>
  <c r="D45" i="34"/>
  <c r="D46" i="34"/>
  <c r="D47" i="34"/>
  <c r="D48" i="34"/>
  <c r="E17" i="33"/>
  <c r="E18" i="33"/>
  <c r="E19" i="33"/>
  <c r="E20" i="33"/>
  <c r="E21" i="33"/>
  <c r="E22" i="33"/>
  <c r="E23" i="33"/>
  <c r="E24" i="33"/>
  <c r="E25" i="33"/>
  <c r="E26" i="33"/>
  <c r="C28" i="33" l="1"/>
  <c r="C44" i="34"/>
  <c r="F44" i="34" s="1"/>
  <c r="C46" i="34"/>
  <c r="F46" i="34" s="1"/>
  <c r="C48" i="34"/>
  <c r="F48" i="34" s="1"/>
  <c r="C45" i="34"/>
  <c r="F45" i="34" s="1"/>
  <c r="C47" i="34"/>
  <c r="F47" i="34" s="1"/>
  <c r="E28" i="33"/>
  <c r="F50" i="34" l="1"/>
  <c r="D14" i="21" l="1"/>
  <c r="E14" i="21"/>
  <c r="F14" i="21"/>
  <c r="G14" i="21"/>
  <c r="H14" i="21"/>
  <c r="E39" i="12"/>
  <c r="C40" i="49"/>
  <c r="K40" i="49"/>
  <c r="H40" i="49"/>
  <c r="G40" i="49"/>
  <c r="I40" i="49"/>
  <c r="E40" i="49"/>
  <c r="D30" i="49"/>
  <c r="H30" i="49"/>
  <c r="G30" i="49"/>
  <c r="E30" i="49"/>
  <c r="L44" i="49"/>
  <c r="L45" i="49"/>
  <c r="L43" i="49"/>
  <c r="L42" i="49"/>
  <c r="L41" i="49"/>
  <c r="J44" i="49"/>
  <c r="J45" i="49"/>
  <c r="J43" i="49"/>
  <c r="J42" i="49"/>
  <c r="J41" i="49"/>
  <c r="H44" i="49"/>
  <c r="H45" i="49"/>
  <c r="H43" i="49"/>
  <c r="I43" i="49" s="1"/>
  <c r="H42" i="49"/>
  <c r="H41" i="49"/>
  <c r="F44" i="49"/>
  <c r="F45" i="49"/>
  <c r="F43" i="49"/>
  <c r="F42" i="49"/>
  <c r="F41" i="49"/>
  <c r="D41" i="49"/>
  <c r="D42" i="49"/>
  <c r="D43" i="49"/>
  <c r="D44" i="49"/>
  <c r="D45" i="49"/>
  <c r="C45" i="49"/>
  <c r="C44" i="49"/>
  <c r="C43" i="49"/>
  <c r="C42" i="49"/>
  <c r="C41" i="49"/>
  <c r="D31" i="49"/>
  <c r="E31" i="49"/>
  <c r="F31" i="49"/>
  <c r="G31" i="49"/>
  <c r="H31" i="49"/>
  <c r="D32" i="49"/>
  <c r="E32" i="49"/>
  <c r="F32" i="49"/>
  <c r="G32" i="49"/>
  <c r="H32" i="49"/>
  <c r="D33" i="49"/>
  <c r="E33" i="49"/>
  <c r="F33" i="49"/>
  <c r="G33" i="49"/>
  <c r="H33" i="49"/>
  <c r="D34" i="49"/>
  <c r="D39" i="105" s="1"/>
  <c r="E34" i="49"/>
  <c r="E39" i="105" s="1"/>
  <c r="F34" i="49"/>
  <c r="F39" i="105" s="1"/>
  <c r="G34" i="49"/>
  <c r="G39" i="105" s="1"/>
  <c r="H34" i="49"/>
  <c r="H39" i="105" s="1"/>
  <c r="D35" i="49"/>
  <c r="E35" i="49"/>
  <c r="F35" i="49"/>
  <c r="G35" i="49"/>
  <c r="H35" i="49"/>
  <c r="C35" i="49"/>
  <c r="C34" i="49"/>
  <c r="C39" i="105" s="1"/>
  <c r="C33" i="49"/>
  <c r="C32" i="49"/>
  <c r="C31" i="49"/>
  <c r="D23" i="49"/>
  <c r="E23" i="49"/>
  <c r="F23" i="49"/>
  <c r="G23" i="49"/>
  <c r="H23" i="49"/>
  <c r="C23" i="49"/>
  <c r="D17" i="49"/>
  <c r="E17" i="49"/>
  <c r="F17" i="49"/>
  <c r="G17" i="49"/>
  <c r="H17" i="49"/>
  <c r="H19" i="49" s="1"/>
  <c r="C17" i="49"/>
  <c r="G18" i="20"/>
  <c r="G44" i="105" l="1"/>
  <c r="G46" i="105"/>
  <c r="E44" i="105"/>
  <c r="E46" i="105"/>
  <c r="E49" i="105" s="1"/>
  <c r="C44" i="105"/>
  <c r="C46" i="105"/>
  <c r="F44" i="105"/>
  <c r="F46" i="105"/>
  <c r="L39" i="105"/>
  <c r="I39" i="105"/>
  <c r="H44" i="105"/>
  <c r="J39" i="105"/>
  <c r="D44" i="105"/>
  <c r="D46" i="105"/>
  <c r="I42" i="49"/>
  <c r="K42" i="49"/>
  <c r="E44" i="49"/>
  <c r="I44" i="49"/>
  <c r="K45" i="49"/>
  <c r="C30" i="49"/>
  <c r="E42" i="49"/>
  <c r="J40" i="49"/>
  <c r="D40" i="49"/>
  <c r="F40" i="49"/>
  <c r="L40" i="49"/>
  <c r="B54" i="49"/>
  <c r="F30" i="49"/>
  <c r="M42" i="49"/>
  <c r="C46" i="49"/>
  <c r="C48" i="49" s="1"/>
  <c r="E43" i="49"/>
  <c r="E45" i="49"/>
  <c r="I41" i="49"/>
  <c r="G43" i="49"/>
  <c r="G44" i="49"/>
  <c r="I45" i="49"/>
  <c r="K41" i="49"/>
  <c r="K43" i="49"/>
  <c r="K44" i="49"/>
  <c r="M41" i="49"/>
  <c r="M43" i="49"/>
  <c r="M44" i="49"/>
  <c r="G45" i="49"/>
  <c r="M45" i="49"/>
  <c r="H24" i="49"/>
  <c r="D46" i="49"/>
  <c r="D48" i="49" s="1"/>
  <c r="G42" i="49"/>
  <c r="E36" i="49"/>
  <c r="E41" i="49"/>
  <c r="G41" i="49"/>
  <c r="L46" i="49"/>
  <c r="L48" i="49" s="1"/>
  <c r="J46" i="49"/>
  <c r="J48" i="49" s="1"/>
  <c r="H46" i="49"/>
  <c r="H48" i="49" s="1"/>
  <c r="F46" i="49"/>
  <c r="F48" i="49" s="1"/>
  <c r="F26" i="49"/>
  <c r="F48" i="105" s="1"/>
  <c r="D26" i="49"/>
  <c r="D48" i="105" s="1"/>
  <c r="C36" i="49"/>
  <c r="G36" i="49"/>
  <c r="H26" i="49"/>
  <c r="G18" i="49"/>
  <c r="E18" i="49"/>
  <c r="C26" i="49"/>
  <c r="G26" i="49"/>
  <c r="G48" i="105" s="1"/>
  <c r="F24" i="49"/>
  <c r="H25" i="49"/>
  <c r="H36" i="49"/>
  <c r="F36" i="49"/>
  <c r="D36" i="49"/>
  <c r="H18" i="49"/>
  <c r="F18" i="49"/>
  <c r="G24" i="49"/>
  <c r="E26" i="49"/>
  <c r="E48" i="105" s="1"/>
  <c r="E24" i="49"/>
  <c r="F49" i="105" l="1"/>
  <c r="D49" i="105"/>
  <c r="L44" i="105"/>
  <c r="J44" i="105"/>
  <c r="I44" i="105"/>
  <c r="C49" i="105"/>
  <c r="G49" i="105"/>
  <c r="C15" i="15"/>
  <c r="D15" i="20" s="1"/>
  <c r="C48" i="105"/>
  <c r="H48" i="105"/>
  <c r="H49" i="105" s="1"/>
  <c r="H27" i="49"/>
  <c r="H37" i="49"/>
  <c r="E37" i="49"/>
  <c r="F37" i="49"/>
  <c r="E27" i="49"/>
  <c r="L49" i="49"/>
  <c r="L50" i="49" s="1"/>
  <c r="H49" i="49"/>
  <c r="H50" i="49" s="1"/>
  <c r="G27" i="49"/>
  <c r="H51" i="49"/>
  <c r="J49" i="49"/>
  <c r="J50" i="49" s="1"/>
  <c r="H54" i="49"/>
  <c r="M53" i="49"/>
  <c r="F49" i="49"/>
  <c r="F50" i="49" s="1"/>
  <c r="M46" i="49"/>
  <c r="M48" i="49" s="1"/>
  <c r="G49" i="14"/>
  <c r="H12" i="14"/>
  <c r="H49" i="14" s="1"/>
  <c r="F49" i="14"/>
  <c r="E12" i="14"/>
  <c r="E49" i="14" s="1"/>
  <c r="E46" i="49"/>
  <c r="E48" i="49" s="1"/>
  <c r="G46" i="49"/>
  <c r="G48" i="49" s="1"/>
  <c r="K46" i="49"/>
  <c r="K48" i="49" s="1"/>
  <c r="I46" i="49"/>
  <c r="I48" i="49" s="1"/>
  <c r="H52" i="49"/>
  <c r="G37" i="49"/>
  <c r="F27" i="49"/>
  <c r="L46" i="105" l="1"/>
  <c r="J46" i="105"/>
  <c r="I46" i="105"/>
  <c r="M52" i="49"/>
  <c r="H53" i="49"/>
  <c r="C35" i="11" l="1"/>
  <c r="C28" i="11"/>
  <c r="C21" i="11"/>
  <c r="D35" i="11"/>
  <c r="D28" i="11"/>
  <c r="D21" i="11"/>
  <c r="E35" i="11"/>
  <c r="E28" i="11"/>
  <c r="E21" i="11"/>
  <c r="F35" i="11"/>
  <c r="F28" i="11"/>
  <c r="F21" i="11"/>
  <c r="G35" i="11"/>
  <c r="G28" i="11"/>
  <c r="G21" i="11"/>
  <c r="H35" i="11"/>
  <c r="H28" i="11"/>
  <c r="H21" i="11"/>
  <c r="B35" i="11"/>
  <c r="B28" i="11"/>
  <c r="B21" i="11"/>
  <c r="B42" i="11"/>
  <c r="H42" i="11"/>
  <c r="G42" i="11"/>
  <c r="F42" i="11"/>
  <c r="E42" i="11"/>
  <c r="D42" i="11"/>
  <c r="C42" i="11"/>
  <c r="G19" i="23"/>
  <c r="I19" i="23" s="1"/>
  <c r="G22" i="23"/>
  <c r="I22" i="23" s="1"/>
  <c r="G18" i="23"/>
  <c r="I18" i="23" s="1"/>
  <c r="G17" i="23"/>
  <c r="I17" i="23" s="1"/>
  <c r="G16" i="23"/>
  <c r="I16" i="23" s="1"/>
  <c r="G15" i="23"/>
  <c r="I15" i="23" s="1"/>
  <c r="G14" i="23"/>
  <c r="I14" i="23" s="1"/>
  <c r="E19" i="20"/>
  <c r="D19" i="20"/>
  <c r="I18" i="20"/>
  <c r="H18" i="20"/>
  <c r="F18" i="20"/>
  <c r="E18" i="20"/>
  <c r="D18" i="20"/>
  <c r="D16" i="20"/>
  <c r="I25" i="21"/>
  <c r="I21" i="21"/>
  <c r="I20" i="21"/>
  <c r="I18" i="21"/>
  <c r="I17" i="21"/>
  <c r="I16" i="21"/>
  <c r="H22" i="21"/>
  <c r="G22" i="21"/>
  <c r="G23" i="21" s="1"/>
  <c r="G27" i="21" s="1"/>
  <c r="F22" i="21"/>
  <c r="E22" i="21"/>
  <c r="D22" i="21"/>
  <c r="E19" i="21"/>
  <c r="F19" i="21"/>
  <c r="G19" i="21"/>
  <c r="H19" i="21"/>
  <c r="D19" i="21"/>
  <c r="I29" i="12"/>
  <c r="I30" i="12"/>
  <c r="H30" i="12"/>
  <c r="L28" i="12"/>
  <c r="L26" i="12"/>
  <c r="L25" i="12"/>
  <c r="L23" i="12"/>
  <c r="L22" i="12"/>
  <c r="L20" i="12"/>
  <c r="L19" i="12"/>
  <c r="L18" i="12"/>
  <c r="L17" i="12"/>
  <c r="L16" i="12"/>
  <c r="L15" i="12"/>
  <c r="J26" i="12"/>
  <c r="J25" i="12"/>
  <c r="J23" i="12"/>
  <c r="J22" i="12"/>
  <c r="J20" i="12"/>
  <c r="J19" i="12"/>
  <c r="J18" i="12"/>
  <c r="J17" i="12"/>
  <c r="J16" i="12"/>
  <c r="J15" i="12"/>
  <c r="E30" i="12"/>
  <c r="E29" i="12"/>
  <c r="C43" i="15"/>
  <c r="K57" i="14"/>
  <c r="I57" i="14"/>
  <c r="G57" i="14"/>
  <c r="F57" i="14"/>
  <c r="E57" i="14"/>
  <c r="F16" i="30"/>
  <c r="L16" i="30" s="1"/>
  <c r="P16" i="30"/>
  <c r="F17" i="30"/>
  <c r="L17" i="30" s="1"/>
  <c r="P17" i="30"/>
  <c r="F18" i="30"/>
  <c r="L18" i="30" s="1"/>
  <c r="P18" i="30"/>
  <c r="F19" i="30"/>
  <c r="L19" i="30" s="1"/>
  <c r="P19" i="30"/>
  <c r="F20" i="30"/>
  <c r="L20" i="30" s="1"/>
  <c r="Q20" i="30" s="1"/>
  <c r="P20" i="30"/>
  <c r="F21" i="30"/>
  <c r="L21" i="30" s="1"/>
  <c r="P21" i="30"/>
  <c r="N23" i="30"/>
  <c r="O23" i="30"/>
  <c r="N35" i="12" l="1"/>
  <c r="I22" i="21"/>
  <c r="F23" i="21"/>
  <c r="F27" i="21" s="1"/>
  <c r="E23" i="21"/>
  <c r="E27" i="21" s="1"/>
  <c r="F44" i="11"/>
  <c r="F46" i="11" s="1"/>
  <c r="B44" i="11"/>
  <c r="B46" i="11" s="1"/>
  <c r="Q16" i="30"/>
  <c r="Q19" i="30"/>
  <c r="P23" i="30"/>
  <c r="Q21" i="30"/>
  <c r="L30" i="12"/>
  <c r="L29" i="12"/>
  <c r="J29" i="12"/>
  <c r="Q18" i="30"/>
  <c r="Q17" i="30"/>
  <c r="I19" i="21"/>
  <c r="I23" i="21" s="1"/>
  <c r="I27" i="21" s="1"/>
  <c r="D23" i="21"/>
  <c r="D27" i="21" s="1"/>
  <c r="H23" i="21"/>
  <c r="H27" i="21" s="1"/>
  <c r="J30" i="12"/>
  <c r="H31" i="12"/>
  <c r="K32" i="14"/>
  <c r="E15" i="15"/>
  <c r="F32" i="14"/>
  <c r="G32" i="14"/>
  <c r="G31" i="12"/>
  <c r="E32" i="14"/>
  <c r="L23" i="30"/>
  <c r="D44" i="11"/>
  <c r="D46" i="11" s="1"/>
  <c r="H44" i="11"/>
  <c r="H46" i="11" s="1"/>
  <c r="K31" i="12"/>
  <c r="I31" i="12"/>
  <c r="I32" i="14"/>
  <c r="E44" i="11"/>
  <c r="E46" i="11" s="1"/>
  <c r="D15" i="15"/>
  <c r="E31" i="12"/>
  <c r="G44" i="11"/>
  <c r="G46" i="11" s="1"/>
  <c r="C44" i="11"/>
  <c r="C46" i="11" s="1"/>
  <c r="Q23" i="30" l="1"/>
  <c r="L31" i="12"/>
  <c r="J31" i="12"/>
  <c r="D43" i="15"/>
  <c r="E15" i="20" s="1"/>
  <c r="E16" i="20" s="1"/>
  <c r="E43" i="15" l="1"/>
  <c r="F15" i="20" s="1"/>
  <c r="F16" i="20" l="1"/>
  <c r="F19" i="20"/>
  <c r="F15" i="15"/>
  <c r="F43" i="15" s="1"/>
  <c r="G15" i="20" l="1"/>
  <c r="G15" i="15"/>
  <c r="G16" i="20" l="1"/>
  <c r="G19" i="20"/>
  <c r="G43" i="15"/>
  <c r="H38" i="15" s="1"/>
  <c r="H15" i="15" l="1"/>
  <c r="H43" i="15" s="1"/>
  <c r="H15" i="20"/>
  <c r="H16" i="20"/>
  <c r="H19" i="20"/>
  <c r="I15" i="20" l="1"/>
  <c r="I16" i="20" s="1"/>
  <c r="I19" i="20" l="1"/>
</calcChain>
</file>

<file path=xl/sharedStrings.xml><?xml version="1.0" encoding="utf-8"?>
<sst xmlns="http://schemas.openxmlformats.org/spreadsheetml/2006/main" count="6638" uniqueCount="2157">
  <si>
    <t>Total Compensation (Salary, Wages, &amp; Benefits)</t>
  </si>
  <si>
    <t>Total Benefits (Current + Accrued)</t>
  </si>
  <si>
    <t>Employee Costs</t>
  </si>
  <si>
    <t>Depreciation and Amortization Expense</t>
  </si>
  <si>
    <t>Account</t>
  </si>
  <si>
    <t>(a)</t>
  </si>
  <si>
    <t>(d)</t>
  </si>
  <si>
    <t>Total for Depreciation</t>
  </si>
  <si>
    <t>Years</t>
  </si>
  <si>
    <t>(f)</t>
  </si>
  <si>
    <t>(g) = 1 / (f)</t>
  </si>
  <si>
    <t>Depreciation Expense</t>
  </si>
  <si>
    <t>(h) = (e) / (f)</t>
  </si>
  <si>
    <t>etc.</t>
  </si>
  <si>
    <t>(2)</t>
  </si>
  <si>
    <t>Notes:</t>
  </si>
  <si>
    <t>Consumption</t>
  </si>
  <si>
    <t xml:space="preserve"> kWh</t>
  </si>
  <si>
    <t>Current Board-Approved</t>
  </si>
  <si>
    <t>Proposed</t>
  </si>
  <si>
    <t>Impact</t>
  </si>
  <si>
    <t>Charge Unit</t>
  </si>
  <si>
    <t>Rate</t>
  </si>
  <si>
    <t>Volume</t>
  </si>
  <si>
    <t>Charge</t>
  </si>
  <si>
    <t>$ Change</t>
  </si>
  <si>
    <t>% Change</t>
  </si>
  <si>
    <t>Monthly Service Charge</t>
  </si>
  <si>
    <t>Smart Meter Rate Adder</t>
  </si>
  <si>
    <t>Distribution Volumetric Rate</t>
  </si>
  <si>
    <t>RTSR - Network</t>
  </si>
  <si>
    <t>RTSR - Line and Transformation Connection</t>
  </si>
  <si>
    <t>Wholesale Market Service Charge (WMSC)</t>
  </si>
  <si>
    <t>Rural and Remote Rate Protection (RRRP)</t>
  </si>
  <si>
    <t>Standard Supply Service Charge</t>
  </si>
  <si>
    <t>Debt Retirement Charge (DRC)</t>
  </si>
  <si>
    <t>HST</t>
  </si>
  <si>
    <t>Loss Factor (%)</t>
  </si>
  <si>
    <t>Customer Class:</t>
  </si>
  <si>
    <t>Appendix 2-V</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</si>
  <si>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</si>
  <si>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</si>
  <si>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</si>
  <si>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</si>
  <si>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</si>
  <si>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</si>
  <si>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</si>
  <si>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</si>
  <si>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</si>
  <si>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</si>
  <si>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</si>
  <si>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</si>
  <si>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</si>
  <si>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</si>
  <si>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r>
      <t xml:space="preserve">Distributors should also provide the Net Book Value per class of meter as of December 31, 2010 as well as the number of meters that were removed / stranded.  In preparing this information, distributors should review the Board's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</si>
  <si>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Specific Service Charges</t>
  </si>
  <si>
    <t>Late Payment Charges</t>
  </si>
  <si>
    <t>Retail Services Revenues</t>
  </si>
  <si>
    <t>Appendix 2-M</t>
  </si>
  <si>
    <t>Appendix 2-N</t>
  </si>
  <si>
    <t>Appendix 2-Q</t>
  </si>
  <si>
    <t>Bill Impacts</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</si>
  <si>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</si>
  <si>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</si>
  <si>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</si>
  <si>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</si>
  <si>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</si>
  <si>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</si>
  <si>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</si>
  <si>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</si>
  <si>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</si>
  <si>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</si>
  <si>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</si>
  <si>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</si>
  <si>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</si>
  <si>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</si>
  <si>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</si>
  <si>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</si>
  <si>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</si>
  <si>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</si>
  <si>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</si>
  <si>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</si>
  <si>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</si>
  <si>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</si>
  <si>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</si>
  <si>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</si>
  <si>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</si>
  <si>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</si>
  <si>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</si>
  <si>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</si>
  <si>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</si>
  <si>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</si>
  <si>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</si>
  <si>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</si>
  <si>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</si>
  <si>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</si>
  <si>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The "CCA Class" for fixed assets should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 below).</t>
  </si>
  <si>
    <t>Short-term Debt</t>
  </si>
  <si>
    <t>Common Equity</t>
  </si>
  <si>
    <t>Tax/PILs Rate</t>
  </si>
  <si>
    <t>Preferred Shares</t>
  </si>
  <si>
    <t>Working Capital Allowance Factor</t>
  </si>
  <si>
    <t>Revenue Reconciliation</t>
  </si>
  <si>
    <t>Rate Class</t>
  </si>
  <si>
    <t>Customers/ Connections</t>
  </si>
  <si>
    <t>Number of Customers/Connections</t>
  </si>
  <si>
    <t>Test Year Consumption</t>
  </si>
  <si>
    <t>Proposed Rates</t>
  </si>
  <si>
    <t>Revenues at Proposed Rates</t>
  </si>
  <si>
    <t>Transformer Allowance Credit</t>
  </si>
  <si>
    <t>Difference</t>
  </si>
  <si>
    <t>Start of Test Year</t>
  </si>
  <si>
    <t>End of Test Year</t>
  </si>
  <si>
    <t>Average</t>
  </si>
  <si>
    <t>kWh</t>
  </si>
  <si>
    <t>kW</t>
  </si>
  <si>
    <t>Volumetric</t>
  </si>
  <si>
    <t>Residential</t>
  </si>
  <si>
    <t>GS &lt; 50 kW</t>
  </si>
  <si>
    <t>GS &gt; 50 to 4,999 kW</t>
  </si>
  <si>
    <t>Streetlighting</t>
  </si>
  <si>
    <t>Sentinel Lighting</t>
  </si>
  <si>
    <t>4305, 4310, 4315, 4320, 4325, 4330, 4335, 4340, 4345, 4350, 4355, 4360, 4365, 4370, 4375, 4380, 4385, 4390, 4395, 4398, 4405, 4415</t>
  </si>
  <si>
    <r>
      <t xml:space="preserve">Summary of </t>
    </r>
    <r>
      <rPr>
        <b/>
        <u/>
        <sz val="14"/>
        <color indexed="10"/>
        <rFont val="Arial"/>
        <family val="2"/>
      </rPr>
      <t>Recoverable</t>
    </r>
    <r>
      <rPr>
        <b/>
        <sz val="14"/>
        <rFont val="Arial"/>
        <family val="2"/>
      </rPr>
      <t xml:space="preserve"> OM&amp;A Expenses</t>
    </r>
  </si>
  <si>
    <t>OEB Section 30 Costs (Applicant-originated)</t>
  </si>
  <si>
    <t>Note</t>
  </si>
  <si>
    <t xml:space="preserve">Note that the "Charge $" columns provide breakdowns of the amounts that each bill component contributes to the total monthly bill at the referenced </t>
  </si>
  <si>
    <t>consumption level at existing and proposed rates.</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</si>
  <si>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</si>
  <si>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</si>
  <si>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</si>
  <si>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</si>
  <si>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</si>
  <si>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</si>
  <si>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</si>
  <si>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</si>
  <si>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</si>
  <si>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</si>
  <si>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The following table should be completed based on the information requested below, in accordance with the notes following the table. An explanation should be provided for any blank entries.</t>
  </si>
  <si>
    <t>Large Corporation Tax grossed-up proxy from 2006 EDR application PILs model for the period from January 1, 2006 to April 30, 2006 (4/12ths of the approved grossed-up proxy), if not recorded in PILs account 1562</t>
  </si>
  <si>
    <t>Forecast</t>
  </si>
  <si>
    <t>For each year, a detailed explanation for each cost driver and associated amount is</t>
  </si>
  <si>
    <t>USoA Description</t>
  </si>
  <si>
    <r>
      <t>etc.</t>
    </r>
    <r>
      <rPr>
        <vertAlign val="superscript"/>
        <sz val="10"/>
        <rFont val="Arial"/>
        <family val="2"/>
      </rPr>
      <t>1</t>
    </r>
  </si>
  <si>
    <t>1</t>
  </si>
  <si>
    <r>
      <t xml:space="preserve">Ongoing or One-time Cost? </t>
    </r>
    <r>
      <rPr>
        <b/>
        <vertAlign val="superscript"/>
        <sz val="10"/>
        <rFont val="Arial"/>
        <family val="2"/>
      </rPr>
      <t>2</t>
    </r>
  </si>
  <si>
    <r>
      <t xml:space="preserve">Sub-total - Ongoing Costs </t>
    </r>
    <r>
      <rPr>
        <vertAlign val="superscript"/>
        <sz val="10"/>
        <rFont val="Arial"/>
        <family val="2"/>
      </rPr>
      <t>3</t>
    </r>
  </si>
  <si>
    <r>
      <t xml:space="preserve">Sub-total - One-time Costs </t>
    </r>
    <r>
      <rPr>
        <vertAlign val="superscript"/>
        <sz val="10"/>
        <rFont val="Arial"/>
        <family val="2"/>
      </rPr>
      <t>4</t>
    </r>
  </si>
  <si>
    <t>2</t>
  </si>
  <si>
    <t>3</t>
  </si>
  <si>
    <t>4</t>
  </si>
  <si>
    <r>
      <t>Number of Employees (FTEs including Part-Time)</t>
    </r>
    <r>
      <rPr>
        <b/>
        <vertAlign val="superscript"/>
        <sz val="10"/>
        <rFont val="Arial"/>
        <family val="2"/>
      </rPr>
      <t>1</t>
    </r>
  </si>
  <si>
    <t xml:space="preserve">Note: </t>
  </si>
  <si>
    <t>Costs Allocated in Test Year Study                    (Column 7A)</t>
  </si>
  <si>
    <t>(7C + 7E) / (7A)</t>
  </si>
  <si>
    <t>(7D + 7E) / (7A)</t>
  </si>
  <si>
    <t>(D ) = (A) - (B) - (C)</t>
  </si>
  <si>
    <t>Billing and Collecting</t>
  </si>
  <si>
    <t>Regulatory Cost Schedule</t>
  </si>
  <si>
    <t xml:space="preserve">Year </t>
  </si>
  <si>
    <t>Reporting Basis</t>
  </si>
  <si>
    <t>CGAAP</t>
  </si>
  <si>
    <t>MIFRS</t>
  </si>
  <si>
    <t>Cost Allocation</t>
  </si>
  <si>
    <t>Loss Factors</t>
  </si>
  <si>
    <t>Cost of Service Rate Application Schematic</t>
  </si>
  <si>
    <t>Specific Service Charges:</t>
  </si>
  <si>
    <t>Account(s)</t>
  </si>
  <si>
    <t>Late Payment Charges:</t>
  </si>
  <si>
    <t>Other Distribution Revenues:</t>
  </si>
  <si>
    <t>Other Income and Expenses:</t>
  </si>
  <si>
    <t>Short-term Investment Interest</t>
  </si>
  <si>
    <t>Bank Deposit Interest</t>
  </si>
  <si>
    <t>Account 4405 - Interest and Dividend Income</t>
  </si>
  <si>
    <t>Operations</t>
  </si>
  <si>
    <t>Maintenance</t>
  </si>
  <si>
    <t>Community Relations</t>
  </si>
  <si>
    <t>Note:</t>
  </si>
  <si>
    <t>Appendix 2-G</t>
  </si>
  <si>
    <t>OM&amp;A</t>
  </si>
  <si>
    <t>Regulatory Cost Category</t>
  </si>
  <si>
    <t>USoA Account</t>
  </si>
  <si>
    <t>Annual % Change</t>
  </si>
  <si>
    <t>(C )</t>
  </si>
  <si>
    <t>USoA Account Balance</t>
  </si>
  <si>
    <t>(F)</t>
  </si>
  <si>
    <t>(G)</t>
  </si>
  <si>
    <t>(I)</t>
  </si>
  <si>
    <t>(H) = [(G)-(F)]/(F)</t>
  </si>
  <si>
    <t>(J) = [(I)-(G)]/(G)</t>
  </si>
  <si>
    <t>OEB Annual Assessment</t>
  </si>
  <si>
    <t>OEB Section 30 Costs (OEB-initiated)</t>
  </si>
  <si>
    <t>Expert Witness costs for regulatory matters</t>
  </si>
  <si>
    <t>Legal costs for regulatory matters</t>
  </si>
  <si>
    <t>Consultants' costs for regulatory matters</t>
  </si>
  <si>
    <t>Other regulatory agency fees or assessments</t>
  </si>
  <si>
    <t>Any other costs for regulatory matters (please define)</t>
  </si>
  <si>
    <t>Intervenor costs</t>
  </si>
  <si>
    <t>Sum of all ongoing costs identified in rows 1 to 11 inclusive.</t>
  </si>
  <si>
    <t>Sum of all one-time costs identified in rows 1 to 11 inclusive.</t>
  </si>
  <si>
    <t>Please identify the resources involved.</t>
  </si>
  <si>
    <t>Where a category's costs include both one-time and ongoing costs, the applicant should prove a separate breakdown between one-time and ongoing costs.</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</si>
  <si>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</si>
  <si>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</si>
  <si>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</si>
  <si>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</si>
  <si>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</si>
  <si>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</si>
  <si>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</si>
  <si>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</si>
  <si>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</si>
  <si>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</si>
  <si>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</si>
  <si>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</si>
  <si>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</si>
  <si>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</si>
  <si>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</si>
  <si>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</si>
  <si>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</si>
  <si>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</si>
  <si>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</si>
  <si>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</si>
  <si>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</si>
  <si>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</si>
  <si>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</si>
  <si>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</si>
  <si>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</si>
  <si>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</si>
  <si>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</si>
  <si>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</si>
  <si>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</si>
  <si>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</si>
  <si>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Number of Customers</t>
  </si>
  <si>
    <t>OM&amp;A cost per customer</t>
  </si>
  <si>
    <t>Appendix 2-L</t>
  </si>
  <si>
    <t>Name of Company</t>
  </si>
  <si>
    <t>From</t>
  </si>
  <si>
    <t>To</t>
  </si>
  <si>
    <t>Service Offered</t>
  </si>
  <si>
    <t>Price for the Service</t>
  </si>
  <si>
    <t>Cost for the Service</t>
  </si>
  <si>
    <t>Appendix 2-U</t>
  </si>
  <si>
    <t>Stranded Meter Treatment</t>
  </si>
  <si>
    <t>Tax Item</t>
  </si>
  <si>
    <t>Principal as of</t>
  </si>
  <si>
    <t>December 31,</t>
  </si>
  <si>
    <t>Large Corporation Tax grossed-up proxy from 2006 EDR application PILs model for the period from May 1, 2006 to April 30, 2007</t>
  </si>
  <si>
    <t>Ontario Capital Tax rate decrease and increase in capital deduction for 2007</t>
  </si>
  <si>
    <t>Ontario Capital Tax rate decrease and increase in capital deduction for 2008</t>
  </si>
  <si>
    <t>Ontario Capital Tax rate decrease and increase in capital deduction for 2009</t>
  </si>
  <si>
    <t>Ontario Capital Tax rate decrease and increase in capital deduction for 2010</t>
  </si>
  <si>
    <t>Capital Cost Allowance class changes from 2006 EDR application for 2006</t>
  </si>
  <si>
    <t>Capital Cost Allowance class changes from 2006 EDR application for 2007</t>
  </si>
  <si>
    <t>Capital Cost Allowance class changes from 2006 EDR application for 2008</t>
  </si>
  <si>
    <t>Capital Cost Allowance class changes from 2006 EDR application for 2009</t>
  </si>
  <si>
    <t>Capital Cost Allowance class changes from 2006 EDR application for 2010</t>
  </si>
  <si>
    <t>Capital Cost Allowance class changes from any prior application not recorded above.  Please provide details and explanation separately.</t>
  </si>
  <si>
    <t>Insert description of additional item(s) and new rows if needed.</t>
  </si>
  <si>
    <t>Revise the deferral and variance account continuity schedule to include account 1592 as a group 2 account and enter all relevant information for transactions, adjustments, etc., for all relevant years.</t>
  </si>
  <si>
    <t>Describe each type of tax item that has been recorded in account 1592.</t>
  </si>
  <si>
    <t>Provide the calculations that show how each item was determined and provide any pertinent supporting evidence and documentation.</t>
  </si>
  <si>
    <t>Please state whether or not the applicant followed the guidance provided in the FAQ of July 2007.  If not, please provide an explanation.</t>
  </si>
  <si>
    <t>4080, 4082, 4084, 4090, 4205, 4210, 4215, 4220, 4240, 4245</t>
  </si>
  <si>
    <t>Complete the above table based on the answers to the previous.  Add rows as required to complete the analysis in an informative manner.  Please provide the completed table as a working Excel spreadsheet.</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</si>
  <si>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</si>
  <si>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</si>
  <si>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</si>
  <si>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</si>
  <si>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</si>
  <si>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</si>
  <si>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Applicants must provide a breakdown of depreciation and amortization expense in the above format for all relevant accounts.  Asset Retirement Obligations (AROs), depreciation and accretion expense should be disclosed separately consistent with the Notes of historical Audited Financial Statements.</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</si>
  <si>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</si>
  <si>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</si>
  <si>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</si>
  <si>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</si>
  <si>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</si>
  <si>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</si>
  <si>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t>
  </si>
  <si>
    <t>Projects</t>
  </si>
  <si>
    <t>Miscellaneous</t>
  </si>
  <si>
    <t>Project Name #1</t>
  </si>
  <si>
    <t>Project Name #2</t>
  </si>
  <si>
    <t>Project Name #3</t>
  </si>
  <si>
    <t>Project Name #4</t>
  </si>
  <si>
    <t>Sub-Total</t>
  </si>
  <si>
    <t>Appendix 2-S</t>
  </si>
  <si>
    <t>Class Specific Revenue Requirement</t>
  </si>
  <si>
    <t>The table may need to be customized for a utility's asset categories or for any new asset accounts announced or authorized by the Board.</t>
  </si>
  <si>
    <t>Pale green cells represent input cells.</t>
  </si>
  <si>
    <t>Please complete the following four tables.</t>
  </si>
  <si>
    <t>Classes</t>
  </si>
  <si>
    <t>Street Lighting</t>
  </si>
  <si>
    <t>Unmetered Scattered Load (USL)</t>
  </si>
  <si>
    <t>Other class, if applicable</t>
  </si>
  <si>
    <t>GS &gt; xxx kW, if applicable</t>
  </si>
  <si>
    <t>GS &gt; 50 kW (or 50 kW &lt; GS &lt; xxx kW, if applicable)</t>
  </si>
  <si>
    <t>Costs Allocated from Previous Study</t>
  </si>
  <si>
    <t>Large User, if applicable</t>
  </si>
  <si>
    <t>Classes (same as previous table)</t>
  </si>
  <si>
    <t>Column 7B</t>
  </si>
  <si>
    <t>Column 7C</t>
  </si>
  <si>
    <t>Column 7D</t>
  </si>
  <si>
    <t>Column 7E</t>
  </si>
  <si>
    <t>Load Forecast (LF) X current approved rates</t>
  </si>
  <si>
    <t>LF X proposed rates</t>
  </si>
  <si>
    <t>Miscellaneous Revenue</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</si>
  <si>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</si>
  <si>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</si>
  <si>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</si>
  <si>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</si>
  <si>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</si>
  <si>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</si>
  <si>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</si>
  <si>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</si>
  <si>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</si>
  <si>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</si>
  <si>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</si>
  <si>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</si>
  <si>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</si>
  <si>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</si>
  <si>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</si>
  <si>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</si>
  <si>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</si>
  <si>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</si>
  <si>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r>
      <t xml:space="preserve">For each </t>
    </r>
    <r>
      <rPr>
        <sz val="10"/>
        <rFont val="Arial"/>
        <family val="2"/>
      </rPr>
      <t>"Other Operating Revenue" and "Other Income or Deductions" Account, a detailed breakdown of the account components is required.  See the example below for Account 4405, Interest and Dividend Income.</t>
    </r>
  </si>
  <si>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</si>
  <si>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</si>
  <si>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</si>
  <si>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</si>
  <si>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</si>
  <si>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</si>
  <si>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</si>
  <si>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Class</t>
  </si>
  <si>
    <t>Previously Approved Ratios</t>
  </si>
  <si>
    <t>Most Recent Year:</t>
  </si>
  <si>
    <t>Status Quo Ratios</t>
  </si>
  <si>
    <t>Proposed Ratios</t>
  </si>
  <si>
    <t>Policy Range</t>
  </si>
  <si>
    <t>85 - 115</t>
  </si>
  <si>
    <t>80 - 120</t>
  </si>
  <si>
    <t>70 - 120</t>
  </si>
  <si>
    <t>If partially embedded, kWh pertains to the sum of the above.</t>
  </si>
  <si>
    <t>These loss factors pertain to secondary-metered customers with demand less than 5,000 kW.</t>
  </si>
  <si>
    <t>Proposed Revenue-to-Cost Ratios</t>
  </si>
  <si>
    <t>CCA Class</t>
  </si>
  <si>
    <t>OEB</t>
  </si>
  <si>
    <t>Description</t>
  </si>
  <si>
    <t>Opening Balance</t>
  </si>
  <si>
    <t>Additions</t>
  </si>
  <si>
    <t>Historical Year(s)</t>
  </si>
  <si>
    <t>Appendix 2-K</t>
  </si>
  <si>
    <t>Shared Services and Corporate Cost Allocation</t>
  </si>
  <si>
    <t>% of Corporate Costs Allocated</t>
  </si>
  <si>
    <t>Corporate Cost Allocation</t>
  </si>
  <si>
    <t>Shared Services</t>
  </si>
  <si>
    <t>Amount Allocated</t>
  </si>
  <si>
    <t>eg: parent company</t>
  </si>
  <si>
    <t>eg: regulated entity</t>
  </si>
  <si>
    <t>L.F. X current approved rates X (1 + 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</si>
  <si>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</si>
  <si>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</si>
  <si>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</si>
  <si>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</si>
  <si>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</si>
  <si>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</si>
  <si>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</si>
  <si>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</si>
  <si>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</si>
  <si>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</si>
  <si>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</si>
  <si>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</si>
  <si>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</si>
  <si>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</si>
  <si>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</si>
  <si>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</si>
  <si>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</si>
  <si>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</si>
  <si>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</si>
  <si>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Disposals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</si>
  <si>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</si>
  <si>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</si>
  <si>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</si>
  <si>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</si>
  <si>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</si>
  <si>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</si>
  <si>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</si>
  <si>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</si>
  <si>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</si>
  <si>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</si>
  <si>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</si>
  <si>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</si>
  <si>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</si>
  <si>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t>The method of calculating the number of customers must be identified.</t>
  </si>
  <si>
    <t>If directly connected to the IESO-controlled grid, SFLF = 1.0045.</t>
  </si>
  <si>
    <t>If fully embedded within a host distributor, SFLF = loss factor re losses in transformer at grid interface X loss factor re losses in host distributor's system.  If the host distributor is Hydro One Networks Inc., SFLF = 1.0060 X 1.0278 = 1.0340. If partially embedded, SFLF should be calculated as the weighted average of above.</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</si>
  <si>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</si>
  <si>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</si>
  <si>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</si>
  <si>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</si>
  <si>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t>
    </r>
  </si>
  <si>
    <r>
      <t>G</t>
    </r>
    <r>
      <rPr>
        <sz val="10"/>
        <rFont val="Arial"/>
        <family val="2"/>
      </rPr>
      <t xml:space="preserve"> and </t>
    </r>
    <r>
      <rPr>
        <b/>
        <sz val="10"/>
        <rFont val="Arial"/>
        <family val="2"/>
      </rPr>
      <t>I</t>
    </r>
  </si>
  <si>
    <t>Distributors that wish to propose a different SFLF should provide appropriate justification for any such proposal including supporting</t>
  </si>
  <si>
    <t>calculations and any other relevant material.</t>
  </si>
  <si>
    <t xml:space="preserve">The Cost of Service Rate Application Schematic is a flowchart appended to Chapter 2 of the Filing Requirements as a guide for the components of an application and how demand and costs interrelate to derive the revenue requirement and then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 </t>
  </si>
  <si>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</si>
  <si>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</si>
  <si>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</si>
  <si>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</si>
  <si>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</si>
  <si>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</si>
  <si>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</si>
  <si>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</si>
  <si>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</si>
  <si>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</si>
  <si>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</si>
  <si>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</si>
  <si>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Depreciation Rate</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</si>
  <si>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</si>
  <si>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</si>
  <si>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</si>
  <si>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</si>
  <si>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</si>
  <si>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</si>
  <si>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</si>
  <si>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</si>
  <si>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</si>
  <si>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</si>
  <si>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</si>
  <si>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</si>
  <si>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</si>
  <si>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</si>
  <si>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</si>
  <si>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</si>
  <si>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</si>
  <si>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</si>
  <si>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</si>
  <si>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</si>
  <si>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</si>
  <si>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</si>
  <si>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Attawapiskat Power Corporation</t>
  </si>
  <si>
    <t>Bluewater Power Distribution Corp.</t>
  </si>
  <si>
    <t>Brant County Power</t>
  </si>
  <si>
    <t>Brantford Power Inc.</t>
  </si>
  <si>
    <t>Burlington Hydro Inc.</t>
  </si>
  <si>
    <t>Cambridge and North Dumfries Hydro</t>
  </si>
  <si>
    <t>Canadian Niagara Power Inc. – Eastern Ontario Power/Fort Erie/Port Colborne</t>
  </si>
  <si>
    <t>Centre Wellington Hydro Ltd.</t>
  </si>
  <si>
    <t>Chapleau Public Utilities Corporation</t>
  </si>
  <si>
    <t>COLLUS Power Corp.</t>
  </si>
  <si>
    <t>Cooperative Hydro Embrun Inc.</t>
  </si>
  <si>
    <t>E.L.K. Energy Inc.</t>
  </si>
  <si>
    <t>Enersource Hydro Mississauga Inc.</t>
  </si>
  <si>
    <t>Entegrus Powerlines Inc.</t>
  </si>
  <si>
    <t>ENWIN Utilities Ltd.</t>
  </si>
  <si>
    <t>Erie Thames Powerlines Corp.</t>
  </si>
  <si>
    <t>Espanola Regional Hydro Distribution Corporation</t>
  </si>
  <si>
    <t>Essex Powerlines Corporation</t>
  </si>
  <si>
    <t>Festival Hydro Inc.</t>
  </si>
  <si>
    <t>Fort Albany Power Corporation</t>
  </si>
  <si>
    <t>Fort Frances Power Corporation</t>
  </si>
  <si>
    <t>Greater Sudbury Hydro Inc.</t>
  </si>
  <si>
    <t>Grimsby Power Inc.</t>
  </si>
  <si>
    <t>Guelph Hydro Electric Systems Inc.</t>
  </si>
  <si>
    <t>Haldimand County Hydro Inc.</t>
  </si>
  <si>
    <t>Halton Hills Hydro Inc.</t>
  </si>
  <si>
    <t>Hearst Power Distribution Co. Ltd.</t>
  </si>
  <si>
    <t>Horizon Utilities Corporation</t>
  </si>
  <si>
    <t>Hydro 2000 Inc.</t>
  </si>
  <si>
    <t>Hydro Hawkesbury Inc.</t>
  </si>
  <si>
    <t>Hydro One Brampton Networks Inc.</t>
  </si>
  <si>
    <t>Hydro One Networks Inc.</t>
  </si>
  <si>
    <t>Hydro One Remote Communities Inc.</t>
  </si>
  <si>
    <t>Hydro Ottawa Limited</t>
  </si>
  <si>
    <t>Innisfil Hydro Dist. Systems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</si>
  <si>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</si>
  <si>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</si>
  <si>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</si>
  <si>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</si>
  <si>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</si>
  <si>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</si>
  <si>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</si>
  <si>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</si>
  <si>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</si>
  <si>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 – Tay Power Distribution Ltd.</t>
  </si>
  <si>
    <t>Niagara Peninsula Energy Inc.</t>
  </si>
  <si>
    <t>Niagara-on-the-Lake Hydro Inc.</t>
  </si>
  <si>
    <t>Norfolk Power Distribution Ltd.</t>
  </si>
  <si>
    <t>North Bay Hydro Distribution Limited</t>
  </si>
  <si>
    <t>Northern Ontario Wires Inc.</t>
  </si>
  <si>
    <t>Oakville Hydro Distribution Inc.</t>
  </si>
  <si>
    <t>Orangeville Hydro Limited</t>
  </si>
  <si>
    <t>Orillia Power Distribution Corp.</t>
  </si>
  <si>
    <t>Oshawa PUC Networks Inc.</t>
  </si>
  <si>
    <t>Ottawa River Power Corporation</t>
  </si>
  <si>
    <t>Parry Sound Power Corporation</t>
  </si>
  <si>
    <t>Peterborough Distribution Inc.</t>
  </si>
  <si>
    <t>PowerStream Inc.</t>
  </si>
  <si>
    <t>PUC Distribution Inc.</t>
  </si>
  <si>
    <t>Renfrew Hydro Inc.</t>
  </si>
  <si>
    <t>Rideau St. Lawrence Distribution Inc.</t>
  </si>
  <si>
    <t>St. Thomas Energy Inc.</t>
  </si>
  <si>
    <t>Sioux Lookout Hydro Inc.</t>
  </si>
  <si>
    <t>Thunder Bay Hydro Electricity Distribution</t>
  </si>
  <si>
    <t>Tillsonburg Hydro Inc.</t>
  </si>
  <si>
    <t>Toronto Hydro-Electric System Limited</t>
  </si>
  <si>
    <t>Veridian Connections Inc.</t>
  </si>
  <si>
    <t>Wasaga Distribution Inc.</t>
  </si>
  <si>
    <t>Waterloo North Hydro Inc.</t>
  </si>
  <si>
    <t>Welland Hydro Electric System Corp.</t>
  </si>
  <si>
    <t>Wellington North Power Inc.</t>
  </si>
  <si>
    <t>West Coast Huron Energy Inc.</t>
  </si>
  <si>
    <t>Westario Power Inc.</t>
  </si>
  <si>
    <t>Whitby Hydro Electric Corporation</t>
  </si>
  <si>
    <t>Woodstock Hydro Services Inc.</t>
  </si>
  <si>
    <t>Pale blue cells represent drop-down lists.  The applicant should select the appropriate item from the drop-down list.</t>
  </si>
  <si>
    <t>Computer Software (Formally known as Account 1925)</t>
  </si>
  <si>
    <r>
      <t xml:space="preserve">Assumes the applicant adopted IFRS for financial reporting purposes January 1, </t>
    </r>
    <r>
      <rPr>
        <b/>
        <sz val="10"/>
        <color indexed="10"/>
        <rFont val="Arial"/>
        <family val="2"/>
      </rPr>
      <t>2012</t>
    </r>
  </si>
  <si>
    <t>(m) = (h) - (l)</t>
  </si>
  <si>
    <r>
      <t xml:space="preserve">Average Remaining Life of Opening NBV </t>
    </r>
    <r>
      <rPr>
        <b/>
        <vertAlign val="superscript"/>
        <sz val="10"/>
        <rFont val="Arial"/>
        <family val="2"/>
      </rPr>
      <t>4</t>
    </r>
  </si>
  <si>
    <r>
      <t xml:space="preserve">Years (new additions only) </t>
    </r>
    <r>
      <rPr>
        <b/>
        <vertAlign val="superscript"/>
        <sz val="10"/>
        <rFont val="Arial"/>
        <family val="2"/>
      </rPr>
      <t>3</t>
    </r>
  </si>
  <si>
    <t>Depreciation Rate on New Additions</t>
  </si>
  <si>
    <t>Depreciation Expense on Opening NBV</t>
  </si>
  <si>
    <r>
      <t xml:space="preserve">Depreciation Expense on Additions </t>
    </r>
    <r>
      <rPr>
        <b/>
        <vertAlign val="superscript"/>
        <sz val="10"/>
        <rFont val="Arial"/>
        <family val="2"/>
      </rPr>
      <t>1</t>
    </r>
  </si>
  <si>
    <r>
      <t xml:space="preserve">Variance </t>
    </r>
    <r>
      <rPr>
        <b/>
        <vertAlign val="superscript"/>
        <sz val="10"/>
        <rFont val="Arial"/>
        <family val="2"/>
      </rPr>
      <t>2</t>
    </r>
  </si>
  <si>
    <t>(i)</t>
  </si>
  <si>
    <t>(j) = (a) / (i)</t>
  </si>
  <si>
    <t xml:space="preserve">(h)=((d)*0.5)/(f) </t>
  </si>
  <si>
    <t>(k) = (j) + (h)</t>
  </si>
  <si>
    <t>(m) = (k) - (l)</t>
  </si>
  <si>
    <t xml:space="preserve">(n) = (d)/(f) </t>
  </si>
  <si>
    <t>Years (new additions only)</t>
  </si>
  <si>
    <t>Depreciation Expense on 2012 Full Year Additions</t>
  </si>
  <si>
    <t xml:space="preserve">(n)=((d))/(f) </t>
  </si>
  <si>
    <r>
      <t xml:space="preserve">2013 Depreciation Expense </t>
    </r>
    <r>
      <rPr>
        <b/>
        <vertAlign val="superscript"/>
        <sz val="10"/>
        <rFont val="Arial"/>
        <family val="2"/>
      </rPr>
      <t>1</t>
    </r>
  </si>
  <si>
    <t>Total Depreciation expense to be included in the test year revenue requirement</t>
  </si>
  <si>
    <r>
      <t xml:space="preserve">Assumes the applicant adopted IFRS for financial reporting purposes January 1, </t>
    </r>
    <r>
      <rPr>
        <b/>
        <sz val="10"/>
        <color indexed="10"/>
        <rFont val="Arial"/>
        <family val="2"/>
      </rPr>
      <t>2013</t>
    </r>
  </si>
  <si>
    <t>2012 Depreciation Expense</t>
  </si>
  <si>
    <r>
      <t xml:space="preserve">Opening NBV as at Jan 1, 2012 </t>
    </r>
    <r>
      <rPr>
        <b/>
        <vertAlign val="superscript"/>
        <sz val="10"/>
        <rFont val="Arial"/>
        <family val="2"/>
      </rPr>
      <t>5</t>
    </r>
  </si>
  <si>
    <r>
      <t xml:space="preserve">(A) </t>
    </r>
    <r>
      <rPr>
        <b/>
        <vertAlign val="superscript"/>
        <sz val="10"/>
        <rFont val="Arial"/>
        <family val="2"/>
      </rPr>
      <t>1</t>
    </r>
  </si>
  <si>
    <r>
      <t xml:space="preserve">(E) </t>
    </r>
    <r>
      <rPr>
        <b/>
        <vertAlign val="superscript"/>
        <sz val="10"/>
        <rFont val="Arial"/>
        <family val="2"/>
      </rPr>
      <t>1</t>
    </r>
  </si>
  <si>
    <t>Nature of the Overhead Costs</t>
  </si>
  <si>
    <t>Dollar</t>
  </si>
  <si>
    <t xml:space="preserve">Dollar Impact - </t>
  </si>
  <si>
    <t>Directly</t>
  </si>
  <si>
    <t>Reasons why the overhead costs are allowed to be</t>
  </si>
  <si>
    <t>Impact on PP&amp;E</t>
  </si>
  <si>
    <t>PP&amp;E Variance</t>
  </si>
  <si>
    <t>Attributable?</t>
  </si>
  <si>
    <t>capitalized under MIFRS or an alternate accounting</t>
  </si>
  <si>
    <t>Historic Year</t>
  </si>
  <si>
    <t>Test versus Bridge</t>
  </si>
  <si>
    <t>Test versus Historic</t>
  </si>
  <si>
    <t>(Y/N)</t>
  </si>
  <si>
    <t>standard given limitations on capitalized overhead</t>
  </si>
  <si>
    <t>employee benefits</t>
  </si>
  <si>
    <t>costs of site preparation</t>
  </si>
  <si>
    <t>initial delivery and handling costs</t>
  </si>
  <si>
    <t>costs of testing whether the asset is functioning properly</t>
  </si>
  <si>
    <t>professional fees</t>
  </si>
  <si>
    <t>costs of opening a new facility</t>
  </si>
  <si>
    <t>costs of introducing a new product or service (including costs of advertising and promotional activities)</t>
  </si>
  <si>
    <t>costs of conducting business in a new location or with a new class of customer (including costs of staff training)</t>
  </si>
  <si>
    <t>administration and other general overhead costs</t>
  </si>
  <si>
    <t>The following table should be completed based on the information requested below. An explanation should be provided for any blank entries.  The entries should include overhead costs that were capitalized on self-constructed assets under CGAAP but are no longer capitalized under MIFRS or an alternate accounting standard and are included in OM&amp;A.</t>
  </si>
  <si>
    <t>Reasons why the overhead costs are not allowed to be</t>
  </si>
  <si>
    <t>Impact on OM&amp;A</t>
  </si>
  <si>
    <t>OM&amp;A Variance</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</si>
  <si>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</si>
  <si>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</si>
  <si>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</si>
  <si>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Audited Actual</t>
  </si>
  <si>
    <t>Audited Carrying</t>
  </si>
  <si>
    <t>Total Audited</t>
  </si>
  <si>
    <t>RRR 2.1.7</t>
  </si>
  <si>
    <t>Reasons why the costs recorded meet the criteria of one-time IFRS administrative incremental costs</t>
  </si>
  <si>
    <t>Costs Incurred</t>
  </si>
  <si>
    <t>Charges</t>
  </si>
  <si>
    <t>Actual Costs</t>
  </si>
  <si>
    <t>Balance</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</si>
  <si>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</si>
  <si>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</si>
  <si>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</si>
  <si>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</si>
  <si>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</si>
  <si>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</si>
  <si>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Applicants are to provide an explanation of material variances in evidence</t>
  </si>
  <si>
    <t>2012 Adopters of IFRS for Financial Reporting Purposes</t>
  </si>
  <si>
    <r>
      <t xml:space="preserve">For applicants that adopt IFRS on </t>
    </r>
    <r>
      <rPr>
        <b/>
        <sz val="10"/>
        <color indexed="10"/>
        <rFont val="Arial"/>
        <family val="2"/>
      </rPr>
      <t>January 1, 2012</t>
    </r>
    <r>
      <rPr>
        <b/>
        <sz val="10"/>
        <color indexed="8"/>
        <rFont val="Arial"/>
        <family val="2"/>
      </rPr>
      <t xml:space="preserve"> for financial reporting purposes</t>
    </r>
  </si>
  <si>
    <t xml:space="preserve">Note: this sheet should be filled out if the applicant adopts IFRS for its financial reporting purpose as of January 1, 2012. </t>
  </si>
  <si>
    <t>IRM</t>
  </si>
  <si>
    <t>Forecast vs. Actual Used in Rebasing Year</t>
  </si>
  <si>
    <t>Actual</t>
  </si>
  <si>
    <t>PP&amp;E Values under CGAAP</t>
  </si>
  <si>
    <t xml:space="preserve">            Opening net PP&amp;E - Note 1</t>
  </si>
  <si>
    <t xml:space="preserve">            Closing net PP&amp;E (1)</t>
  </si>
  <si>
    <t>PP&amp;E Values under MIFRS (Starts from 2011, the transition year)</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</si>
  <si>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</si>
  <si>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</si>
  <si>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</si>
  <si>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</si>
  <si>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</si>
  <si>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t>2013 Adopters of IFRS for Financial Reporting Purposes</t>
  </si>
  <si>
    <t xml:space="preserve">Note: this sheet should be filled out if the applicant adopts IFRS for its financial reporting purpose as of January 1, 2013. </t>
  </si>
  <si>
    <t>PP&amp;E Values under MIFRS (Starts from 2012, the transition year)</t>
  </si>
  <si>
    <r>
      <rPr>
        <b/>
        <sz val="10"/>
        <rFont val="Arial"/>
        <family val="2"/>
      </rPr>
      <t>Less:</t>
    </r>
    <r>
      <rPr>
        <sz val="10"/>
        <rFont val="Arial"/>
        <family val="2"/>
      </rPr>
      <t xml:space="preserve"> </t>
    </r>
    <r>
      <rPr>
        <i/>
        <sz val="10"/>
        <rFont val="Arial"/>
        <family val="2"/>
      </rPr>
      <t>Fully Allocated Depreciation</t>
    </r>
  </si>
  <si>
    <t>General</t>
  </si>
  <si>
    <t>NBV must exclude assets still on the books but which have been fully amortized or depreciated.</t>
  </si>
  <si>
    <t>Board policy of the "half-year" rule - the applicant must ensure that additions in the year attract a half-year depreciation expense in the first year.  Deviations from this standard practice must be supported in the application.</t>
  </si>
  <si>
    <t>Appendix 2-CB</t>
  </si>
  <si>
    <t xml:space="preserve">The applicant should ensure that the years for new additions of assets are the asset useful lives determined by management in accordance with IFRS. </t>
  </si>
  <si>
    <t>A recalculation should be performed to determine the average remaining life of opening balance of assets (i.e. excluding 2011 additions) under IFRS.  For example, Asset A had a useful life of 20 years under CGAAP.  On January 1, 2011, the date of transition, Asset A was 3 years depreciated. As a result, Asset A would have a remaining service life of 17 years (20 years less 3 years) under CGAAP as of January 1, 2011.  Due to the transition to IFRS, management re-assessed the asset useful lives under IFRS principles and concluded that the revised useful life of Asset A is now 30 years. Therefore, the average remaining useful life of opening balance of Asset A is determined to be 27 years (30 years less 3 years) under IFRS as of January 1, 2011.</t>
  </si>
  <si>
    <r>
      <t xml:space="preserve"> </t>
    </r>
    <r>
      <rPr>
        <sz val="10"/>
        <rFont val="Arial"/>
        <family val="2"/>
      </rPr>
      <t>NBV must exclude assets still on the books but which have been fully amortized or depreciated.</t>
    </r>
  </si>
  <si>
    <t>Appendix 2-CC</t>
  </si>
  <si>
    <t>Appendix 2-CD</t>
  </si>
  <si>
    <t>Appendix 2-CE</t>
  </si>
  <si>
    <t>A recalculation should be performed to determine the average remaining life of opening balance of assets (i.e. excluding 2012 additions) under IFRS.  For example, Asset A had a useful life of 20 years under CGAAP.  On January 1, 2012, the date of transition, Asset A was 3 years depreciated. As a result, Asset A would have a remaining service life of 17 years (20 years less 3 years) under CGAAP as of January 1, 2012.  Due to the transition to IFRS, management re-assessed the asset useful lives under IFRS principles and concluded that the revised useful life of Asset A is now 30 years. Therefore, the average remaining useful life of opening balance of Asset A is determined to be 27 years (30 years less 3 years) under IFRS as of January 1, 2012.</t>
  </si>
  <si>
    <t>Overhead Expense</t>
  </si>
  <si>
    <t xml:space="preserve">1  For an applicant that adopts IFRS on January 1, 2012, the PP&amp;E values as of January 1, 2011 under both CGAAP and MIFRS should be the same. </t>
  </si>
  <si>
    <t xml:space="preserve">1  For an applicant that adopts IFRS on January 1, 2013, the PP&amp;E values as of January 1, 2012 under both CGAAP and MIFRS should be the same. </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</si>
  <si>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</si>
  <si>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</si>
  <si>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</si>
  <si>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</si>
  <si>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</si>
  <si>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</si>
  <si>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</si>
  <si>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</si>
  <si>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</si>
  <si>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</si>
  <si>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</si>
  <si>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</si>
  <si>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1     "BA" = Board-Approved</t>
  </si>
  <si>
    <t>2     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</si>
  <si>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Appendix 2-R</t>
  </si>
  <si>
    <t>A)  Allocated Costs</t>
  </si>
  <si>
    <r>
      <rPr>
        <sz val="10"/>
        <rFont val="Arial"/>
        <family val="2"/>
      </rPr>
      <t>1</t>
    </r>
    <r>
      <rPr>
        <b/>
        <sz val="10"/>
        <rFont val="Arial"/>
        <family val="2"/>
      </rPr>
      <t xml:space="preserve">     </t>
    </r>
    <r>
      <rPr>
        <sz val="10"/>
        <rFont val="Arial"/>
        <family val="2"/>
      </rPr>
      <t>Customer Classification - If proposed rate classes differ from those in place in the previous Cost Allocation study, modify the rate classes to match the current application as closely as possible.</t>
    </r>
  </si>
  <si>
    <t xml:space="preserve">  </t>
  </si>
  <si>
    <t>B)  Calculated Class Revenues</t>
  </si>
  <si>
    <t xml:space="preserve">1     Columns 7B to 7D - LF means Load Forecast of Annual Billing Quantities (i.e. customers or connections X 12, (kWh or kW, as applicable).  Revenue Quantities should be net of Transfomrer Ownership Allowance.  Exclude revenue from rate adders and rate riders.  </t>
  </si>
  <si>
    <t>2     Columns 7C and 7D - Column total in each column should equal the Base Revenue Requirement</t>
  </si>
  <si>
    <t>3     Columns 7C - The Board cost allocation model calculates "1+d" in worksheet O-1, cell C21. "d" is defined as Revenue Deficiency/ Revenue at Current Rates.</t>
  </si>
  <si>
    <t>4     Columns 7E - If using the Board-issued Cost Allocation model, enter Miscellaneous Revenue as it appears in Worksheet O-1, row 19.</t>
  </si>
  <si>
    <t>C)  Rebalancing Revenue-to-Cost (R/C) Ratios</t>
  </si>
  <si>
    <t>2     Status Quo Ratios - The Board's updated Cost Allocation Model yields the Status Quo Ratios in Worksheet O-1.  Status Quo means "Before Rebalancing".</t>
  </si>
  <si>
    <t>D)  Proposed Revenue-to-Cost Ratios</t>
  </si>
  <si>
    <t>LV Line category # 2 (if applcable)</t>
  </si>
  <si>
    <t>Appendix 2-W</t>
  </si>
  <si>
    <t>Sub-Total B - Distribution (includes Sub-Total A)</t>
  </si>
  <si>
    <t>Sub-Total C - Delivery (including Sub-Total B)</t>
  </si>
  <si>
    <t>Smart Meter Entity Charge</t>
  </si>
  <si>
    <t>Land Rights (Formally known as Account 1906)</t>
  </si>
  <si>
    <t>If the applicant is adopting IFRS or an alternate accounting standard as of January 1, 2012 for financial reporting purposes, 2011 must be presented on both a CGAAP and MIFRS (or alternate accounting standard) basis.</t>
  </si>
  <si>
    <t>If the applicant is adopting IFRS or an alternate accounting standard as of January 1, 2013 for financial reporting purposes, 2012 must be presented on both a CGAAP and MIFRS (or alternate accounting standard) basis.</t>
  </si>
  <si>
    <t>Appendix 2-P</t>
  </si>
  <si>
    <t>Index</t>
  </si>
  <si>
    <t>LDC Information Sheet</t>
  </si>
  <si>
    <t>Lender</t>
  </si>
  <si>
    <t>Affiliated or Third-Party Debt?</t>
  </si>
  <si>
    <t>Fixed or Variable-Rate?</t>
  </si>
  <si>
    <t>Start Date</t>
  </si>
  <si>
    <t>Interest ($)       (Note 1)</t>
  </si>
  <si>
    <t>If financing is in place only part of the year, calculate the pro-rated interest and input in the cell.</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</si>
  <si>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t>
    </r>
  </si>
  <si>
    <t>Add more lines above row 12 if necessary.</t>
  </si>
  <si>
    <t>Debt Instruments</t>
  </si>
  <si>
    <t>Rate (%)                     (Note 2)</t>
  </si>
  <si>
    <t>Row</t>
  </si>
  <si>
    <t>Principal                         ($)</t>
  </si>
  <si>
    <t>Term              (years)</t>
  </si>
  <si>
    <t>kWh corresponding to D should equal metered or estimated kWh at the customer’s delivery point.</t>
  </si>
  <si>
    <t>Compound Annual Growth Rate for all years</t>
  </si>
  <si>
    <t>Embedded distributor class</t>
  </si>
  <si>
    <t xml:space="preserve">3     Class Revenue Requirements - If using the Board-issued model, in column 7A enter the results from Worksheet O-1, Revenue Requirement (row 40 in the 2013 model).  This excludes costs in deferral and variance accounts.  Note to Embedded Distributor(s), it also does not include Account 4750 - Low Voltage (LV) Costs. </t>
  </si>
  <si>
    <t>2     Host Distributors -  Provide information on embedded distributor(s) as a separate class, if applicable.   If embedded distributor(s) are billed as customers in a General Service class, include the allocated cost and revenue of the embedded distributor(s) in the applicable class.  Also complete Appendix 2-Q.</t>
  </si>
  <si>
    <t xml:space="preserve">Embedded Distributor(s)' Responsibility Share </t>
  </si>
  <si>
    <t>(Not required if Host Distributor has an Embedded Distributor rate class, i.e. a separate row in Appendix 2-P.)</t>
  </si>
  <si>
    <t>2009 Actuals</t>
  </si>
  <si>
    <t>Opening Balance for "Last Rebasing Year" (cell B15) should be equal to the Board-Approved amount.</t>
  </si>
  <si>
    <t>Appendix 2-CA</t>
  </si>
  <si>
    <t>Energy - RPP - Tier 1</t>
  </si>
  <si>
    <t>Energy - RPP - Tier 2</t>
  </si>
  <si>
    <t>TOU - Off Peak</t>
  </si>
  <si>
    <t>TOU - Mid Peak</t>
  </si>
  <si>
    <t>TOU - On Peak</t>
  </si>
  <si>
    <t>Total Bill on RPP (before Taxes)</t>
  </si>
  <si>
    <t>Total Bill on TOU (before Taxes)</t>
  </si>
  <si>
    <t>Total Bill on TOU (including OCEB)</t>
  </si>
  <si>
    <t>Total Bill on RPP (including OCEB)</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</si>
  <si>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</si>
  <si>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</si>
  <si>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</si>
  <si>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</si>
  <si>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</si>
  <si>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</si>
  <si>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</si>
  <si>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</si>
  <si>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</si>
  <si>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</si>
  <si>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</si>
  <si>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</si>
  <si>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</si>
  <si>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</si>
  <si>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</si>
  <si>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</si>
  <si>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Capital Cost Allowance class changes from 2006 EDR application for 2011</t>
  </si>
  <si>
    <t>Low Voltage Service Charge</t>
  </si>
  <si>
    <t>Name of Contact and Title</t>
  </si>
  <si>
    <t xml:space="preserve">White cells contain fixed values, automatically generated values or formulae. </t>
  </si>
  <si>
    <t>2013 Depreciation Expense per Appendix 2-B Fixed Assets, Column K
 (l)</t>
  </si>
  <si>
    <t>2012 Depreciation Expense per Appendix 2-B Fixed Assets, Column K
 (l)</t>
  </si>
  <si>
    <t>Less Fully Depreciated</t>
  </si>
  <si>
    <t>Net for Depreciation</t>
  </si>
  <si>
    <t>(b)</t>
  </si>
  <si>
    <t>(c)</t>
  </si>
  <si>
    <t>(p) = (j) + (n) - (o)</t>
  </si>
  <si>
    <r>
      <t>(h)=2011 Full Year Deprecation</t>
    </r>
    <r>
      <rPr>
        <b/>
        <sz val="10"/>
        <rFont val="Arial"/>
        <family val="2"/>
      </rPr>
      <t xml:space="preserve"> + ((d)*0.5)/(f) </t>
    </r>
  </si>
  <si>
    <r>
      <t xml:space="preserve">(e) = (c) + ½ x (d) </t>
    </r>
    <r>
      <rPr>
        <b/>
        <vertAlign val="superscript"/>
        <sz val="10"/>
        <rFont val="Arial"/>
        <family val="2"/>
      </rPr>
      <t>1</t>
    </r>
  </si>
  <si>
    <t>Opening Regulatory Gross PP&amp;E as at Jan 1, 2012</t>
  </si>
  <si>
    <t>This column refers to the calculated full year depreciation but excludes the depreciation expense on assets fully depreciated during the year.  This column is used for the purpose of calculating depreciation expense in the following year on the next worksheet.</t>
  </si>
  <si>
    <r>
      <t xml:space="preserve">2012 Full Year Depreciation </t>
    </r>
    <r>
      <rPr>
        <b/>
        <vertAlign val="superscript"/>
        <sz val="10"/>
        <rFont val="Arial"/>
        <family val="2"/>
      </rPr>
      <t>6</t>
    </r>
  </si>
  <si>
    <t>Less Depreciation Expense on Assets Fully Depreciated during the year
(o)</t>
  </si>
  <si>
    <t>Version 2.0</t>
  </si>
  <si>
    <t>1   Please provide a breakdown of the major components of each capital project undertaken in each year.  Please ensure that all projects below the materiality threshold are included in the miscellaneous line.  Add more projects as required.</t>
  </si>
  <si>
    <t>The additions column (F) must not include construction work in progress (CWIP).</t>
  </si>
  <si>
    <t>Yes</t>
  </si>
  <si>
    <t>Load Forecast CDM Adjustment Work Form (2014)</t>
  </si>
  <si>
    <t>4 Year (2011-2014) kWh Target:</t>
  </si>
  <si>
    <t>2011 CDM Programs</t>
  </si>
  <si>
    <t>2012 CDM Programs</t>
  </si>
  <si>
    <t>2013 CDM Programs</t>
  </si>
  <si>
    <t>2014 CDM Programs</t>
  </si>
  <si>
    <t>Total in Year</t>
  </si>
  <si>
    <t>Check</t>
  </si>
  <si>
    <t>Net-to-Gross Conversion</t>
  </si>
  <si>
    <t>Weight Factor for Inclusion in CDM Adjustment to 2014 Load Forecast</t>
  </si>
  <si>
    <t>Weight Factor for each year's CDM program impact on 2014 load forecast</t>
  </si>
  <si>
    <t>Utility can select "0", "0.5", or "1" from drop-down list</t>
  </si>
  <si>
    <t xml:space="preserve">Default Value selection rationale.  </t>
  </si>
  <si>
    <t>50% of 2012 CDM impact is assumed reflected in base forecast based on 1/2 year rule.</t>
  </si>
  <si>
    <t>Full year impact of 2013 CDM programs on adjustment for 2014 load forecast</t>
  </si>
  <si>
    <t>Only 50% of 2014 CDM impact is used based on a half year rule</t>
  </si>
  <si>
    <t>Total for 2014</t>
  </si>
  <si>
    <t>Amount used for CDM threshold for LRAMVA (2014)</t>
  </si>
  <si>
    <t>Identify the accounting standard used for the test year</t>
  </si>
  <si>
    <t>Are you applying for cost recovery for the test and/or future year(s) for Green Energy initiatives?</t>
  </si>
  <si>
    <t>Appendix 2-BA</t>
  </si>
  <si>
    <t>TUL</t>
  </si>
  <si>
    <t>Current</t>
  </si>
  <si>
    <t xml:space="preserve">	Based on these inputs, the residual kWh to achieve the 4 year CDM target is allocated so that there is an equal incremental increase in each of the years 2012, 2013 and 2014._x000D_
</t>
  </si>
  <si>
    <t>"Gross"</t>
  </si>
  <si>
    <t>"Net"</t>
  </si>
  <si>
    <t>"Net-to-Gross" Conversion Factor</t>
  </si>
  <si>
    <t>Persistence of Historical CDM programs to 2014</t>
  </si>
  <si>
    <t>('g')</t>
  </si>
  <si>
    <t>2006-2010 CDM programs</t>
  </si>
  <si>
    <t>2011 CDM program</t>
  </si>
  <si>
    <t>2012 CDM program</t>
  </si>
  <si>
    <t>From each of the 2006-2010 CDM Final Report, 2011 CDM Final Report, and the 2012 CDM Final Report, issued by the OPA for the distributor, the distributor should input the "gross" and "net" results of the cumulative CDM savings for 2014 into cells D31 to E33.  The model will calculate the cumulative savings for all programs from 2006 to 2012 and determine the "net" to "gross" factor "g".</t>
  </si>
  <si>
    <t>Persistence of 2011 CDM programs for the full year of 2012 means that all of 2011 CDM impact is assumed to be in the base forecast before the CDM Adjustment</t>
  </si>
  <si>
    <t>The default values represent the factor that each year's CDM program is factored into the manual CDM adjustment.  Distributors can choose alternative weights of "0", "0.5" or "1" from the drop-down menu for each cell, but must support its alternatives.</t>
  </si>
  <si>
    <t>These factors do not mean that CDM programs are excluded, but also reflect the assumption that impacts of 2011 and 2012 programs are already implicitly reflected in the actual data for those years that are the basis for the load forecast prior to any manual CDM adjustment.</t>
  </si>
  <si>
    <t>Manual Adjustment for 2014 Load Forecast (billed basis)</t>
  </si>
  <si>
    <t>Proposed Loss Factor (TLF)</t>
  </si>
  <si>
    <t xml:space="preserve"> Format: X.XX%</t>
  </si>
  <si>
    <t>Manual Adjustment for 2014 Load Forecast (system purchased basis)</t>
  </si>
  <si>
    <t>Manual adjustment uses "gross" versus "net" (i.e. numbers multiplied by (1 + g).  The Weight factor is also used calculate the impact of each year's program on the CDM adjustment to the 2014 load forecast.</t>
  </si>
  <si>
    <t>The Amount used for the CDM threshold of the LRAMVA is the kWh that will be used to determine the base amount for the LRAMVA balance for 2014, for assessing performance against the four-year target.  The base amount for 2011-2013 is 0 (zero) for 2014 Cost of Service applications, as the utility rebased prior to the 2011-2014 CDM programs, and there was no adjustment to reflect the impacts of the 2011-2014 programs on the load forecast used to determine their last cost of service-based rates.</t>
  </si>
  <si>
    <t xml:space="preserve">The Manual Adjustment for the 2014 Load Forecast is the amount manually subtracted from the load forecast derived from the base forecast from historical data, and is intended to reflect the further CDM savings that the distributor needs to achieve assuming that they meet 100% of the 2011-2014 CDM target that is a condition of their target. </t>
  </si>
  <si>
    <t>If the distributor has developed their load forecast on a system purchased basis, then the manual adjustment should be on system purchased basis, including the adjustment for losses.  If the load forecast has been developed on a billed basis, either on a system basis or on a class-specific basis, the manual adjustment should be on a billed basis, excluding losses.</t>
  </si>
  <si>
    <t>The distributor should determine the allocation of the savings to all customer classes in a reasonable manner, for both the LRAMVA and for the load forecast adjustment.</t>
  </si>
  <si>
    <t>Input the measured results for 2011 CDM programs for each of the years 2011 and persistence into 2012, 2013 and 2014 into cells B29 to E29.  These results are taken from the final 2011 CDM Report issued by the OPA for that distributor in the fall of 2012.</t>
  </si>
  <si>
    <t>Measured results for 2012 CDM programs for each of the years 2012 and persistence into 2013 and 2014 are input into cells C30 to E30.  These results are taken from the final 2012 CDM Report issued by the OPA for that distributor in the fall of 2013.  Until that report is issued, the distributor should use the results from the preliminary 2012 CDM Report issued in the spring of 2013.</t>
  </si>
  <si>
    <t>Input the 2011-2014 CDM target in Cell B21.</t>
  </si>
  <si>
    <t>Load Management Controls Customer Premises</t>
  </si>
  <si>
    <t>Other Tangible Property</t>
  </si>
  <si>
    <t>Total PP&amp;E</t>
  </si>
  <si>
    <t>Appendix 2-BB</t>
  </si>
  <si>
    <t>Service Life Comparison</t>
  </si>
  <si>
    <t>Depreciation exp. adj. from gain or loss on the retirement of assets (pool of like assets)</t>
  </si>
  <si>
    <t>Includes outages caused by loss of supply</t>
  </si>
  <si>
    <t>Excludes outages caused by loss of supply</t>
  </si>
  <si>
    <t xml:space="preserve">SAIDI </t>
  </si>
  <si>
    <t>SAIFI</t>
  </si>
  <si>
    <t>SAIDI = System Average Interruption Duration Index</t>
  </si>
  <si>
    <t xml:space="preserve">SAIFI = System Average Interruption Frequency Index </t>
  </si>
  <si>
    <t>2008 - 2012</t>
  </si>
  <si>
    <t>2013 Depreciation Expense per Apppendix 2-B Fixed Assets, Column K
 (l)</t>
  </si>
  <si>
    <t>Depreciation Expense on 2013 Full Year Additions</t>
  </si>
  <si>
    <r>
      <t xml:space="preserve">2013 Full Year Depreciation </t>
    </r>
    <r>
      <rPr>
        <b/>
        <vertAlign val="superscript"/>
        <sz val="10"/>
        <rFont val="Arial"/>
        <family val="2"/>
      </rPr>
      <t>3</t>
    </r>
  </si>
  <si>
    <t xml:space="preserve">(h)=2012 Full Year Deprecation + ((d)*0.5)/(f) </t>
  </si>
  <si>
    <t>(p) = 2012 Full Year Depreciation  + (n) - (o)</t>
  </si>
  <si>
    <r>
      <t xml:space="preserve">2014 Depreciation Expense </t>
    </r>
    <r>
      <rPr>
        <b/>
        <vertAlign val="superscript"/>
        <sz val="10"/>
        <rFont val="Arial"/>
        <family val="2"/>
      </rPr>
      <t>1</t>
    </r>
  </si>
  <si>
    <t>2014 Depreciation Expense per Appendix 2-B Fixed Assets, Column K
 (l)</t>
  </si>
  <si>
    <t xml:space="preserve">(h)=2013 Full Year Depreciation + ((d)*0.5)/(f) </t>
  </si>
  <si>
    <t>2012 Depreciation Expense per Appendix 2-B Fixed Assets, Column K 
 (l)</t>
  </si>
  <si>
    <r>
      <t xml:space="preserve">Assumes the applicant adopted IFRS for financial reporting purposes January 1, </t>
    </r>
    <r>
      <rPr>
        <b/>
        <sz val="10"/>
        <color indexed="10"/>
        <rFont val="Arial"/>
        <family val="2"/>
      </rPr>
      <t>2014</t>
    </r>
  </si>
  <si>
    <t>Opening Regulatory Gross PP&amp;E as at Jan 1, 2013</t>
  </si>
  <si>
    <t>2013 Depreciation Expense</t>
  </si>
  <si>
    <r>
      <t xml:space="preserve">Opening NBV as at Jan 1, 2013 </t>
    </r>
    <r>
      <rPr>
        <b/>
        <vertAlign val="superscript"/>
        <sz val="10"/>
        <rFont val="Arial"/>
        <family val="2"/>
      </rPr>
      <t>5</t>
    </r>
  </si>
  <si>
    <r>
      <t xml:space="preserve">2013 Full Year Depreciation </t>
    </r>
    <r>
      <rPr>
        <b/>
        <vertAlign val="superscript"/>
        <sz val="10"/>
        <rFont val="Arial"/>
        <family val="2"/>
      </rPr>
      <t>6</t>
    </r>
  </si>
  <si>
    <t>A recalculation should be performed to determine the average remaining life of opening balance of assets (i.e. excluding 2013 additions) under IFRS.  For example, Asset A had a useful life of 20 years under CGAAP.  On January 1, 2013, the date of transition, Asset A was 3 years depreciated. As a result, Asset A would have a remaining service life of 17 years (20 years less 3 years) under CGAAP as of January 1, 2013.  Due to the transition to IFRS, management re-assessed the asset useful lives under IFRS principles and concluded that the revised useful life of Asset A is now 30 years. Therefore, the average remaining useful life of opening balance of Asset A is determined to be 27 years (30 years less 3 years) under IFRS as of January 1, 2013.</t>
  </si>
  <si>
    <t>Appendix 2-DA</t>
  </si>
  <si>
    <t>The following table should be completed based on the information requested below. An explanation should be provided for any blank entries.  The entries should include overhead costs that are currently capitalized on self-constructed assets under MIFRS.</t>
  </si>
  <si>
    <t>If the applicant chooses to adopt IFRS for financial reporting purposes in 2014, the applicant does not need to complete Columns A, E.  If the applicant adopts IFRS for financial reporting purposes in 2012 or 2013, the applicant must complete all columns.</t>
  </si>
  <si>
    <t>2014 Rebasing Year</t>
  </si>
  <si>
    <r>
      <t xml:space="preserve">For applicants that adopt IFRS on </t>
    </r>
    <r>
      <rPr>
        <b/>
        <sz val="10"/>
        <color indexed="10"/>
        <rFont val="Arial"/>
        <family val="2"/>
      </rPr>
      <t>January 1, 2013</t>
    </r>
    <r>
      <rPr>
        <b/>
        <sz val="10"/>
        <color indexed="8"/>
        <rFont val="Arial"/>
        <family val="2"/>
      </rPr>
      <t xml:space="preserve"> for financial reporting purposes</t>
    </r>
  </si>
  <si>
    <t>2014 Adopters of IFRS for Financial Reporting Purposes</t>
  </si>
  <si>
    <r>
      <t xml:space="preserve">For applicants that adopt IFRS on </t>
    </r>
    <r>
      <rPr>
        <b/>
        <sz val="10"/>
        <color rgb="FFFF0000"/>
        <rFont val="Arial"/>
        <family val="2"/>
      </rPr>
      <t>January 1, 2014</t>
    </r>
    <r>
      <rPr>
        <b/>
        <sz val="10"/>
        <color indexed="8"/>
        <rFont val="Arial"/>
        <family val="2"/>
      </rPr>
      <t xml:space="preserve"> for financial reporting purposes</t>
    </r>
  </si>
  <si>
    <t xml:space="preserve">Note: this sheet should be filled out if the applicant adopts IFRS for its financial reporting purpose as of January 1, 2014. </t>
  </si>
  <si>
    <t>PP&amp;E Values under MIFRS (Starts from 2013, the transition year)</t>
  </si>
  <si>
    <t xml:space="preserve">1  For an applicant that adopts IFRS on January 1, 2014, the PP&amp;E values as of January 1, 2013 under both CGAAP and MIFRS should be the same. </t>
  </si>
  <si>
    <t>Appendix 2-FA</t>
  </si>
  <si>
    <t>Account 1576 - Accounting Changes under CGAAP</t>
  </si>
  <si>
    <t>2012 Changes in Accounting Policies under CGAAP</t>
  </si>
  <si>
    <r>
      <t xml:space="preserve">Assumes the applicant made capitalization and depreciation expense accounting policy changes under CGAAP effective January 1, </t>
    </r>
    <r>
      <rPr>
        <b/>
        <sz val="10"/>
        <color indexed="10"/>
        <rFont val="Arial"/>
        <family val="2"/>
      </rPr>
      <t>2012</t>
    </r>
  </si>
  <si>
    <t>CGAAP - ASPE</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</si>
  <si>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</si>
  <si>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</si>
  <si>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</si>
  <si>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</si>
  <si>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r>
      <t xml:space="preserve">Assumes the applicant made capitalization and depreciation expense accounting policy changes under CGAAP effective January 1, </t>
    </r>
    <r>
      <rPr>
        <b/>
        <sz val="10"/>
        <color indexed="10"/>
        <rFont val="Arial"/>
        <family val="2"/>
      </rPr>
      <t>2013</t>
    </r>
  </si>
  <si>
    <t>PP&amp;E Values under revised CGAAP (Starts from 2013)</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</si>
  <si>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</si>
  <si>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</si>
  <si>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</si>
  <si>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The purpose of this tab is to provide general instructions.  The specific instructions to each appendix are listed in footnotes to each appendix.</t>
  </si>
  <si>
    <r>
      <t>·</t>
    </r>
    <r>
      <rPr>
        <sz val="10"/>
        <rFont val="Times New Roman"/>
        <family val="1"/>
      </rPr>
      <t xml:space="preserve">         </t>
    </r>
    <r>
      <rPr>
        <sz val="10"/>
        <rFont val="Arial"/>
        <family val="2"/>
      </rPr>
      <t xml:space="preserve">If an applicant chooses to adopt IFRS for financial reporting in 2013, in its 2014 cost of service application it must file information for the year prior (i.e. 2012 – the historic year) in both CGAAP and modified IFRS format,  and present modified IFRS based forecasts for the bridge (2013) and test years (2014). The years required to be filed prior to the historic year 2012 may be provided in CGAAP only. </t>
    </r>
  </si>
  <si>
    <r>
      <t>·</t>
    </r>
    <r>
      <rPr>
        <sz val="10"/>
        <rFont val="Times New Roman"/>
        <family val="1"/>
      </rPr>
      <t xml:space="preserve">         </t>
    </r>
    <r>
      <rPr>
        <sz val="10"/>
        <rFont val="Arial"/>
        <family val="2"/>
      </rPr>
      <t xml:space="preserve">If an applicant chooses to adopt IFRS for financial reporting in 2014, in its 2014 cost of service application it must provide the required actual years (2012) and the bridge year (2013) in CGAAP based format. An applicant must present modified IFRS based forecasts for the bridge (2013) and test years (2014).  </t>
    </r>
  </si>
  <si>
    <t>Date of Adoption of IFRS</t>
  </si>
  <si>
    <t>for Financial Reporting Purposes:</t>
  </si>
  <si>
    <t>January 1, 2012</t>
  </si>
  <si>
    <t>January 1, 2013</t>
  </si>
  <si>
    <t>January 1, 2014</t>
  </si>
  <si>
    <t>Information</t>
  </si>
  <si>
    <t>2010 H &amp; Prior</t>
  </si>
  <si>
    <t>Required to be</t>
  </si>
  <si>
    <t>2011 H</t>
  </si>
  <si>
    <t>MIFRS &amp; CGAAP</t>
  </si>
  <si>
    <t>Filed in 2014</t>
  </si>
  <si>
    <t>2012 H</t>
  </si>
  <si>
    <t>CoS Application:</t>
  </si>
  <si>
    <t>2013 B</t>
  </si>
  <si>
    <t>2014 T</t>
  </si>
  <si>
    <t>Date of Transition to IFRS</t>
  </si>
  <si>
    <t>January 1, 2011</t>
  </si>
  <si>
    <t>H - historic year regulatory financial information</t>
  </si>
  <si>
    <t>T - test year regulatory financial information</t>
  </si>
  <si>
    <t>Year in which both CGAAP and MIFRS information required</t>
  </si>
  <si>
    <t>For those applicants that adopted IFRS on January 1, 2012 for financial reporting purposes, the date of transition is January 1, 2011.  For those applicants that adopted IFRS on January 1, 2013 for financial reporting purposes, the date of transition is January 1, 2012.  For those applicants that adopted IFRS on January 1, 2014 for financial reporting purposes, the date of transition is January 1, 2013.</t>
  </si>
  <si>
    <t xml:space="preserve">For  modified IFRS applications, the applicants must provide a summary of the dollar impacts of  modified 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modified IFRS accounting.  </t>
  </si>
  <si>
    <t>Depreciation and Amortization - Appendix 2-C</t>
  </si>
  <si>
    <t>If an applicant chooses to adopt IFRS for financial reporting in 2012, the applicant must complete Appendix 2-CA to Appendix 2-CE (inclusive).</t>
  </si>
  <si>
    <t xml:space="preserve">If an applicant chooses to adopt IFRS for financial reporting in 2013, the applicant must complete Appendix 2-CF to Appendix 2-CI (inclusive). </t>
  </si>
  <si>
    <t>If an applicant chooses to adopt IFRS for financial reporting in 2014, the applicant must complete Appendix 2-CJ to Appendix 2-CM (inclusive).</t>
  </si>
  <si>
    <t>Regulatory Gross Assets of Property, Plant and Equipment</t>
  </si>
  <si>
    <r>
      <t>·</t>
    </r>
    <r>
      <rPr>
        <sz val="10"/>
        <rFont val="Times New Roman"/>
        <family val="1"/>
      </rPr>
      <t xml:space="preserve">         </t>
    </r>
    <r>
      <rPr>
        <sz val="10"/>
        <rFont val="Arial"/>
        <family val="2"/>
      </rPr>
      <t>December 31, 2010 regulatory gross assets of property, plant and equipment, by asset class; and</t>
    </r>
  </si>
  <si>
    <r>
      <t>·</t>
    </r>
    <r>
      <rPr>
        <sz val="10"/>
        <rFont val="Times New Roman"/>
        <family val="1"/>
      </rPr>
      <t xml:space="preserve">         </t>
    </r>
    <r>
      <rPr>
        <sz val="10"/>
        <rFont val="Arial"/>
        <family val="2"/>
      </rPr>
      <t>January 1, 2011 regulatory gross assets of property, plant and equipment, by asset class.</t>
    </r>
  </si>
  <si>
    <r>
      <t>·</t>
    </r>
    <r>
      <rPr>
        <sz val="10"/>
        <rFont val="Times New Roman"/>
        <family val="1"/>
      </rPr>
      <t xml:space="preserve">         </t>
    </r>
    <r>
      <rPr>
        <sz val="10"/>
        <rFont val="Arial"/>
        <family val="2"/>
      </rPr>
      <t>December 31, 2011 regulatory gross assets of property, plant and equipment, by asset class; and</t>
    </r>
  </si>
  <si>
    <r>
      <t>·</t>
    </r>
    <r>
      <rPr>
        <sz val="10"/>
        <rFont val="Times New Roman"/>
        <family val="1"/>
      </rPr>
      <t xml:space="preserve">         </t>
    </r>
    <r>
      <rPr>
        <sz val="10"/>
        <rFont val="Arial"/>
        <family val="2"/>
      </rPr>
      <t>January 1, 2012 regulatory gross assets of property, plant and equipment, by asset class.</t>
    </r>
  </si>
  <si>
    <r>
      <t>·</t>
    </r>
    <r>
      <rPr>
        <sz val="10"/>
        <rFont val="Times New Roman"/>
        <family val="1"/>
      </rPr>
      <t xml:space="preserve">         </t>
    </r>
    <r>
      <rPr>
        <sz val="10"/>
        <rFont val="Arial"/>
        <family val="2"/>
      </rPr>
      <t>December 31, 2012 regulatory gross assets of property, plant and equipment, by asset class; and</t>
    </r>
  </si>
  <si>
    <r>
      <t>·</t>
    </r>
    <r>
      <rPr>
        <sz val="10"/>
        <rFont val="Times New Roman"/>
        <family val="1"/>
      </rPr>
      <t xml:space="preserve">         </t>
    </r>
    <r>
      <rPr>
        <sz val="10"/>
        <rFont val="Arial"/>
        <family val="2"/>
      </rPr>
      <t>January 1, 2013 regulatory gross assets of property, plant and equipment, by asset class.</t>
    </r>
  </si>
  <si>
    <r>
      <t>·</t>
    </r>
    <r>
      <rPr>
        <sz val="10"/>
        <rFont val="Times New Roman"/>
        <family val="1"/>
      </rPr>
      <t xml:space="preserve">         </t>
    </r>
    <r>
      <rPr>
        <sz val="10"/>
        <rFont val="Arial"/>
        <family val="2"/>
      </rPr>
      <t>December 31, 2010 regulatory accumulated depreciation, by asset class; and</t>
    </r>
  </si>
  <si>
    <r>
      <t>·</t>
    </r>
    <r>
      <rPr>
        <sz val="10"/>
        <rFont val="Times New Roman"/>
        <family val="1"/>
      </rPr>
      <t xml:space="preserve">         </t>
    </r>
    <r>
      <rPr>
        <sz val="10"/>
        <rFont val="Arial"/>
        <family val="2"/>
      </rPr>
      <t>January 1, 2011 regulatory accumulated depreciation, by asset class.</t>
    </r>
  </si>
  <si>
    <r>
      <t>·</t>
    </r>
    <r>
      <rPr>
        <sz val="10"/>
        <rFont val="Times New Roman"/>
        <family val="1"/>
      </rPr>
      <t xml:space="preserve">         </t>
    </r>
    <r>
      <rPr>
        <sz val="10"/>
        <rFont val="Arial"/>
        <family val="2"/>
      </rPr>
      <t>December 31, 2011 regulatory accumulated depreciation, by asset class; and</t>
    </r>
  </si>
  <si>
    <r>
      <t>·</t>
    </r>
    <r>
      <rPr>
        <sz val="10"/>
        <rFont val="Times New Roman"/>
        <family val="1"/>
      </rPr>
      <t xml:space="preserve">         </t>
    </r>
    <r>
      <rPr>
        <sz val="10"/>
        <rFont val="Arial"/>
        <family val="2"/>
      </rPr>
      <t>January 1, 2012 regulatory accumulated depreciation, by asset class.</t>
    </r>
  </si>
  <si>
    <r>
      <t>·</t>
    </r>
    <r>
      <rPr>
        <sz val="10"/>
        <rFont val="Times New Roman"/>
        <family val="1"/>
      </rPr>
      <t xml:space="preserve">         </t>
    </r>
    <r>
      <rPr>
        <sz val="10"/>
        <rFont val="Arial"/>
        <family val="2"/>
      </rPr>
      <t>December 31, 2012 regulatory accumulated depreciation, by asset class; and</t>
    </r>
  </si>
  <si>
    <r>
      <t>·</t>
    </r>
    <r>
      <rPr>
        <sz val="10"/>
        <rFont val="Times New Roman"/>
        <family val="1"/>
      </rPr>
      <t xml:space="preserve">         </t>
    </r>
    <r>
      <rPr>
        <sz val="10"/>
        <rFont val="Arial"/>
        <family val="2"/>
      </rPr>
      <t>January 1, 2013 regulatory accumulated depreciation, by asset class.</t>
    </r>
  </si>
  <si>
    <t>Appendix 2-TA</t>
  </si>
  <si>
    <t>Account 1592, PILs and Tax Variances for 2006 and Subsequent Years
and Subsequent Years</t>
  </si>
  <si>
    <t>Capital Cost Allowance class changes from 2006 EDR application for 2012</t>
  </si>
  <si>
    <t>Identify the account balance as of December 31, 2012 as per the 2012 Audited Financial Statements.  Identify the account balance as of December 31, 2012 as per the April 2013 2.1.7 RRR filing to the Board.  Provide a reconciliation if the balances provided are not identical to each other and to the total shown on the continuity schedule.</t>
  </si>
  <si>
    <t>Appendix 2-TB</t>
  </si>
  <si>
    <t>Account 1592, PILs and Tax Variances for 2006 and Subsequent Years,
and Subsequent Years</t>
  </si>
  <si>
    <t>Sub-account HST/OVAT Input Tax Credits (ITCs)</t>
  </si>
  <si>
    <t>The following table should be completed based on the information requested below.  An explanation should be provided for any blank entries.</t>
  </si>
  <si>
    <t>100% of the balance in Account 1592,  PILs and Tax Variances for 2006 and Subsequent Years, Sub-account HST/OVAT Input Tax Credits (ITCs), should be recorded in this table.</t>
  </si>
  <si>
    <t>Summary of PST Savings from 2009 Historic Year Analysis</t>
  </si>
  <si>
    <t>Carrying Charges to April 30, 2014</t>
  </si>
  <si>
    <t>Total Account 1592, sub-account HST/OVAT Balance</t>
  </si>
  <si>
    <t>OM&amp;A Expenses PST Savings</t>
  </si>
  <si>
    <t>Capital Items PST Savings</t>
  </si>
  <si>
    <r>
      <t xml:space="preserve">Total Annual PST Savings </t>
    </r>
    <r>
      <rPr>
        <vertAlign val="superscript"/>
        <sz val="10"/>
        <color indexed="8"/>
        <rFont val="Arial"/>
        <family val="2"/>
      </rPr>
      <t>2</t>
    </r>
  </si>
  <si>
    <r>
      <rPr>
        <vertAlign val="superscript"/>
        <sz val="10"/>
        <color indexed="8"/>
        <rFont val="Arial"/>
        <family val="2"/>
      </rPr>
      <t>1</t>
    </r>
    <r>
      <rPr>
        <sz val="10"/>
        <color indexed="8"/>
        <rFont val="Arial"/>
        <family val="2"/>
      </rPr>
      <t xml:space="preserve"> Include January to April 30, 2014 PST savings if the rate year begins May 1, 2014.  If the rate year begins Jan 1, 2014, include PST savings to December 31, 2013.</t>
    </r>
  </si>
  <si>
    <r>
      <rPr>
        <vertAlign val="superscript"/>
        <sz val="10"/>
        <color indexed="8"/>
        <rFont val="Arial"/>
        <family val="2"/>
      </rPr>
      <t>2</t>
    </r>
    <r>
      <rPr>
        <sz val="10"/>
        <color indexed="8"/>
        <rFont val="Arial"/>
        <family val="2"/>
      </rPr>
      <t xml:space="preserve"> Derived PST savings proxy for each year per 2009 historic year analysis</t>
    </r>
  </si>
  <si>
    <r>
      <rPr>
        <b/>
        <sz val="10"/>
        <color indexed="8"/>
        <rFont val="Arial"/>
        <family val="2"/>
      </rPr>
      <t>Note:</t>
    </r>
    <r>
      <rPr>
        <sz val="10"/>
        <color indexed="8"/>
        <rFont val="Arial"/>
        <family val="2"/>
      </rPr>
      <t xml:space="preserve"> Assumes level OM&amp;A and Capital Spending year over year.  An alternative detailed transactional analysis may also be performed using actual expenditures from 2010 to the start of the rate year.</t>
    </r>
  </si>
  <si>
    <t>Principal 
2010</t>
  </si>
  <si>
    <t>Principal 
2011</t>
  </si>
  <si>
    <t>Principal 
2012</t>
  </si>
  <si>
    <t>Principal 
2013</t>
  </si>
  <si>
    <r>
      <t xml:space="preserve">Principal 
Jan-April 2014 </t>
    </r>
    <r>
      <rPr>
        <b/>
        <vertAlign val="superscript"/>
        <sz val="10"/>
        <rFont val="Arial"/>
        <family val="2"/>
      </rPr>
      <t>1</t>
    </r>
  </si>
  <si>
    <t>to Dec 31, 2012</t>
  </si>
  <si>
    <r>
      <t xml:space="preserve">Amounts, if any, included in previous Board approved rates (amounts should be negative) </t>
    </r>
    <r>
      <rPr>
        <vertAlign val="superscript"/>
        <sz val="10"/>
        <rFont val="Arial"/>
        <family val="2"/>
      </rPr>
      <t>3</t>
    </r>
  </si>
  <si>
    <t>If there were any amounts approved in previous Board approved rates, please state the EB #:</t>
  </si>
  <si>
    <t>Appendix 2-YA</t>
  </si>
  <si>
    <t>Summary of Impacts to Revenue Requirement</t>
  </si>
  <si>
    <t>from Transition to MIFRS</t>
  </si>
  <si>
    <t>Revenue Requirement Component</t>
  </si>
  <si>
    <t xml:space="preserve">Reasons why the revenue requirement </t>
  </si>
  <si>
    <t>component is different under</t>
  </si>
  <si>
    <t>MIFRS versus CGAAP</t>
  </si>
  <si>
    <t>Closing NBV 2013</t>
  </si>
  <si>
    <t>Closing NBV 2014</t>
  </si>
  <si>
    <t>Average NBV</t>
  </si>
  <si>
    <t>Working Capital</t>
  </si>
  <si>
    <t>Rate Base</t>
  </si>
  <si>
    <t>Return on Rate Base</t>
  </si>
  <si>
    <t>Depreciation</t>
  </si>
  <si>
    <t>PILs or Income Taxes</t>
  </si>
  <si>
    <t>Less: Revenue Offsets</t>
  </si>
  <si>
    <t>Total Base Revenue Requirement</t>
  </si>
  <si>
    <t>Appendix 2-YB</t>
  </si>
  <si>
    <t>from Accounting Changes under CGAAP or ASPE</t>
  </si>
  <si>
    <t>CGAAP or ASPE</t>
  </si>
  <si>
    <t>with the</t>
  </si>
  <si>
    <t>without the</t>
  </si>
  <si>
    <t>CGAAP or ASPE with the changes to the policies</t>
  </si>
  <si>
    <t>changes to</t>
  </si>
  <si>
    <t>versus CGAAP without the changes to the policies</t>
  </si>
  <si>
    <t>the policies</t>
  </si>
  <si>
    <t xml:space="preserve">For  CGAAP or ASPE applications, the applicants must provide a summary of the dollar impacts of CGAAP or ASPE to each component of the revenue requirement (e.g. rate base, operating costs, etc.), including the overall impact on the proposed revenue requirement.  Accordingly, the applicants must identify financial differences and resulting revenue requirement impacts arising from making capitalization and depreciation expense policy changes under CGAAP or ASPE.  </t>
  </si>
  <si>
    <t>Appendix 2-DB</t>
  </si>
  <si>
    <t>The following table should be completed based on the information requested below. An explanation should be provided for any blank entries.  The entries should include overhead costs that are currently capitalized on self-constructed assets under revised CGAAP or ASPE (with the changes in capitalization and depreciation expense policies).</t>
  </si>
  <si>
    <t xml:space="preserve">(A) </t>
  </si>
  <si>
    <t xml:space="preserve">(E) </t>
  </si>
  <si>
    <t>capitalized under CGAAP or ASPE (with the changes in</t>
  </si>
  <si>
    <t>policies) given limitations on capitalized overhead</t>
  </si>
  <si>
    <t>The following table should be completed based on the information requested below. An explanation should be provided for any blank entries.  The entries should include overhead costs that were capitalized on self-constructed assets under CGAAP but are no longer capitalized under revised CGAAP or ASPE (with the changes in capitalization and depreciation expense policies) and are included in OM&amp;A.</t>
  </si>
  <si>
    <t>Appendix 2-CN</t>
  </si>
  <si>
    <t>Former CGAAP - CGAAP without the changes to the policies</t>
  </si>
  <si>
    <t>Load Management Controls - Customer Premises</t>
  </si>
  <si>
    <t>Appendix 2-CO</t>
  </si>
  <si>
    <t>Revised CGAAP or ASPE - CGAAP or ASPE with the changes to the policies</t>
  </si>
  <si>
    <t>The applicant should ensure that the years for new additions of assets are the asset useful lives determined by management in accordance with the Board's regulatory accounting policies.   The capitalization and depreciation expense accounting changes should be implemented consistent with the Board’s regulatory accounting policies as set out for modified IFRS as contained in the Report of the Board, Transition to International Financial Reporting Standards, EB-2008-0408, the Kinectrics Report, and the Revised 2012 Accounting Procedures Handbook for Electricity Distributors (“APH”).</t>
  </si>
  <si>
    <t>A recalculation should be performed to determine the average remaining life of opening balance of assets (i.e. excluding 2012 additions) under the change in policies under CGAAP.  For example, Asset A had a useful life of 20 years under CGAAP without the change in policies.  On January 1, 2012, the effective date of the changes in policies, Asset A was 3 years depreciated. As a result, Asset A would have a remaining service life of 17 years (20 years less 3 years) as of January 1, 2012.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of January 1, 2012.</t>
  </si>
  <si>
    <t>Appendix 2-CP</t>
  </si>
  <si>
    <t>Appendix 2-CQ</t>
  </si>
  <si>
    <t>Appendix 2-CR</t>
  </si>
  <si>
    <t>Appendix 2-CS</t>
  </si>
  <si>
    <t>Appendix 2-CT</t>
  </si>
  <si>
    <t>A recalculation should be performed to determine the average remaining life of opening balance of assets (i.e. excluding 2013 additions) under the change in policies under CGAAP.  For example, Asset A had a useful life of 20 years under CGAAP without the change in policies.  On January 1, 2013, the effective date of the changes in poliices, Asset A was 3 years depreciated. As a result, Asset A would have a remaining service life of 17 years (20 years less 3 years) as of January 1, 2013.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of January 1, 2013.</t>
  </si>
  <si>
    <t>Appendix 2-CU</t>
  </si>
  <si>
    <t>If an applicant chooses to remain on CGAAP or adopt ASPE and make the changes to capitalization and depreciation expense policies in 2013, the applicant must complete Appendix 2-CR to Appendix 2-CU (inclusive).</t>
  </si>
  <si>
    <t>If an applicant chooses to remain on CGAAP or adopt ASPE and make the changes to capitalization and depreciation expense policies in 2012, the applicant must complete Appendix 2-CN to Appendix 2-CQ (inclusive).</t>
  </si>
  <si>
    <t>Applicants filing a CGAAP or ASPE application should provide the following information:</t>
  </si>
  <si>
    <t>General Instructions to CGAAP - ASPE Appendices</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</si>
  <si>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</si>
  <si>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</si>
  <si>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</si>
  <si>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</si>
  <si>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</si>
  <si>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</si>
  <si>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</si>
  <si>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</si>
  <si>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</si>
  <si>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</si>
  <si>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</si>
  <si>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</si>
  <si>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</si>
  <si>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</si>
  <si>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</si>
  <si>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</si>
  <si>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</si>
  <si>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</si>
  <si>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</si>
  <si>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</si>
  <si>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</si>
  <si>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</si>
  <si>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</si>
  <si>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</si>
  <si>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</si>
  <si>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</si>
  <si>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</si>
  <si>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</si>
  <si>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</si>
  <si>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</si>
  <si>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</si>
  <si>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</si>
  <si>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</si>
  <si>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</si>
  <si>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</si>
  <si>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</si>
  <si>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</si>
  <si>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</si>
  <si>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</si>
  <si>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</si>
  <si>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</si>
  <si>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</si>
  <si>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</si>
  <si>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</si>
  <si>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</si>
  <si>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</si>
  <si>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</si>
  <si>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</si>
  <si>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</si>
  <si>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</si>
  <si>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</si>
  <si>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</si>
  <si>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</si>
  <si>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</si>
  <si>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</si>
  <si>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</si>
  <si>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</si>
  <si>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</si>
  <si>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Appendix 2-CV</t>
  </si>
  <si>
    <t>Opening
Regulatory Gross PP&amp;E</t>
  </si>
  <si>
    <t>Depreciation Expense per Appendix 2-B Fixed Assets, Column K
 (l)</t>
  </si>
  <si>
    <t>App.2-CV_USGAAP_DepExp</t>
  </si>
  <si>
    <r>
      <t xml:space="preserve">Less Renewable Generation Facility Assets and Other Non Rate-Regulated Utility Assets </t>
    </r>
    <r>
      <rPr>
        <b/>
        <i/>
        <sz val="10"/>
        <rFont val="Arial"/>
        <family val="2"/>
      </rPr>
      <t>(input as negative)</t>
    </r>
  </si>
  <si>
    <r>
      <t xml:space="preserve">Assumes the applicant made capitalization and depreciation expense accounting policy changes under CGAAP effective January 1, </t>
    </r>
    <r>
      <rPr>
        <b/>
        <sz val="11"/>
        <color indexed="10"/>
        <rFont val="Arial"/>
        <family val="2"/>
      </rPr>
      <t>2012</t>
    </r>
  </si>
  <si>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</si>
  <si>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</si>
  <si>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For 2013, please indicate whether the amounts provided are on a forecast or actual basis.</t>
  </si>
  <si>
    <t>To be completed by Host Distributors ONLY*</t>
  </si>
  <si>
    <t xml:space="preserve">1     The applicant should complete Table D if it is applying for approval of a revenue to cost ratio in 2013 that is outside the Board’s policy range for any customer class. Table (d) will show the information that the distributor would likely enter in the IRM model) in 2013.  In 2014 Table (d), enter the planned ratios for the classes that will be ‘Change’ and ‘No Change’ in 2014 (in the current Revenue Cost Ratio Adjustment Workform, Worksheet C1.1 ‘Decision – Cost Revenue Adjustment’, column d), and enter TBD for class(es) that will be entered as ‘Rebalance’. </t>
  </si>
  <si>
    <t xml:space="preserve">Total Recoverable OM&amp;A Expenses </t>
  </si>
  <si>
    <t>3     Recoverable OM&amp;A that is included on these tables should be identical to the recoverable OM&amp;A that is shown for the corresponding periods on Appendix 2-JB.</t>
  </si>
  <si>
    <t>For purposes of assessing incremental cost drivers, the closing balance for each year becomes the opening balance for the next year.</t>
  </si>
  <si>
    <t>required in Exhibit 4.</t>
  </si>
  <si>
    <t>Total Recoverable OM&amp;A from Appendix 2-JB</t>
  </si>
  <si>
    <t>Recoverable OM&amp;A Cost per Customer and per FTE</t>
  </si>
  <si>
    <t>Number of FTEs</t>
  </si>
  <si>
    <t>Customers/FTEs</t>
  </si>
  <si>
    <t>OM&amp;A Cost per FTE</t>
  </si>
  <si>
    <t>The method of calculating the number of FTEs must be identified.  See also Appendix 2-K</t>
  </si>
  <si>
    <t>The number of customers and the number of FTEs should correspond to mid-year or average of January 1 and December 31 figures.</t>
  </si>
  <si>
    <t>Recoverable OM&amp;A Cost Driver Table</t>
  </si>
  <si>
    <r>
      <t xml:space="preserve">Please fill out the following table for all </t>
    </r>
    <r>
      <rPr>
        <b/>
        <u/>
        <sz val="10"/>
        <rFont val="Arial"/>
        <family val="2"/>
      </rPr>
      <t>one-time</t>
    </r>
    <r>
      <rPr>
        <b/>
        <sz val="10"/>
        <rFont val="Arial"/>
        <family val="2"/>
      </rPr>
      <t xml:space="preserve"> costs related to this cost of service application to be amortized over the test year plus the IRM period.</t>
    </r>
  </si>
  <si>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</si>
  <si>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</si>
  <si>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</si>
  <si>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</si>
  <si>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</si>
  <si>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</si>
  <si>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</si>
  <si>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</si>
  <si>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</si>
  <si>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</si>
  <si>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</si>
  <si>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t>This table must be completed for the last Board approved year and the test year.</t>
  </si>
  <si>
    <t>1     Previously Approved Revenue-to-Cost Ratios - For most applicants, Most Recent Year would be the third year of the IRM 3 period,  e.g. if the applicant rebased in 2009 with further adjustments over 2 years, the Most recent year is 2011.  For applicants whose most recent rebasing year is 2006, the applicant should enter the ratios from their Informational Filing.</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</si>
  <si>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</si>
  <si>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</si>
  <si>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Fixed Asset Continuity Schedule - CGAAP/ASPE/USGAAP</t>
  </si>
  <si>
    <t>Fixed Asset Continuity Schedule - MIFRS</t>
  </si>
  <si>
    <r>
      <t xml:space="preserve">Assumes the applicant adopted USGAAP for financial reporting purposes.  For applicants adopting USGAAP for financial reporting purposes January 1, </t>
    </r>
    <r>
      <rPr>
        <b/>
        <sz val="11"/>
        <color indexed="10"/>
        <rFont val="Arial"/>
        <family val="2"/>
      </rPr>
      <t>2012,</t>
    </r>
    <r>
      <rPr>
        <b/>
        <sz val="11"/>
        <rFont val="Arial"/>
        <family val="2"/>
      </rPr>
      <t xml:space="preserve"> applicants must complete 5 versions of the table below (2011 CGAAP, 2011 USGAAP, 2012 USGAAP, 2013 USGAAP, and 2014 USGAAP).  For applicants adopting USGAAP for financial reporting purposes January 1, </t>
    </r>
    <r>
      <rPr>
        <b/>
        <sz val="11"/>
        <color indexed="10"/>
        <rFont val="Arial"/>
        <family val="2"/>
      </rPr>
      <t>2013,</t>
    </r>
    <r>
      <rPr>
        <b/>
        <sz val="11"/>
        <rFont val="Arial"/>
        <family val="2"/>
      </rPr>
      <t xml:space="preserve"> applicants must complete 4 versions of the table below (2012 CGAAP, 2012 USGAAP, 2013 USGAAP, and 2014 USGAAP).  For applicants adopting USGAAP for financial reporting purposes January 1, </t>
    </r>
    <r>
      <rPr>
        <b/>
        <sz val="11"/>
        <color rgb="FFFF0000"/>
        <rFont val="Arial"/>
        <family val="2"/>
      </rPr>
      <t>2014,</t>
    </r>
    <r>
      <rPr>
        <b/>
        <sz val="11"/>
        <rFont val="Arial"/>
        <family val="2"/>
      </rPr>
      <t xml:space="preserve"> applicants must complete 4 versions of the table below (2012 CGAAP, 2013 CGAAP, 2013 USGAAP, and 2014 USGAAP).</t>
    </r>
  </si>
  <si>
    <t>If the applicant is adopting IFRS or an alternate accounting standard as of January 1, 2014 for financial reporting purposes, 2013 must be presented on both a CGAAP and MIFRS (or alternate accounting standard) basis.</t>
  </si>
  <si>
    <t>COS Flowchart</t>
  </si>
  <si>
    <t>List of Key References</t>
  </si>
  <si>
    <t>App. 2-Z_Tariff</t>
  </si>
  <si>
    <t>The Board has determined that the "net" number should be used in its Decision and Order with respect to Centre Wellington Hydro Ltd.'s 2013 Cost of Service rates (EB-2012-0113).  This approach has also been used in Settlement Agreements accepted by the Board in other 2013 applications.  The distributor should select whether the adjustment is done on a "net" or "gross" basis, but must support a proposal for the adjustment being done on a "gross" basis.</t>
  </si>
  <si>
    <t>Is CDM adjustment being done on a "net" or "gross" basis?</t>
  </si>
  <si>
    <t>net</t>
  </si>
  <si>
    <t xml:space="preserve">The proposed loss factor should correspond with the loss factor calculated in Appendix 2-R </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</si>
  <si>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</si>
  <si>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</si>
  <si>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</si>
  <si>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</si>
  <si>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</si>
  <si>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2-ED</t>
  </si>
  <si>
    <t>Appendix 2-JC</t>
  </si>
  <si>
    <t>Cost of Service Application Flowchart</t>
  </si>
  <si>
    <t>Appendix 2-BB: Service Life Comparison</t>
  </si>
  <si>
    <t>Appendix 2-CB: 2011 Depreciation and Amortization Expense (MIFRS)</t>
  </si>
  <si>
    <t>Appendix 2-CC: 2012 Depreciation and Amortization Expense (MIFRS)</t>
  </si>
  <si>
    <t>Appendix 2-CD: 2013 Depreciation and Amortization Expense (MIFRS)</t>
  </si>
  <si>
    <t>Appendix 2-CE: 2014 Depreciation and Amortization Expense (MIFRS)</t>
  </si>
  <si>
    <t>Appendix 2-CF: 2012 Depreciation and Amortization Expense (CGAAP)</t>
  </si>
  <si>
    <t>Appendix 2-CH: 2013 Depreciation and Amortization Expense (MIFRS)</t>
  </si>
  <si>
    <t>Appendix 2-CG: 2012 Depreciation and Amortization Expense (MIFRS)</t>
  </si>
  <si>
    <t>Appendix 2-CI: 2014 Depreciation and Amortization Expense (MIFRS)</t>
  </si>
  <si>
    <t>Appendix 2-CJ: 2012 Depreciation and Amortization Expense (CGAAP)</t>
  </si>
  <si>
    <t>Appendix 2-CK: 2013 Depreciation and Amortization Expense (CGAAP)</t>
  </si>
  <si>
    <t>Appendix 2-CL: 2013 Depreciation and Amortization Expense (MIFRS)</t>
  </si>
  <si>
    <t>Appendix 2-CM: 2014 Depreciation and Amortization Expense (MIFRS)</t>
  </si>
  <si>
    <t>General Instructions to CGAAP-ASPE Appendices</t>
  </si>
  <si>
    <t>Appendix 2-CN: 2012 Depreciation and Amortization Expense (Old CGAAP)</t>
  </si>
  <si>
    <t>Appendix 2-CO: 2012 Depreciation and Amortization Expense (New CGAAP)</t>
  </si>
  <si>
    <t>Appendix 2-CP: 2013 Depreciation and Amortization Expense (New CGAAP)</t>
  </si>
  <si>
    <t>Appendix 2-CQ: 2014 Depreciation and Amortization Expense (New CGAAP)</t>
  </si>
  <si>
    <t>Appendix 2-CR: 2012 Depreciation and Amortization Expense (Old CGAAP)</t>
  </si>
  <si>
    <t>Appendix 2-CS: 2013 Depreciation and Amortization Expense (Old CGAAP)</t>
  </si>
  <si>
    <t>Appendix 2-CT: 2013 Depreciation and Amortization Expense (New CGAAP)</t>
  </si>
  <si>
    <t>Appendix 2-CU: 2014 Depreciation and Amortization Expense (New CGAAP)</t>
  </si>
  <si>
    <t>Appendix 2-CV: Depreciation and Amortization Expense (USGAAP)</t>
  </si>
  <si>
    <t>Appendix 2-DA: Overhead Expense (MIFRS)</t>
  </si>
  <si>
    <t>Appendix 2-DB: Overhead Expense (CGAAP or ASPE)</t>
  </si>
  <si>
    <t>Appendix 2-EA: PP&amp;E Deferral Account (2012 IFRS Adopters)</t>
  </si>
  <si>
    <t>Appendix 2-EB: PP&amp;E Deferral Account (2013 IFRS Adopters)</t>
  </si>
  <si>
    <t>Appendix 2-EC: PP&amp;E Deferral Account (2014 IFRS Adopters)</t>
  </si>
  <si>
    <t>Appendix 2-ED: Account 1576 - Accounting Changes Under CGAAP (2012 Changes)</t>
  </si>
  <si>
    <t>Appendix 2-EE: Account 1576 - Accounting Changes Under CGAAP (2013 Changes)</t>
  </si>
  <si>
    <t>Appendix 2-H: Other Operating Revenue</t>
  </si>
  <si>
    <t>Appendix 2-I: Load Forecast CDM Adjustment Work Form</t>
  </si>
  <si>
    <t>Appendix 2-K: Employee Costs</t>
  </si>
  <si>
    <t>Appendix 2-L: Recoverable OM&amp;A Cost per Customer and per FTE</t>
  </si>
  <si>
    <t>Appendix 2-M: Regulatory Cost Schedule</t>
  </si>
  <si>
    <t>Appendix 2-N: Shared Services and Corporate Cost Allocation</t>
  </si>
  <si>
    <t>Appendix 2-OA: Capital Structure and Cost of Capital</t>
  </si>
  <si>
    <t>Appendix 2-OB: Debt Instruments</t>
  </si>
  <si>
    <t>Appendix 2-P: Cost Allocation</t>
  </si>
  <si>
    <t>Appendix 2-Q: Cost of Serving Embedded Distributor(s)</t>
  </si>
  <si>
    <t>Appendix 2-R: Loss Factors</t>
  </si>
  <si>
    <t>Appendix 2-S: Stranded Meter Treatment</t>
  </si>
  <si>
    <t>Appendix 2-TA: Account 1592, PILs and Tax Variances</t>
  </si>
  <si>
    <t>Appendix 2-TB: Account 1592, HST-OVAT Input Tax Credits</t>
  </si>
  <si>
    <t>Appendix 2-U: One-Time Incremental IFRS Transition Costs</t>
  </si>
  <si>
    <t>Appendix 2-V: Revenue Reconciliation</t>
  </si>
  <si>
    <t>Appendix 2-W: Bill Impacts</t>
  </si>
  <si>
    <t>Appendix 2-YA: Transition to MIFRS Summary Impacts</t>
  </si>
  <si>
    <t>Appendix 2-YB: Accounting Changes under CGAAP/ASPE Summary Impacts</t>
  </si>
  <si>
    <t>Legend</t>
  </si>
  <si>
    <t>To be completed by MIFRS filers</t>
  </si>
  <si>
    <t>To be completed by USGAAP filers</t>
  </si>
  <si>
    <t>Adjustments for Total non-recoverable items (from Appendices 2-JA and 2-JB)</t>
  </si>
  <si>
    <t xml:space="preserve">Total OM&amp;A Expenses </t>
  </si>
  <si>
    <t>5 Year Historical Average</t>
  </si>
  <si>
    <t>Renewable Generation Connection Investment Summary (over the rate setting period)</t>
  </si>
  <si>
    <t>Enter the details of the Renewable Generation Connection projects as described in Section 2.5.2.5 of the Filing Requirements.</t>
  </si>
  <si>
    <t>All costs entered on this page will be transferred to the appropriate cells in the appendices that follow.</t>
  </si>
  <si>
    <t>Based on the current methodology and allocation, amounts allocated represent 6% for REI Connection Investments and 17% for Expansion Investments. (pg 15, EB-2009-0349)</t>
  </si>
  <si>
    <t>Part A</t>
  </si>
  <si>
    <t>REI Investments (Direct Benefit at 6%)</t>
  </si>
  <si>
    <t>Project 1</t>
  </si>
  <si>
    <t>Capital Costs</t>
  </si>
  <si>
    <t>OM&amp;A (Start-Up)</t>
  </si>
  <si>
    <t>OM&amp;A (Ongoing)</t>
  </si>
  <si>
    <t>Project 2</t>
  </si>
  <si>
    <t>Project 3</t>
  </si>
  <si>
    <t>Project 4</t>
  </si>
  <si>
    <t>Project 5</t>
  </si>
  <si>
    <t>Part B</t>
  </si>
  <si>
    <t>Expansion Investments (Direct Benefit at 17%)</t>
  </si>
  <si>
    <r>
      <rPr>
        <b/>
        <sz val="10"/>
        <rFont val="Arial"/>
        <family val="2"/>
      </rPr>
      <t>For Part A</t>
    </r>
    <r>
      <rPr>
        <sz val="10"/>
        <rFont val="Arial"/>
        <family val="2"/>
      </rPr>
      <t>, Renewable Enabling Improvements (REI), these amounts will be transferred to Appendix 2 - FB</t>
    </r>
  </si>
  <si>
    <r>
      <rPr>
        <b/>
        <sz val="10"/>
        <rFont val="Arial"/>
        <family val="2"/>
      </rPr>
      <t>For Part B</t>
    </r>
    <r>
      <rPr>
        <sz val="10"/>
        <rFont val="Arial"/>
        <family val="2"/>
      </rPr>
      <t>, Expansions, these amounts will be transferred to Appendix 2 - FC</t>
    </r>
  </si>
  <si>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</si>
  <si>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</si>
  <si>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</si>
  <si>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</si>
  <si>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Rate Riders are not calculated for Test Year as these assets and costs are already in the distributor's rate base/revenue requirement.</t>
  </si>
  <si>
    <t>2014 Test Year</t>
  </si>
  <si>
    <t>Direct Benefit</t>
  </si>
  <si>
    <t>Provincial</t>
  </si>
  <si>
    <t>Net Fixed Assets (average)</t>
  </si>
  <si>
    <t>Incremental OM&amp;A (start-up, applicable for Provincial Recovery)</t>
  </si>
  <si>
    <t>WCA</t>
  </si>
  <si>
    <t>Deemed ST Debt</t>
  </si>
  <si>
    <t>Deemed LT Debt</t>
  </si>
  <si>
    <t>Deemed Equity</t>
  </si>
  <si>
    <t>ST Interest</t>
  </si>
  <si>
    <t>LT Interest</t>
  </si>
  <si>
    <t>ROE</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</si>
  <si>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</si>
  <si>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</si>
  <si>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</si>
  <si>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</si>
  <si>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</si>
  <si>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</si>
  <si>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</si>
  <si>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</si>
  <si>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</si>
  <si>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</si>
  <si>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</si>
  <si>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</si>
  <si>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</si>
  <si>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</si>
  <si>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</si>
  <si>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</si>
  <si>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</si>
  <si>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</si>
  <si>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Gross Capital Additions</t>
  </si>
  <si>
    <t>Closing Gross Fixed Assets</t>
  </si>
  <si>
    <t>Opening Accumulated Amortization</t>
  </si>
  <si>
    <t>Current Year Amortization (before additions)</t>
  </si>
  <si>
    <t>Additions (half year)</t>
  </si>
  <si>
    <t>Closing Accumulated Amortization</t>
  </si>
  <si>
    <t>Opening Net Fixed Assets</t>
  </si>
  <si>
    <t>Closing Net Fixed Assets</t>
  </si>
  <si>
    <t>Average Net Fixed Assets</t>
  </si>
  <si>
    <t>UCC for PILs Calculation</t>
  </si>
  <si>
    <t>Opening UCC</t>
  </si>
  <si>
    <t>Capital Additions (from Appendix 2-FA)</t>
  </si>
  <si>
    <t>UCC Before Half Year Rule</t>
  </si>
  <si>
    <t>Half Year Rule (1/2 Additions - Disposals)</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</si>
  <si>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</si>
  <si>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</si>
  <si>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</si>
  <si>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</si>
  <si>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</si>
  <si>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</si>
  <si>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</si>
  <si>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</si>
  <si>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</si>
  <si>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Rate Riders are not calculated for Test Year as these assets and costs are already in the distributors rate base.</t>
  </si>
  <si>
    <t>Appendix 2-AA</t>
  </si>
  <si>
    <t>Appendix 2-AA: Capital Projects Table</t>
  </si>
  <si>
    <t>Appendix 2-AB: Capital Expenditures</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</si>
  <si>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</si>
  <si>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</si>
  <si>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</si>
  <si>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</si>
  <si>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</si>
  <si>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</si>
  <si>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</si>
  <si>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</si>
  <si>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</si>
  <si>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</si>
  <si>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</si>
  <si>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</si>
  <si>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</si>
  <si>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shifts in forecast vs. histrical budgets by category</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</si>
  <si>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</si>
  <si>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</si>
  <si>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</si>
  <si>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</si>
  <si>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</si>
  <si>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</si>
  <si>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</si>
  <si>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1.  Historical “previous plan” data is not required unless a plan has previously been filed</t>
  </si>
  <si>
    <t>2.  Indicate the number of months of 'actual' data included in the last year of the Historical Period (normally a 'bridge' year):</t>
  </si>
  <si>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</si>
  <si>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</si>
  <si>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</si>
  <si>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</si>
  <si>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</si>
  <si>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Difference in Closing net PP&amp;E, CGAAP vs. MIFRS</t>
  </si>
  <si>
    <t>Effect on Deferral and Variance Account Rate Riders</t>
  </si>
  <si>
    <t>Closing balance in deferral account</t>
  </si>
  <si>
    <t>Return on Rate Base Associated with deferred PP&amp;E balance at WACC  - Note 2</t>
  </si>
  <si>
    <t># of years of rate rider disposition period</t>
  </si>
  <si>
    <t xml:space="preserve">     Amount included in Deferral and Variance Account Rate Rider Calculation</t>
  </si>
  <si>
    <t>2 Return on rate base associated with deferred balance is calculated as:</t>
  </si>
  <si>
    <t xml:space="preserve">     the deferral account opening balance as of 2014 rebasing year x WACC X # of years of rate rider disposition period</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</si>
  <si>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</si>
  <si>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</si>
  <si>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</si>
  <si>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</si>
  <si>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</si>
  <si>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 xml:space="preserve">     the variance account opening balance as of 2014 rebasing year x WACC X # of years of rate rider disposition period</t>
  </si>
  <si>
    <t>3  Account 1576 is cleared by including the total balance in the deferral and variance account rate rider calculation.</t>
  </si>
  <si>
    <t>Appendix 2-CA: 2011 Depreciation and Amortization Expense (CGAAP)</t>
  </si>
  <si>
    <t>App.2-BA1_Fix Asset Cont.CGAAP</t>
  </si>
  <si>
    <t>App.2-BA2_Fix Asset Cont.MIFRS</t>
  </si>
  <si>
    <t>Appendix 2-BA1: Fixed Asset Continuity Schedule (CGAAP/ASPE/USGAAP)</t>
  </si>
  <si>
    <t>Appendix 2-BA2: Fixed Asset Continuity Schedule (MIFRS)</t>
  </si>
  <si>
    <t>App.2-Z: Tariff Schedule</t>
  </si>
  <si>
    <t>Did you update your depreciation and capitalization policies?</t>
  </si>
  <si>
    <t>When did you update your depreciation and capitalization policies?</t>
  </si>
  <si>
    <t>Management (including executive)</t>
  </si>
  <si>
    <t>Non-Management (union and non-union)</t>
  </si>
  <si>
    <t>Total Salary and Wages including ovetime and incentive pay</t>
  </si>
  <si>
    <r>
      <t>1</t>
    </r>
    <r>
      <rPr>
        <b/>
        <sz val="10"/>
        <rFont val="Arial"/>
        <family val="2"/>
      </rPr>
      <t xml:space="preserve"> If an applicant wishes to use headcount, it must also file the same schedule on an FTE basis.</t>
    </r>
  </si>
  <si>
    <t>ASPE</t>
  </si>
  <si>
    <t>Appendix 2-FA: Renewable Generation Connection Investment Summary</t>
  </si>
  <si>
    <t>Appendix 2-FB: Calculation of Renewable Generation Connection Direct Benefits/Provincial Amount: Renewable Enabling Improvement Investments</t>
  </si>
  <si>
    <t>Appendix 2-FC: Calculation of Renewable Generation Connection Direct Benefits/Provincial Amount: Renewable Expansion Investments</t>
  </si>
  <si>
    <t>App.2-FC Calc of REG Expansion</t>
  </si>
  <si>
    <t>App.2-FB Calc of REG Improvemnt</t>
  </si>
  <si>
    <t>To unhide all worksheets in this workbook, press the following button:</t>
  </si>
  <si>
    <t>Once all selections have been made above, press the following button to reveal the appropriate worksheets.</t>
  </si>
  <si>
    <t>RESIDENTIAL Service Classification</t>
  </si>
  <si>
    <t>APPLICATION</t>
  </si>
  <si>
    <t>MONTHLY RATES AND CHARGES - Regulatory Component</t>
  </si>
  <si>
    <t>Wholesale Market Service Rate</t>
  </si>
  <si>
    <t>Rural Rate Protection Charge</t>
  </si>
  <si>
    <t>Standard Supply Service - Administrative Charge (if applicable)</t>
  </si>
  <si>
    <t>ALLOWANCES</t>
  </si>
  <si>
    <t>Transformer Allowance for Ownership - per kW of billing demand/month</t>
  </si>
  <si>
    <t>Primary Metering Allowance for transformer losses – applied to measured demand and energy</t>
  </si>
  <si>
    <t>SPECIFIC SERVICE CHARGES</t>
  </si>
  <si>
    <t>Customer Administration</t>
  </si>
  <si>
    <t>Non-Payment of Account</t>
  </si>
  <si>
    <t>RETAIL SERVICE CHARGES (if applicable)</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</si>
  <si>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</si>
  <si>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</si>
  <si>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</si>
  <si>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</si>
  <si>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</si>
  <si>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</si>
  <si>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</si>
  <si>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</si>
  <si>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</si>
  <si>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</si>
  <si>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</si>
  <si>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</si>
  <si>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</si>
  <si>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</si>
  <si>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</si>
  <si>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</si>
  <si>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</si>
  <si>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</si>
  <si>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TARIFF OF RATES AND CHARGES</t>
  </si>
  <si>
    <t>This schedule supersedes and replaces all previously</t>
  </si>
  <si>
    <t>approved schedules of Rates, Charges and Loss Factors</t>
  </si>
  <si>
    <t>OM&amp;A Programs Table</t>
  </si>
  <si>
    <t>Programs</t>
  </si>
  <si>
    <t>Select the appropriate rate classes as they appear on your most recent Board-Approved Tariff of Rates and Charges, including the MicroFit Class.</t>
  </si>
  <si>
    <t>How many classes are listed on your most recent Board-Approved Tariff of Rates and Charges?</t>
  </si>
  <si>
    <t>Rate Class Classification</t>
  </si>
  <si>
    <t>DISTRIBUTED GENERATION [DGEN]</t>
  </si>
  <si>
    <t>Embedded Distributor</t>
  </si>
  <si>
    <t>Units</t>
  </si>
  <si>
    <t>Units1</t>
  </si>
  <si>
    <t>Units2</t>
  </si>
  <si>
    <t>Account History</t>
  </si>
  <si>
    <t>Account set up charge/change of occupancy charge (plus credit agency costs if applicable)</t>
  </si>
  <si>
    <t>Total Loss Factor – Embedded Distributor – Hydro One Networks Inc.</t>
  </si>
  <si>
    <t>Sub-Total:  Delivery (Distribution and Retail Transmission)</t>
  </si>
  <si>
    <t>EMBEDDED DISTRIBUTOR</t>
  </si>
  <si>
    <t>General Service 3,000 to 4,999 kW</t>
  </si>
  <si>
    <t>Distribution Volumetric Rate - $/kW of contracted amount</t>
  </si>
  <si>
    <t>Total Loss Factor – Primary Metered Customer</t>
  </si>
  <si>
    <t>$/kWh</t>
  </si>
  <si>
    <t>Account set up charge/change of occupancy charge</t>
  </si>
  <si>
    <t>Administrative Billing Charge</t>
  </si>
  <si>
    <t xml:space="preserve">Wholesale Market Service Rate </t>
  </si>
  <si>
    <t>General Service 1,000 to 4,999 kW</t>
  </si>
  <si>
    <t>Distribution Wheeling Service Rate</t>
  </si>
  <si>
    <t>Total Loss Factor – Primary Metered Customer &lt; 5,000 kW</t>
  </si>
  <si>
    <t>$/kW</t>
  </si>
  <si>
    <t>MSC</t>
  </si>
  <si>
    <t>Account set up charge/change of occupancy charge (plus credit agency costs if applicable – Residential)</t>
  </si>
  <si>
    <t>Bell Canada Pole Rentals</t>
  </si>
  <si>
    <t xml:space="preserve">Attawapiskat Power Corp. </t>
  </si>
  <si>
    <t>FARMS - SINGLE PHASE ENERGY-BILLED [F1]</t>
  </si>
  <si>
    <t>General Service Equal To Or Greater Than 1,500 kW - Interval Metered</t>
  </si>
  <si>
    <t>General Service 1,500 to 4,999 kW customer</t>
  </si>
  <si>
    <t>Total Loss Factor – Primary Metered Customer &gt; 5,000 kW</t>
  </si>
  <si>
    <t>$/kVA</t>
  </si>
  <si>
    <t>SM_Rate_Adder</t>
  </si>
  <si>
    <t>Clearance Pole Attachment charge $/pole/year</t>
  </si>
  <si>
    <t>Bluewater Power Distribution Corporation</t>
  </si>
  <si>
    <t>Standard Supply Service – Administration Charge (if applicable)</t>
  </si>
  <si>
    <t>FARMS - THREE PHASE ENERGY-BILLED [F3]</t>
  </si>
  <si>
    <t>General Service 50 to 1,499 kW customer</t>
  </si>
  <si>
    <t>Total Loss Factor – Secondary Metered Customer</t>
  </si>
  <si>
    <t>MSC_Rate_Rider_</t>
  </si>
  <si>
    <t>Arrears certificate</t>
  </si>
  <si>
    <t>Collection of account charge – no disconnection</t>
  </si>
  <si>
    <t>Brant County Power Inc.</t>
  </si>
  <si>
    <t>Sub-Total:  Regulatory</t>
  </si>
  <si>
    <t>GENERAL SERVICE - COMMERCIAL</t>
  </si>
  <si>
    <t>General Service Large Use customer</t>
  </si>
  <si>
    <t>VC</t>
  </si>
  <si>
    <t>Arrears certificate (credit reference)</t>
  </si>
  <si>
    <t>Collection of account charge – no disconnection – after regular hours</t>
  </si>
  <si>
    <t>GENERAL SERVICE - INSTITUTIONAL</t>
  </si>
  <si>
    <t>Green Energy Act Plan Funding Adder - effective April 1, 2013 until March 31, 2014</t>
  </si>
  <si>
    <t>GENERAL SERVICE 1,000 TO 2,999 KW</t>
  </si>
  <si>
    <t>Green Energy Act Plan Funding Adder - effective until March 31, 2013</t>
  </si>
  <si>
    <t>Total Loss Factor – Secondary Metered Customer &gt; 5,000 kW</t>
  </si>
  <si>
    <t>VC_Rate_Rider_</t>
  </si>
  <si>
    <t>Charge to certify cheque</t>
  </si>
  <si>
    <t>Collection of account charge – no disconnection - during regular business hours</t>
  </si>
  <si>
    <t>Cambridge and North Dumfries Hydro Inc.</t>
  </si>
  <si>
    <t>Total Bill on RPP (before taxes)</t>
  </si>
  <si>
    <t>GENERAL SERVICE 1,000 TO 4,999 KW - INTERVAL METERS</t>
  </si>
  <si>
    <t>Distribution Loss Factor - Secondary Metered Customer &lt; 5,000 kW</t>
  </si>
  <si>
    <t>VC_GA_Rate_Rider_kW_</t>
  </si>
  <si>
    <t>Collection of Account Charge – No Disconnection</t>
  </si>
  <si>
    <t>Collection of account charge – no disconnection – during regular hours</t>
  </si>
  <si>
    <t>Canadian Niagara Power Inc.</t>
  </si>
  <si>
    <t>Canadian Niagara Power Inc. - Eastern Ontario Power</t>
  </si>
  <si>
    <t>GENERAL SERVICE 1,000 TO 4,999 KW (CO-GENERATION)</t>
  </si>
  <si>
    <t>Low Voltage Service Rate</t>
  </si>
  <si>
    <t>Distribution Loss Factor - Secondary Metered Customer &gt; 5,000 kW</t>
  </si>
  <si>
    <t>VC_LV_Rate</t>
  </si>
  <si>
    <t>Credit Card Convenience Charge</t>
  </si>
  <si>
    <t>Collection/Disconnection/Load Limiter/Reconnection – if in Community</t>
  </si>
  <si>
    <t>Canadian Niagara Power Inc. - Fort Erie</t>
  </si>
  <si>
    <t>Total Bill (including HST)</t>
  </si>
  <si>
    <t>GENERAL SERVICE 1,000 TO 4,999 KW</t>
  </si>
  <si>
    <t>Low Voltage Volumetric Rate</t>
  </si>
  <si>
    <t>Distribution Loss Factor - Primary Metered Customer &lt; 5,000 kW</t>
  </si>
  <si>
    <t>RTSR_Network</t>
  </si>
  <si>
    <t>Credit check (plus credit agency costs)</t>
  </si>
  <si>
    <t>Canadian Niagara Power Inc. - Port Colborne Hydro Inc.</t>
  </si>
  <si>
    <t>Ontario Clean Energy Benefit (OCEB)</t>
  </si>
  <si>
    <t>GENERAL SERVICE 1,500 TO 4,999 KW</t>
  </si>
  <si>
    <t>Mechanism (SSM) Recovery (2012) - effective until April 30, 2014</t>
  </si>
  <si>
    <t>Distribution Loss Factor - Primary Metered Customer &gt; 5,000 kW</t>
  </si>
  <si>
    <t>RTSR_Connection</t>
  </si>
  <si>
    <t>Credit reference Letter</t>
  </si>
  <si>
    <t>Disconnect/Reconnect at meter – after regular hours</t>
  </si>
  <si>
    <t>Clinton Power Corporation</t>
  </si>
  <si>
    <t>GENERAL SERVICE 2,500 TO 4,999 KW</t>
  </si>
  <si>
    <t>Minimum Distribution Charge - per KW of maximum billing demand in the previous 11 months</t>
  </si>
  <si>
    <t>COLLUS Power Corporation</t>
  </si>
  <si>
    <t>GENERAL SERVICE 3,000 TO 4,999 KW - INTERMEDIATE USE</t>
  </si>
  <si>
    <t>Monthly Distribution Wheeling Service Rate - Dedicated LV Line</t>
  </si>
  <si>
    <t>Total Loss Factor - Embedded Distributor</t>
  </si>
  <si>
    <t>RTSR_Network_Interval</t>
  </si>
  <si>
    <t>Credit reference/credit check (plus credit agency costs – General Service)</t>
  </si>
  <si>
    <t>Disconnect/Reconnect at meter – during regular hours</t>
  </si>
  <si>
    <t>Total Bill on TOU (before taxes)</t>
  </si>
  <si>
    <t>GENERAL SERVICE 3,000 TO 4,999 KW - INTERVAL METERED</t>
  </si>
  <si>
    <t>Monthly Distribution Wheeling Service Rate - Hydro One Networks</t>
  </si>
  <si>
    <t>RTSR_Connection_Interval</t>
  </si>
  <si>
    <t>Credit Reference/credit check (plus credit agency costs)</t>
  </si>
  <si>
    <t>Disconnect/Reconnect at pole – after regular hours</t>
  </si>
  <si>
    <t>GENERAL SERVICE 3,000 TO 4,999 KW - TIME OF USE</t>
  </si>
  <si>
    <t>Monthly Distribution Wheeling Service Rate - Shared LV Line</t>
  </si>
  <si>
    <t>RTSR_Network_Interval_GR1000kW</t>
  </si>
  <si>
    <t>Dispute Test – Commercial self contained -- MC</t>
  </si>
  <si>
    <t>Disconnect/Reconnect at pole – during regular hours</t>
  </si>
  <si>
    <t>GENERAL SERVICE 3,000 TO 4,999 KW</t>
  </si>
  <si>
    <t>Monthly Distribution Wheeling Service Rate - Waterloo North Hydro</t>
  </si>
  <si>
    <t>RTSR_Connection_Interval_GR1000kW</t>
  </si>
  <si>
    <t>Dispute Test – Commercial TT -- MC</t>
  </si>
  <si>
    <t>Disconnect/Reconnect Charge – At Meter – After Hours</t>
  </si>
  <si>
    <t>GENERAL SERVICE 50 TO 1,000 KW - INTERVAL METERS</t>
  </si>
  <si>
    <t>Rate Rider for Application of Tax Change - effective until April 30, 2014</t>
  </si>
  <si>
    <t>RTSR_Line_Connection</t>
  </si>
  <si>
    <t>Dispute Test – Residential</t>
  </si>
  <si>
    <t>Disconnect/Reconnect Charge – At Meter – During Regular Hours</t>
  </si>
  <si>
    <t>GENERAL SERVICE 50 TO 1,000 KW - NON INTERVAL METERS</t>
  </si>
  <si>
    <t>Rate Rider for Application of Tax Change - effective until December 31, 2013</t>
  </si>
  <si>
    <t>RTSR_Transformer_Connection</t>
  </si>
  <si>
    <t>Duplicate Invoices for previous billing</t>
  </si>
  <si>
    <t>Disconnect/Reconnect Charge – At Pole – After Hours</t>
  </si>
  <si>
    <t>Erie Thames Powerlines Corporation</t>
  </si>
  <si>
    <t>Entegrus Powerlines Inc. - Chatham-Kent</t>
  </si>
  <si>
    <t>GENERAL SERVICE 50 TO 1,000 KW</t>
  </si>
  <si>
    <t>Rate Rider for Application of Tax Change - Hydro One Networks - effective until April 30, 2014</t>
  </si>
  <si>
    <t>WMSR</t>
  </si>
  <si>
    <t>Easement Letter</t>
  </si>
  <si>
    <t>Disconnect/Reconnect Charge – At Pole – During Regular Hours</t>
  </si>
  <si>
    <t>Entegrus Powerlines Inc. - Dutton</t>
  </si>
  <si>
    <t>GENERAL SERVICE 50 TO 1,499 KW - INTERVAL METERED</t>
  </si>
  <si>
    <t>Rate Rider for Application of Tax Change - Waterloo North Hydro - effective until April 30, 2014</t>
  </si>
  <si>
    <t>RRRP</t>
  </si>
  <si>
    <t>Income Tax Letter</t>
  </si>
  <si>
    <t>Disconnect/Reconnect Charges for non payment of account - At Meter After Hours</t>
  </si>
  <si>
    <t>Entegrus Powerlines Inc. - Newbury</t>
  </si>
  <si>
    <t>GENERAL SERVICE 50 TO 1,499 KW</t>
  </si>
  <si>
    <t>Rate Rider for Application of Tax Change (2013) - effective until April 30, 2014</t>
  </si>
  <si>
    <t>SPC</t>
  </si>
  <si>
    <t>Interval Meter Interrogation</t>
  </si>
  <si>
    <t>Disconnect/Reconnect charges for non payment of account – at meter after regular hours</t>
  </si>
  <si>
    <t>Entegrus Powerlines Inc. - Strathroy, Mounth Brydges &amp; Parkhill</t>
  </si>
  <si>
    <t>GENERAL SERVICE 50 TO 2,499 KW</t>
  </si>
  <si>
    <t>Rate Rider for Application of Tax Change (per connection) - effective until April 30, 2014</t>
  </si>
  <si>
    <t>DRC</t>
  </si>
  <si>
    <t>Interval meter request change</t>
  </si>
  <si>
    <t>Disconnect/Reconnect Charges for non payment of account - At Meter During Regular Hours</t>
  </si>
  <si>
    <t>GENERAL SERVICE 50 TO 2,999 KW - INTERVAL METERED</t>
  </si>
  <si>
    <t>Rate Rider for Application of Tax Change Dedicated LV Line - effective until April 30, 2014</t>
  </si>
  <si>
    <t>SSS</t>
  </si>
  <si>
    <t>Legal letter</t>
  </si>
  <si>
    <t>Disconnect/Reconnect charges for non payment of account – at meter during regular hours</t>
  </si>
  <si>
    <t>GENERAL SERVICE 50 TO 2,999 KW - TIME OF USE</t>
  </si>
  <si>
    <t>Rate Rider for Application of Tax Change Shared LV Line - effective until April 30, 2014</t>
  </si>
  <si>
    <t>SFLF</t>
  </si>
  <si>
    <t>Legal letter charge</t>
  </si>
  <si>
    <t>Disconnect/Reconnect charges for non payment of account – at pole after regular hours</t>
  </si>
  <si>
    <t>GENERAL SERVICE 50 TO 2,999 KW</t>
  </si>
  <si>
    <t>January</t>
  </si>
  <si>
    <t>Rate Rider for Deferral/Variance Account (2012) - effective unitl April 30, 2016</t>
  </si>
  <si>
    <t>DLF_Secondary_LT_5000kW</t>
  </si>
  <si>
    <t>Meter dispute charge plus Measurement Canada fees (if meter found correct)</t>
  </si>
  <si>
    <t>Disconnect/Reconnect charges for non payment of account – at pole during regular hours</t>
  </si>
  <si>
    <t>GENERAL SERVICE 50 TO 4,999 KW - INTERVAL METERED</t>
  </si>
  <si>
    <t>February</t>
  </si>
  <si>
    <t>Rate Rider for Deferral/Variance Account Disposition (2012) - effective until April 30, 2016</t>
  </si>
  <si>
    <t>DLF_Secondary_GT_5000kW</t>
  </si>
  <si>
    <t>Notification charge</t>
  </si>
  <si>
    <t>Disconnect/Reconnection for &gt;300 volts - after regular hours</t>
  </si>
  <si>
    <t>GENERAL SERVICE 50 TO 4,999 KW - TIME OF USE</t>
  </si>
  <si>
    <t>March</t>
  </si>
  <si>
    <t>Rate Rider for Deferral/Variance Account Disposition (2013) - effective until April 30, 2014</t>
  </si>
  <si>
    <t>DLF_Primary_LT_5000kW</t>
  </si>
  <si>
    <t>Pulling Post Dated Cheques</t>
  </si>
  <si>
    <t>Disconnect/Reconnection for &gt;300 volts - during regular hours</t>
  </si>
  <si>
    <t>Festival Hydro Inc. - Hensall</t>
  </si>
  <si>
    <t>GENERAL SERVICE 50 TO 4,999 KW (COGENERATION)</t>
  </si>
  <si>
    <t>April</t>
  </si>
  <si>
    <t>Rate Rider for Deferral/Variance Account Dispositon (2012) - effective until April 30, 2016</t>
  </si>
  <si>
    <t>DLF_Primary_GT_5000kW</t>
  </si>
  <si>
    <t>Request for other billing information</t>
  </si>
  <si>
    <t>Disposal of Concrete Poles</t>
  </si>
  <si>
    <t>GENERAL SERVICE 50 TO 4,999 KW (FORMERLY TIME OF USE)</t>
  </si>
  <si>
    <t>May</t>
  </si>
  <si>
    <t>Rate Rider for Disposition of Capital Gain - effective until April 30, 2014</t>
  </si>
  <si>
    <t>TLF_Secondary_LT_5000kW</t>
  </si>
  <si>
    <t>Returned cheque (plus bank charges)</t>
  </si>
  <si>
    <t>Hearst Power Distribution Company Limited</t>
  </si>
  <si>
    <t>GENERAL SERVICE 50 TO 4,999 KW</t>
  </si>
  <si>
    <t>June</t>
  </si>
  <si>
    <t>Rate Rider for Disposition of Deferral/Variance Accounts - effective until August 31, 2013</t>
  </si>
  <si>
    <t>TLF_Secondary_GT_5000kW</t>
  </si>
  <si>
    <t>Returned cheque charge (plus bank charges)</t>
  </si>
  <si>
    <t>Install/Remove load control device – after regular hours</t>
  </si>
  <si>
    <t>GENERAL SERVICE 50 TO 499 KW</t>
  </si>
  <si>
    <t>July</t>
  </si>
  <si>
    <t>Rate Rider for Disposition of Deferral/Variance Accounts (2010) - effective until April 30, 2014</t>
  </si>
  <si>
    <t>TLF_Primary_LT_5000kW</t>
  </si>
  <si>
    <t>Special Billing Service (aggregation)</t>
  </si>
  <si>
    <t>Install/Remove load control device – during regular hours</t>
  </si>
  <si>
    <t>GENERAL SERVICE 50 TO 699 KW</t>
  </si>
  <si>
    <t>August</t>
  </si>
  <si>
    <t>Rate Rider for Disposition of Deferral/Variance Accounts (2011) - effective until April 30, 2014</t>
  </si>
  <si>
    <t>TLF_Primary_GT_5000kW</t>
  </si>
  <si>
    <t>Special Billing Service (sub-metering charge per meter)</t>
  </si>
  <si>
    <t>GENERAL SERVICE 50 TO 999 KW - INTERVAL METERED</t>
  </si>
  <si>
    <t>September</t>
  </si>
  <si>
    <t>Rate Rider for Disposition of Deferral/Variance Accounts (2011) - effective until April 30, 2015</t>
  </si>
  <si>
    <t>TLF_EmbeddedDistributor</t>
  </si>
  <si>
    <t>Special meter reads</t>
  </si>
  <si>
    <t>Interval Meter Load Management Tool Charge $/month</t>
  </si>
  <si>
    <t>GENERAL SERVICE 50 TO 999 KW</t>
  </si>
  <si>
    <t>October</t>
  </si>
  <si>
    <t>Rate Rider for Disposition of Deferral/Variance Accounts (2011) - effective until April 30, 2016</t>
  </si>
  <si>
    <t>Statement of Account</t>
  </si>
  <si>
    <t>GENERAL SERVICE 500 TO 4,999 KW</t>
  </si>
  <si>
    <t>November</t>
  </si>
  <si>
    <t>Rate Rider for Disposition of Deferral/Variance Accounts (2012) - effective until April 30, 2014</t>
  </si>
  <si>
    <t>Unprocessed Payment Charge (plus bank charges)</t>
  </si>
  <si>
    <t>Late Payment – per annum</t>
  </si>
  <si>
    <t>GENERAL SERVICE 700 TO 4,999 KW</t>
  </si>
  <si>
    <t>December</t>
  </si>
  <si>
    <t>Rate Rider for Disposition of Deferral/Variance Accounts (2012) - effective until April 30, 2015</t>
  </si>
  <si>
    <t>Late Payment – per month</t>
  </si>
  <si>
    <t>Innisfil Hydro Distribution Systems Limited</t>
  </si>
  <si>
    <t>GENERAL SERVICE DEMAND BILLED (50 KW AND ABOVE) [GSD]</t>
  </si>
  <si>
    <t>Rate Rider for Disposition of Deferral/Variance Accounts (2012) - effective until April 30, 2016</t>
  </si>
  <si>
    <t>Layout fees</t>
  </si>
  <si>
    <t>GENERAL SERVICE ENERGY BILLED (LESS THAN 50 KW) [GSE-METERED]</t>
  </si>
  <si>
    <t>Rate Rider for Disposition of Deferral/Variance Accounts (2012) - effective until December 31, 2013</t>
  </si>
  <si>
    <t>GENERAL SERVICE ENERGY BILLED (LESS THAN TO 50 KW) [GSE-UNMETERED]</t>
  </si>
  <si>
    <t>Rate Rider for Disposition of Deferral/Variance Accounts (2012) - effective until December 31, 2013 Applicable in the service area excluding the former service area of Clinton Power</t>
  </si>
  <si>
    <t>Meter Interrogation Charge</t>
  </si>
  <si>
    <t>GENERAL SERVICE EQUAL TO OR GREATER THAN 1,500 KW - INTERVAL METERED</t>
  </si>
  <si>
    <t>Rate Rider for Disposition of Deferral/Variance Accounts (2012) - effective until December 31, 2013 Applicable in the service area excluding the former service areas of Clinton Power and 
West Perth Power</t>
  </si>
  <si>
    <t>Missed Service Appointment</t>
  </si>
  <si>
    <t>GENERAL SERVICE EQUAL TO OR GREATER THAN 1,500 KW</t>
  </si>
  <si>
    <t>Rate Rider for Disposition of Deferral/Variance Accounts (2012) - effective until December 31, 2013 Applicable only in the former service area of West Perth Power</t>
  </si>
  <si>
    <t>Norfolk Pole Rentals – Billed</t>
  </si>
  <si>
    <t>GENERAL SERVICE GREATER THAN 1,000 KW</t>
  </si>
  <si>
    <t>Rate Rider for Disposition of Deferral/Variance Accounts (2012) - effective until December 31, 2015</t>
  </si>
  <si>
    <t>Optional Interval/TOU Meter charge $/month</t>
  </si>
  <si>
    <t>GENERAL SERVICE INTERMEDIATE 1,000 TO 4,999 KW</t>
  </si>
  <si>
    <t>Rate Rider for Disposition of Deferral/Variance Accounts (2012) - effective until December 31, 2016 Applicable only in the former service area of Clinton Power</t>
  </si>
  <si>
    <t>Overtime Locate</t>
  </si>
  <si>
    <t>GENERAL SERVICE INTERMEDIATE RATE CLASS 1,000 TO 4,999 KW (FORMERLY GENERAL SERVICE &gt; 50 KW CUSTOMERS)</t>
  </si>
  <si>
    <t>Rate Rider for Disposition of Deferral/Variance Accounts (2012) - effective until February 28, 2013</t>
  </si>
  <si>
    <t>Owner Requested Disconnection/Reconnection – after regular hours</t>
  </si>
  <si>
    <t>GENERAL SERVICE INTERMEDIATE RATE CLASS 1,000 TO 4,999 KW (FORMERLY LARGE USE CUSTOMERS)</t>
  </si>
  <si>
    <t>Rate Rider for Disposition of Deferral/Variance Accounts (2012) - effective until June 30, 2014</t>
  </si>
  <si>
    <t>Owner Requested Disconnection/Reconnection – during regular hours</t>
  </si>
  <si>
    <t>Milton Hydro Distribution inc.</t>
  </si>
  <si>
    <t>GENERAL SERVICE LESS THAN 50 KW - SINGLE PHASE ENERGY-BILLED [G1]</t>
  </si>
  <si>
    <t>Rate Rider for Disposition of Deferral/Variance Accounts (2012) - effective until March 31, 2013</t>
  </si>
  <si>
    <t>Newmarket - Tay Power Distribution Ltd.</t>
  </si>
  <si>
    <t>GENERAL SERVICE LESS THAN 50 KW - THREE PHASE ENERGY-BILLED [G3]</t>
  </si>
  <si>
    <t>Rate Rider for Disposition of Deferral/Variance Accounts (2012) - effective until October 31, 2013</t>
  </si>
  <si>
    <t>Rural system expansion / line connection fee</t>
  </si>
  <si>
    <t>GENERAL SERVICE LESS THAN 50 KW - TRANSMISSION CLASS ENERGY-BILLED [T]</t>
  </si>
  <si>
    <t>Rate Rider for Disposition of Deferral/Variance Accounts (2013) - effective until April 30, 2014</t>
  </si>
  <si>
    <t>Same Day Open Trench</t>
  </si>
  <si>
    <t>GENERAL SERVICE LESS THAN 50 KW - URBAN ENERGY-BILLED [UG]</t>
  </si>
  <si>
    <t>Rate Rider for Disposition of Deferral/Variance Accounts (2013) - effective until April 30, 2015</t>
  </si>
  <si>
    <t>Scheduled Day Open Trench</t>
  </si>
  <si>
    <t>Norfolk Power Distribution Inc.</t>
  </si>
  <si>
    <t>GENERAL SERVICE LESS THAN 50 KW</t>
  </si>
  <si>
    <t>Rate Rider for Disposition of Deferral/Variance Accounts (2013) - effective until April 30, 2017</t>
  </si>
  <si>
    <t>Service call – after regular hours</t>
  </si>
  <si>
    <t>GENERAL SERVICE SINGLE PHASE - G1</t>
  </si>
  <si>
    <t>Rate Rider for Disposition of Deferral/Variance Accounts (2013) - effective until December 31, 2013</t>
  </si>
  <si>
    <t>Service call – customer owned equipment</t>
  </si>
  <si>
    <t>GENERAL SERVICE THREE PHASE - G3</t>
  </si>
  <si>
    <t>Rate Rider for Disposition of Deferred PILs Variance Account 1562 - effective until April 30, 2014</t>
  </si>
  <si>
    <t>Service Call – Customer-owned Equipment – After Regular Hours</t>
  </si>
  <si>
    <t>Oakville Hydro Electricity Distribution Inc.</t>
  </si>
  <si>
    <t>Newmarket - Tay Power Distribution Ltd. - Newmarket</t>
  </si>
  <si>
    <t>INTERMEDIATE USERS</t>
  </si>
  <si>
    <t>Rate Rider for Disposition of Deferred PILs Variance Account 1562 - effective until December 31, 2013</t>
  </si>
  <si>
    <t>Service Call – Customer-owned Equipment – During Regular Hours</t>
  </si>
  <si>
    <t>Newmarket - Tay Power Distribution Ltd. - Tay</t>
  </si>
  <si>
    <t>INTERMEDIATE WITH SELF GENERATION</t>
  </si>
  <si>
    <t>Rate Rider for Disposition of Deferred PILs Variance Account 1562 - effective until March 31, 2016</t>
  </si>
  <si>
    <t>Service Charge for onsite interrogation of interval meter due to customer phone line failure - required weekly until line repaired $ 6</t>
  </si>
  <si>
    <t>Orillia Power Distribution Corporation</t>
  </si>
  <si>
    <t>Niagara Peninsula Energy Inc. - Niagara Falls</t>
  </si>
  <si>
    <t>LARGE USE - 3TS</t>
  </si>
  <si>
    <t>Rate Rider for Disposition of Deferred PILs Variance Account 1562 - effective until November 30, 2013</t>
  </si>
  <si>
    <t>Service Layout - Commercial</t>
  </si>
  <si>
    <t>Niagara Peninsula Energy Inc. - Peninsula West</t>
  </si>
  <si>
    <t>LARGE USE - FORD ANNEX</t>
  </si>
  <si>
    <t>Rate Rider for Disposition of Deferred PILs Variance Account 1562 - effective until October 31, 2013</t>
  </si>
  <si>
    <t>Service Layout - ResidentiaI</t>
  </si>
  <si>
    <t>LARGE USE - REGULAR</t>
  </si>
  <si>
    <t>Rate Rider for Disposition of Deferred PILs Variance Account 1562 (2012) - effective until April 30, 2015</t>
  </si>
  <si>
    <t>LARGE USE &gt; 5000 KW</t>
  </si>
  <si>
    <t>Rate Rider for Disposition of Deferred PILs Variance Account 1562 (per connection) (2012) - effective until April 30, 2015</t>
  </si>
  <si>
    <t>Peterborough Distribution Incorporated</t>
  </si>
  <si>
    <t>LARGE USE</t>
  </si>
  <si>
    <t>Rate Rider for Disposition of Global Adjustment Sub-Account - effective until November 30, 2013 
 Applicable only for Non-RPP Customers</t>
  </si>
  <si>
    <t>Specific Charge for Access to the Power Poles - $/pole/year</t>
  </si>
  <si>
    <t>microFIT</t>
  </si>
  <si>
    <t>Rate Rider for Disposition of Global Adjustment Sub-Account - effective until November 30, 2013 Applicable only for Non-RPP Customers</t>
  </si>
  <si>
    <t>Specific Charge for Bell Canada Access to the Power Poles – per pole/year</t>
  </si>
  <si>
    <t>RESIDENTIAL - HENSALL</t>
  </si>
  <si>
    <t>Rate Rider for Disposition of Global Adjustment Sub-Account (2010) - effective until April 30, 2014 Applicable only for Non-RPP Customers</t>
  </si>
  <si>
    <t>Switching for company maintenance – Charge based on Time and Materials</t>
  </si>
  <si>
    <t>RESIDENTIAL - HIGH DENSITY [R1]</t>
  </si>
  <si>
    <t>Rate Rider for Disposition of Global Adjustment Sub-Account (2011) - effective until April 30, 2014 Applicable only for Non-RPP Customers</t>
  </si>
  <si>
    <t>Temporary Service – Install &amp; remove – overhead – no transformer</t>
  </si>
  <si>
    <t>RESIDENTIAL - LOW DENSITY [R2]</t>
  </si>
  <si>
    <t>Rate Rider for Disposition of Global Adjustment Sub-Account (2011) - effective until April 30, 2015 Applicable only for Non-RPP Customers</t>
  </si>
  <si>
    <t>Temporary Service – Install &amp; remove – overhead – with transformer</t>
  </si>
  <si>
    <t>RESIDENTIAL - MEDIUM DENSITY [R1]</t>
  </si>
  <si>
    <t>Rate Rider for Disposition of Global Adjustment Sub-Account (2011) - effective until April 30, 2016 Applicable only for Non-RPP Customers</t>
  </si>
  <si>
    <t>Temporary Service – Install &amp; remove – underground – no transformer</t>
  </si>
  <si>
    <t>RESIDENTIAL - NORMAL DENSITY [R2]</t>
  </si>
  <si>
    <t>Rate Rider for Disposition of Global Adjustment Sub-Account (2012) - effective until April 30, 2014 Applicable only for Non-RPP Customers</t>
  </si>
  <si>
    <t>Temporary service install &amp; remove – overhead – no transformer</t>
  </si>
  <si>
    <t>Thunder Bay Hydro Electricity Distribution Inc.</t>
  </si>
  <si>
    <t>RESIDENTIAL - TIME OF USE</t>
  </si>
  <si>
    <t>Rate Rider for Disposition of Global Adjustment Sub-Account (2012) - effective until April 30, 2015 Applicable only for Non-RPP Customers</t>
  </si>
  <si>
    <t>Temporary Service Install &amp; Remove – Overhead – With Transformer</t>
  </si>
  <si>
    <t>RESIDENTIAL - URBAN [UR]</t>
  </si>
  <si>
    <t>Rate Rider for Disposition of Global Adjustment Sub-Account (2012) - effective until April 30, 2015 Applicatble only for Non-RPP Customers</t>
  </si>
  <si>
    <t>Temporary Service Install &amp; Remove – Underground – No Transformer</t>
  </si>
  <si>
    <t>PowerStream Inc. - Barrie</t>
  </si>
  <si>
    <t>RESIDENTIAL REGULAR</t>
  </si>
  <si>
    <t>Rate Rider for Disposition of Global Adjustment Sub-Account (2012) - effective until April 30, 2016 Applicable only for Non-RPP Customers</t>
  </si>
  <si>
    <t>Temporary service installation and removal – overhead – no transformer</t>
  </si>
  <si>
    <t>PowerStream Inc. - South</t>
  </si>
  <si>
    <t>RESIDENTIAL</t>
  </si>
  <si>
    <t>Rate Rider for Disposition of Global Adjustment Sub-Account (2012) - effective until December 31, 2013 Applicable only for Non-RPP Customers in the former service area of Clinton Power</t>
  </si>
  <si>
    <t>Temporary service installation and removal – overhead – with transformer</t>
  </si>
  <si>
    <t>RESIDENTIAL SUBURBAN SEASONAL</t>
  </si>
  <si>
    <t>Rate Rider for Disposition of Global Adjustment Sub-Account (2012) - effective until December 31, 2013 Applicable only for Non-RPP Customers in the former service area of West Perth Power</t>
  </si>
  <si>
    <t>Temporary service installation and removal – underground – no transformer</t>
  </si>
  <si>
    <t>RESIDENTIAL SUBURBAN</t>
  </si>
  <si>
    <t>Rate Rider for Disposition of Global Adjustment Sub-Account (2012) - effective until December 31, 2013 Applicable only for Non-RPP Customers in the service area excluding the former service areas of Clinton Power and West Perth Power</t>
  </si>
  <si>
    <t>Welland Hydro-Electric System Corp.</t>
  </si>
  <si>
    <t>RESIDENTIAL SUBURBAN YEAR ROUND</t>
  </si>
  <si>
    <t>Rate Rider for Disposition of Global Adjustment Sub-Account (2012) - effective until February 28, 2013 Applicable only for Non-RPP Customers</t>
  </si>
  <si>
    <t>RESIDENTIAL URBAN</t>
  </si>
  <si>
    <t>Rate Rider for Disposition of Global Adjustment Sub-Account (2012) - effective until June 30, 2014 Applicable only for Non-RPP Customers</t>
  </si>
  <si>
    <t>RESIDENTIAL URBAN YEAR-ROUND</t>
  </si>
  <si>
    <t>Rate Rider for Disposition of Global Adjustment Sub-Account (2012) - effective until March 31, 2013 Applicable only for Non-RPP Customers</t>
  </si>
  <si>
    <t>West Perth Power Inc.</t>
  </si>
  <si>
    <t>SEASONAL RESIDENTIAL - HIGH DENSITY [R3]</t>
  </si>
  <si>
    <t>Rate Rider for Disposition of Global Adjustment Sub-Account (2012) - effective until October 31, 2013 Applicable only for Non-RPP Customers</t>
  </si>
  <si>
    <t>SEASONAL RESIDENTIAL - NORMAL DENSITY [R4]</t>
  </si>
  <si>
    <t>Rate Rider for Disposition of Global Adjustment Sub-Account (2013) - effective until April 30, 2014 Applicable only for Non-RPP Customers</t>
  </si>
  <si>
    <t>SEASONAL RESIDENTIAL</t>
  </si>
  <si>
    <t>Rate Rider for Disposition of Global Adjustment Sub-Account (2013) - effective until April 30, 2015 Applicable only for Non-RPP Customers</t>
  </si>
  <si>
    <t>SENTINEL LIGHTING</t>
  </si>
  <si>
    <t>Rate Rider for Disposition of Global Adjustment Sub-Account (2013) - effective until April 30, 2017 Applicable only for Non-RPP Customers</t>
  </si>
  <si>
    <t>Veridian Connections Inc. - Gravenhurst</t>
  </si>
  <si>
    <t>SMALL COMMERCIAL AND USL - PER CONNECTION</t>
  </si>
  <si>
    <t>Rate Rider for Disposition of Global Adjustment Sub-Account (2013) - effective until December 31, 2013 Applicable only for Non-RPP Customers</t>
  </si>
  <si>
    <t>SMALL COMMERCIAL AND USL - PER METER</t>
  </si>
  <si>
    <t>Rate Rider for Disposition of Post Retirement Actuarial Gain - effective until March 31, 2025</t>
  </si>
  <si>
    <t>STANDARD A GENERAL SERVICE AIR ACCESS</t>
  </si>
  <si>
    <t>Rate Rider for Disposition of Residual Hisotrical Smart Meter Costs - effective until April 30, 2015</t>
  </si>
  <si>
    <t>STANDARD A GENERAL SERVICE ROAD/RAIL</t>
  </si>
  <si>
    <t>Rate Rider for Disposition of Residual Historical Smart Meter Costs - effective until April 30, 2013</t>
  </si>
  <si>
    <t>STANDARD A RESIDENTIAL AIR ACCESS</t>
  </si>
  <si>
    <t>Rate Rider for Disposition of Residual Historical Smart Meter Costs - effective until April 30, 2014</t>
  </si>
  <si>
    <t>STANDARD A RESIDENTIAL ROAD/RAIL</t>
  </si>
  <si>
    <t>Rate Rider for Disposition of Residual Historical Smart Meter Costs - effective until April 30, 2016</t>
  </si>
  <si>
    <t>STANDBY - GENERAL SERVICE 1,000 - 5,000 KW</t>
  </si>
  <si>
    <t>Rate Rider for Disposition of Residual Historical Smart Meter Costs - effective until August 31, 2013</t>
  </si>
  <si>
    <t>STANDBY - GENERAL SERVICE 50 - 1,000 KW</t>
  </si>
  <si>
    <t>Rate Rider for Disposition of Residual Historical Smart Meter Costs - effective until August 31, 2015</t>
  </si>
  <si>
    <t>STANDBY - LARGE USE</t>
  </si>
  <si>
    <t>Rate Rider for Disposition of Residual Historical Smart Meter Costs - effective until December 31, 2013</t>
  </si>
  <si>
    <t>STANDBY DISTRIBUTION SERVICE</t>
  </si>
  <si>
    <t>Rate Rider for Disposition of Residual Historical Smart Meter Costs - effective until December 31, 2014</t>
  </si>
  <si>
    <t>STANDBY POWER - APPROVED ON AN INTERIM BASIS</t>
  </si>
  <si>
    <t>Rate Rider for Disposition of Residual Historical Smart Meter Costs - effective until December 31, 2015</t>
  </si>
  <si>
    <t>STANDBY POWER GENERAL SERVICE 1,500 TO 4,999 KW</t>
  </si>
  <si>
    <t>Rate Rider for Disposition of Residual Historical Smart Meter Costs - effective until March 31, 2013</t>
  </si>
  <si>
    <t>STANDBY POWER GENERAL SERVICE 50 TO 1,499 KW</t>
  </si>
  <si>
    <t>Rate Rider for Disposition of Residual Historical Smart Meter Costs - effective until November 30, 2013</t>
  </si>
  <si>
    <t>STANDBY POWER GENERAL SERVICE LARGE USE</t>
  </si>
  <si>
    <t>Rate Rider for Disposition of Residual Historical Smart Meter Costs - effective until October 31, 2013</t>
  </si>
  <si>
    <t>STANDBY POWER</t>
  </si>
  <si>
    <t>Rate Rider for Disposition of Residual Historical Smart Meter Costs - effective until September 30, 2014</t>
  </si>
  <si>
    <t>STREET LIGHTING</t>
  </si>
  <si>
    <t>Rate Rider for Disposition of Residual Historical Smart Meter Costs - Non-Interval Metered 
 - effective until April 30, 2014</t>
  </si>
  <si>
    <t>SUB TRANSMISSION [ST]</t>
  </si>
  <si>
    <t>Rate Rider for Disposition of Residual Historical Smart Meter Costs 2 - in effect until the effective 
 date of the next cost of service-based rate order</t>
  </si>
  <si>
    <t>UNMETERED SCATTERED LOAD</t>
  </si>
  <si>
    <t>Rate Rider for Disposition of Residual Historical Smart Meter Costs 3 - in effect until the effective 
 date of the next cost of service-based rate order</t>
  </si>
  <si>
    <t>URBAN GENERAL SERVICE DEMAND BILLED (50 KW AND ABOVE) [UGD]</t>
  </si>
  <si>
    <t>Rate Rider for Disposition of Residual Incremental Historical Smart Meter Costs - 
 effective until August 31, 2015</t>
  </si>
  <si>
    <t>URBAN GENERAL SERVICE ENERGY BILLED (LESS THAN 50 KW) [UGE]</t>
  </si>
  <si>
    <t>Rate Rider for Disposition of Stranded Meter Costs - effective until April 30, 2016</t>
  </si>
  <si>
    <t>WESTPORT SEWAGE TREATMENT PLANT</t>
  </si>
  <si>
    <t>Rate Rider for Global Adjustment Sub Account Disposition - effective until April 30, 2016 Applicable only for Non RPP Customers</t>
  </si>
  <si>
    <t>YEAR-ROUND RESIDENTIAL - R2</t>
  </si>
  <si>
    <t>Rate Rider for Incremental Capital (2012) - effective until April 30, 2015</t>
  </si>
  <si>
    <t>Rate Rider for Lost Revenue Adjustment (LRAM) Recovery/Shared Savings Mechanism Recovery 
 (2011) - effective until April 30, 2014</t>
  </si>
  <si>
    <t>Rate Rider for Lost Revenue Adjustment Mechanism Variance Account (LRAMVA) (2011) – effective until April 30, 2014</t>
  </si>
  <si>
    <t>Rate Rider for Lost Revenue Adjustment Mechanism Variance Account (LRAMVA) Recovery 
 (2011 CDM Activities) - effective until April 30, 2014</t>
  </si>
  <si>
    <t>Rate Rider for Recover of Residual Historical Smart Meter Costs - effective until June 30, 2014</t>
  </si>
  <si>
    <t>Rate Rider for Recovery of Deferred Revenue - effective until December 31, 2013</t>
  </si>
  <si>
    <t>Rate Rider for Recovery of Forgone Revenue - effective until April 30, 2014</t>
  </si>
  <si>
    <t>Rate Rider for Recovery of Green Energy Act related costs - effective until December 31, 2013</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</si>
  <si>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</si>
  <si>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</si>
  <si>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Costs</t>
  </si>
  <si>
    <t>Rate Rider for Recovery of Incremental Capital Costs - effective until April 30, 2014</t>
  </si>
  <si>
    <t>Rate Rider for Recovery of Incremental Capital Costs - effective until April 30, 2015</t>
  </si>
  <si>
    <t>Rate Rider for Recovery of Lost Revenue Adjustment Mechanism (LRAM) - effective until April 30, 2014</t>
  </si>
  <si>
    <t>Rate Rider for Recovery of Lost Revenue Adjustment Mechanism (LRAM) - effective until April 30, 2016</t>
  </si>
  <si>
    <t>Rate Rider for Recovery of Lost Revenue Adjustment Mechanism (LRAM) - effective until August 31, 2013</t>
  </si>
  <si>
    <t>Rate Rider for Recovery of Lost Revenue Adjustment Mechanism (LRAM) - effective until December 31, 2013</t>
  </si>
  <si>
    <t>Rate Rider for Recovery of Lost Revenue Adjustment Mechanism (LRAM) - effective until June 30, 2013</t>
  </si>
  <si>
    <t>Rate Rider for Recovery of Lost Revenue Adjustment Mechanism (LRAM) - effective until November 30, 2013</t>
  </si>
  <si>
    <t>Rate Rider for Recovery of Lost Revenue Adjustment Mechanism (LRAM) (2012) - effective until April 30, 2014</t>
  </si>
  <si>
    <t>Rate Rider for Recovery of Lost Revenue Adjustment Mechanism (LRAM) (2012) - effective until February 28, 2013</t>
  </si>
  <si>
    <t>Rate Rider for Recovery of Lost Revenue Adjustment Mechanism (LRAM) (2013) - effective until December 31, 2013</t>
  </si>
  <si>
    <t>Rate Rider for Recovery of Lost Revenue Adjustment Mechanism (LRAM) (pre-2011 CDM Activities) - effective until April 30, 2014</t>
  </si>
  <si>
    <t>Rate Rider for Recovery of Lost Revenue Adjustment Mechanism (LRAM)/Shared Savings</t>
  </si>
  <si>
    <t>Rate Rider for Recovery of Lost Revenue Adjustment Mechanism (LRAM)/Shared Savings Mechanism (SSM) - effective until April 30, 2014</t>
  </si>
  <si>
    <t>Rate Rider for Recovery of Lost Revenue Adjustment Mechanism (LRAM)/Shared Savings Mechanism (SSM) - effective until December 31, 2014 and applicable in the service area excluding the former service area of Clinton Power</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</si>
  <si>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</si>
  <si>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</si>
  <si>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</si>
  <si>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</si>
  <si>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Recovery - effective until April 30, 2014</t>
  </si>
  <si>
    <t>Rate Rider for Recovery of Lost Revenue Adjustment Mechanism (LRAM)/Shared Savings Mechanism (SSM) Recovery - effective until April 30, 2015</t>
  </si>
  <si>
    <t>Rate Rider for Recovery of Lost Revenue Adjustment Mechanism (LRAM)/Shared Savings Mechanism (SSM) Recovery (2010) - effective until April 30, 2014</t>
  </si>
  <si>
    <t>Rate Rider for Recovery of Lost Revenue Adjustment Mechanism (LRAM)/Shared Savings Mechanism (SSM) Recovery (2012) - effective until April 30, 2014</t>
  </si>
  <si>
    <t>Rate Rider for Recovery of Lost Revenue Adjustment Mechanism (LRAM)/Shared Savings Mechanism (SSM) Recovery (2012) - effective until October 31, 2013</t>
  </si>
  <si>
    <t>Rate Rider for Recovery of Residual Historical Smart Meter Costs - effective July 1, 2012 - April 30, 2016</t>
  </si>
  <si>
    <t>Rate Rider for Recovery of Smart Meter Incremental Revenue Requirement - effective until the date of the next cost of service-based rate order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</si>
  <si>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</si>
  <si>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</si>
  <si>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</si>
  <si>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</si>
  <si>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</si>
  <si>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</si>
  <si>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2014</t>
  </si>
  <si>
    <t>Rate Rider for Recovery of Stranded Meter Assets – effective until April 30, 2015</t>
  </si>
  <si>
    <t>Rate Rider for Recovery of Stranded Meter Assets - effective until April 30, 2016</t>
  </si>
  <si>
    <t>Rate Rider for Recovery of Stranded Meter Assets - effective until August 31, 2013</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</si>
  <si>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</si>
  <si>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</si>
  <si>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</si>
  <si>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</si>
  <si>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</si>
  <si>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Recovery of Stranded Meter Assets - effective until November 30, 2013</t>
  </si>
  <si>
    <t>Rate Rider for Reversal of Deferral/Variance Account Disposition (2011) - effective until April 30, 2015</t>
  </si>
  <si>
    <t>Rate Rider for Smart Meter Disposition - effective until October 31, 2013</t>
  </si>
  <si>
    <t>Rate Rider for Smart Meter Incremental Revenue Requirement - in effect until the effective date of the next cost of service-based rate order</t>
  </si>
  <si>
    <t>Rate Rider for Smart Metering Entity Charge - effective until October 31, 2018</t>
  </si>
  <si>
    <t>Rate Rider for the disposition of Deferral/Variance Accounts Disposition (2013) - effective on an interim basis until April 30, 2014</t>
  </si>
  <si>
    <t>Rate Rider for the disposition of Global Adjustment Sub-Account Disposition (2013) - effective on an interim basis until April 30, 2014 Applicable only for Non-RPP Customers</t>
  </si>
  <si>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</si>
  <si>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</si>
  <si>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</si>
  <si>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</si>
  <si>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</si>
  <si>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</si>
  <si>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</si>
  <si>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</si>
  <si>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</si>
  <si>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</si>
  <si>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</si>
  <si>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</si>
  <si>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</si>
  <si>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</si>
  <si>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</si>
  <si>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</si>
  <si>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</si>
  <si>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</si>
  <si>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Service Charge</t>
  </si>
  <si>
    <t>Service Charge (per connection)</t>
  </si>
  <si>
    <t>Service Charge (per customer)</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</si>
  <si>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</si>
  <si>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</si>
  <si>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Once all blue shaded cells above are filled out, press the following button to create your tariff template</t>
  </si>
  <si>
    <t>The application of these rates and charges shall be in accordance with the Licence of the Distributor and any Code or Order of the Board, and amendments thereto as approved by the Board, which may be applicable to the administration of this schedule.</t>
  </si>
  <si>
    <t>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</si>
  <si>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</si>
  <si>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</si>
  <si>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Unless specifically noted, this schedule does not contain any charges for the electricity commodity, be it under the Regulated Price Plan, a contract with a retailer or the wholesale market price, as applicable.</t>
  </si>
  <si>
    <t>Retail Service Charges refer to services provided by a distributor to retailers or customers related to the supply of competitive electricity.</t>
  </si>
  <si>
    <r>
      <t xml:space="preserve">For each class, Applicants are required to copy and paste the class descriptions (located directly under the class name) and the description of the applicability of those rates (description is found under the class name and directly under the word "APPLICATION").  By using the drop-down lists located under the column labeled "Rate Description", please select the descriptions of the rates and charges that BEST MATCHES the descriptions on your most recent Board-Approved Tariff of Rates and Charges. </t>
    </r>
    <r>
      <rPr>
        <b/>
        <sz val="10"/>
        <rFont val="Arial"/>
        <family val="2"/>
      </rPr>
      <t xml:space="preserve"> If the description is not found in the drop-down list,</t>
    </r>
    <r>
      <rPr>
        <sz val="10"/>
        <rFont val="Arial"/>
        <family val="2"/>
      </rPr>
      <t xml:space="preserve"> please enter the description in the green shaded cells under the correct class exactly as it appears on the tariff.   Please do not enter more than one "Service Charge" for each class for which a base monthly fixed charge applies.  All rate rider descriptions should begin with "Rate Rider for...".</t>
    </r>
  </si>
  <si>
    <t>lists</t>
  </si>
  <si>
    <t>Appendix 2-JA: Summary of Recoverable OM&amp;A Expenses</t>
  </si>
  <si>
    <t>Appendix 2-JB: Recoverable OM&amp;A Cost Driver Table</t>
  </si>
  <si>
    <t>Appendix 2-JC: OMA Programs Table</t>
  </si>
  <si>
    <t>App.2-JA_OM&amp;A_Summary_Analys</t>
  </si>
  <si>
    <t>App.2-JB_OM&amp;A_Cost _Drivers</t>
  </si>
  <si>
    <t>App.2-JC_OMA Programs</t>
  </si>
  <si>
    <t>lists2</t>
  </si>
  <si>
    <t>e</t>
  </si>
  <si>
    <t>No</t>
  </si>
  <si>
    <t>MONTHLY RATES AND CHARGES - Delivery Component</t>
  </si>
  <si>
    <r>
      <t xml:space="preserve">Select Your Rate Classes from the </t>
    </r>
    <r>
      <rPr>
        <b/>
        <sz val="11"/>
        <color theme="3"/>
        <rFont val="Calibri"/>
        <family val="2"/>
        <scheme val="minor"/>
      </rPr>
      <t>Blue Cells</t>
    </r>
    <r>
      <rPr>
        <sz val="10"/>
        <rFont val="Arial"/>
        <family val="2"/>
      </rPr>
      <t xml:space="preserve"> below.  
Please ensure that a rate class is assigned to </t>
    </r>
    <r>
      <rPr>
        <b/>
        <u/>
        <sz val="11"/>
        <color theme="1"/>
        <rFont val="Calibri"/>
        <family val="2"/>
        <scheme val="minor"/>
      </rPr>
      <t>each shaded cell.</t>
    </r>
  </si>
  <si>
    <t>TOU / non-TOU:</t>
  </si>
  <si>
    <t>TOU</t>
  </si>
  <si>
    <t>1   Please provide a breakdown of the major components of each OM&amp;A Program undertaken in each year.  Please ensure that all Programs below the materiality threshold are included in the miscellaneous line.  Add more Programs as required.</t>
  </si>
  <si>
    <t>Program Name #5</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</si>
  <si>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</si>
  <si>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</si>
  <si>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</si>
  <si>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</si>
  <si>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</si>
  <si>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</si>
  <si>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</si>
  <si>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</si>
  <si>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</si>
  <si>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</si>
  <si>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</si>
  <si>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</si>
  <si>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</si>
  <si>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</si>
  <si>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</si>
  <si>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</si>
  <si>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</si>
  <si>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</si>
  <si>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</si>
  <si>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</si>
  <si>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</si>
  <si>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</si>
  <si>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</si>
  <si>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</si>
  <si>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</si>
  <si>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</si>
  <si>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</si>
  <si>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</si>
  <si>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</si>
  <si>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</si>
  <si>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</si>
  <si>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</si>
  <si>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</si>
  <si>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</si>
  <si>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</si>
  <si>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</si>
  <si>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</si>
  <si>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</si>
  <si>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</si>
  <si>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Depreciation Expense adj. from gain or loss on the retirement of assets (pool of like assets)</t>
  </si>
  <si>
    <t>Please refer to section 2.12.4 of the Filing Requirements.</t>
  </si>
  <si>
    <t>Please refer to section 2.12.5 of the Filing Requirements.</t>
  </si>
  <si>
    <t>Account 1575, IFRS-CGAAP Transitional PP&amp;E Amounts - Appendix 2-EA, Appendix 2-EB, Appendix 2-EC</t>
  </si>
  <si>
    <t>Account 1576, Accounting Changes Under CGAAP - Appendix 2-ED, Appendix 2-EE</t>
  </si>
  <si>
    <t>Summary of Impacts to Revenue Requirement from Transition to MIFRS - Appendix 2-YA</t>
  </si>
  <si>
    <t>Continuity of Historic Cost under MIFRS - Appendix 2-BA2</t>
  </si>
  <si>
    <t xml:space="preserve">For an applicant that adopted IFRS on January 1, 2012 for financial reporting purposes, the applicant must establish the continuity of historic cost by using the December 31, 2010 regulatory gross assets of property, plant and equipment as the opening January 1, 2011 regulatory gross assets.  The applicant must provide schedules (including Appendix 2-BA2, Fixed Asset Continuity Schedule) which must identify the following details to substantiate the continuity of historic cost for regulatory purposes: </t>
  </si>
  <si>
    <t xml:space="preserve">For an applicant that adopts IFRS on January 1, 2013 for financial reporting purposes, the applicant must establish the continuity of historic cost by using the December 31, 2011 regulatory gross assets of property, plant and equipment as the opening January 1, 2012 regulatory gross assets.  The applicant must provide schedules (including Appendix 2-BA2, Fixed Asset Continuity Schedule) which must identify the following details to substantiate the continuity of historic cost for regulatory purposes: </t>
  </si>
  <si>
    <t xml:space="preserve">For an applicant that adopts IFRS on January 1, 2014 for financial reporting purposes, the applicant must establish the continuity of historic cost by using the December 31, 2012 regulatory gross assets of property, plant and equipment as the opening January 1, 2013 regulatory gross assets.  The applicant must provide schedules (including Appendix 2-BA2, Fixed Asset Continuity Schedule) which must identify the following details to substantiate the continuity of historic cost for regulatory purposes: </t>
  </si>
  <si>
    <t xml:space="preserve">For an applicant that adopted IFRS on January 1, 2012 for financial reporting purposes, the applicant must establish the continuity of historic cost by using the December 31, 2010 regulatory accumulated depreciation as the opening January 1, 2011 regulatory accumulated depreciation.  The applicant must provide schedules (including Appendix 2-BA2, Fixed Asset Continuity Schedule) which must identify the following details to substantiate the continuity of historic cost for regulatory purposes: </t>
  </si>
  <si>
    <t xml:space="preserve">For an applicant that adopted IFRS on January 1, 2013 for financial reporting purposes, the applicant must establish the continuity of historic cost by using the December 31, 2011 regulatory accumulated depreciation as the opening January 1, 2012 regulatory accumulated depreciation.  The applicant must provide schedules (including Appendix 2-BA2, Fixed Asset Continuity Schedule) which must identify the following details to substantiate the continuity of historic cost for regulatory purposes: </t>
  </si>
  <si>
    <t xml:space="preserve">For an applicant that adopted IFRS on January 1, 2014 for financial reporting purposes, the applicant must establish the continuity of historic cost by using the December 31, 2012 regulatory accumulated depreciation as the opening January 1, 2013 regulatory accumulated depreciation.  The applicant must provide schedules (including Appendix 2-BA2, Fixed Asset Continuity Schedule) which must identify the following details to substantiate the continuity of historic cost for regulatory purposes: </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</si>
  <si>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</si>
  <si>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</si>
  <si>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</si>
  <si>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</si>
  <si>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</si>
  <si>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</si>
  <si>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</si>
  <si>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</si>
  <si>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Primary TR XLPE Cables Direct Buried</t>
  </si>
  <si>
    <t>Primary 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</si>
  <si>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</si>
  <si>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</si>
  <si>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</si>
  <si>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</si>
  <si>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</si>
  <si>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</si>
  <si>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</si>
  <si>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</si>
  <si>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</si>
  <si>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</si>
  <si>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</si>
  <si>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</si>
  <si>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</si>
  <si>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</si>
  <si>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</si>
  <si>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</si>
  <si>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</si>
  <si>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</si>
  <si>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</si>
  <si>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</si>
  <si>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</si>
  <si>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</si>
  <si>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5-15</t>
  </si>
  <si>
    <t>Vehicles</t>
  </si>
  <si>
    <t>Trucks &amp; Buckets</t>
  </si>
  <si>
    <t>Trailers</t>
  </si>
  <si>
    <t>Vans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</si>
  <si>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</si>
  <si>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</si>
  <si>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</si>
  <si>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</si>
  <si>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</si>
  <si>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</si>
  <si>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</si>
  <si>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</si>
  <si>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</si>
  <si>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</si>
  <si>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</si>
  <si>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</si>
  <si>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</si>
  <si>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</si>
  <si>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</si>
  <si>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</si>
  <si>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</si>
  <si>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</si>
  <si>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</si>
  <si>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</si>
  <si>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</si>
  <si>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5-20</t>
  </si>
  <si>
    <t>Lease dependent</t>
  </si>
  <si>
    <t>5-10</t>
  </si>
  <si>
    <t>50-75</t>
  </si>
  <si>
    <t>25-30</t>
  </si>
  <si>
    <t>25-60</t>
  </si>
  <si>
    <t>20-30</t>
  </si>
  <si>
    <t>3-5</t>
  </si>
  <si>
    <t>2-5</t>
  </si>
  <si>
    <t>60-70</t>
  </si>
  <si>
    <t>2-10</t>
  </si>
  <si>
    <t>25-35</t>
  </si>
  <si>
    <t>15-30</t>
  </si>
  <si>
    <t>35-50</t>
  </si>
  <si>
    <t>10-15</t>
  </si>
  <si>
    <t>15-20</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</si>
  <si>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</si>
  <si>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</si>
  <si>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</si>
  <si>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</si>
  <si>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Applicants filing a MIFRS application should provide the following information regarding Appendix 2-B and Appendix 2-C:</t>
  </si>
  <si>
    <r>
      <t>·</t>
    </r>
    <r>
      <rPr>
        <sz val="10"/>
        <rFont val="Times New Roman"/>
        <family val="1"/>
      </rPr>
      <t xml:space="preserve">         </t>
    </r>
    <r>
      <rPr>
        <sz val="10"/>
        <rFont val="Arial"/>
        <family val="2"/>
      </rPr>
      <t xml:space="preserve">If an applicant chooses to adopt IFRS for financial reporting in 2012, in its 2014 cost of service application it must file information for the  historic year (2012),modified IFRS and also provide forecasts for the bridge year (2013) and test year (2014) information in modified IFRS format. The years required to be filed prior to the historic year 2012 may be provided in CGAAP only, except for the year 2011 which must also be presented in modified IFRS format. </t>
    </r>
  </si>
  <si>
    <t>B - bridge year regulatory financial information</t>
  </si>
  <si>
    <t>The applicant must provide an explanation of material variances in evidence.</t>
  </si>
  <si>
    <t>4  Net additions are additions net of disposals; Net depreciation is additions to depreciation net of disposals.</t>
  </si>
  <si>
    <t>List and specify any other interest revenue.</t>
  </si>
  <si>
    <t>2       Rates should be entered with the number of decimal places that will show on the Tariff of Rates and Charges.</t>
  </si>
  <si>
    <t>1       The class specific revenue requirements in column N must be the amounts used in the final rate design process.  The total of column N should equate to the proposed base revenue requirement.</t>
  </si>
  <si>
    <t xml:space="preserve">For modified IFRS applications, the applicants must provide a summary of the dollar impacts of modified 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modified IFRS accounting.  </t>
  </si>
  <si>
    <t>2   The applicant should group projects appropriately and avoid presentations that result in classification of significant components of the OM&amp;A budget in the miscellaneous category</t>
  </si>
  <si>
    <t>2   The applicant should group projects appropriately and avoid presentations that result in classification of significant components of the OM&amp;A budget in the miscellaneous category.</t>
  </si>
  <si>
    <t>To be completed by CGAAP and ASPE filers</t>
  </si>
  <si>
    <t>To be completed by both CGAAP, ASPE and USGAAP filers</t>
  </si>
  <si>
    <t>Identify the year that the applicant has adopted or is expected to adopt IFRS for financial reporting purposes</t>
  </si>
  <si>
    <t>Identify the year that the applicant has made the required changes to capitalization and depreciation expense policies under CGAAP or ASPE</t>
  </si>
  <si>
    <t>2014 or Later</t>
  </si>
  <si>
    <t>A list of key references for understanding the Filing Requirements has been embedded in the document below. To access the list of references and associated hyperlinks doublt click the icon below.</t>
  </si>
  <si>
    <t>Service Reliability Indicators</t>
  </si>
  <si>
    <t>Appendix 2-G: Service Reliability Indicators</t>
  </si>
  <si>
    <t>Monthly Amount Paid by IESO</t>
  </si>
  <si>
    <t>Appendix 2-Z
Proposed Tariff of Rates and Charges</t>
  </si>
  <si>
    <t>Appendix 2-JA</t>
  </si>
  <si>
    <t>Appendix 2-JB</t>
  </si>
  <si>
    <t>2006 to 2011 OPA CDM programs:  Persistence to 2014</t>
  </si>
  <si>
    <t>Total Capital Costs</t>
  </si>
  <si>
    <t>Total OM&amp;A (Start-Up)</t>
  </si>
  <si>
    <t>Total OM&amp;A (Ongoing)</t>
  </si>
  <si>
    <t>Name: Expansion Connection Project</t>
  </si>
  <si>
    <t>Name: REI Connection Project</t>
  </si>
  <si>
    <r>
      <t xml:space="preserve">If there are more than </t>
    </r>
    <r>
      <rPr>
        <b/>
        <sz val="10"/>
        <rFont val="Arial"/>
        <family val="2"/>
      </rPr>
      <t>five</t>
    </r>
    <r>
      <rPr>
        <sz val="10"/>
        <rFont val="Arial"/>
        <family val="2"/>
      </rPr>
      <t xml:space="preserve"> projects proposed to be in-service in a certain year, please amend the tables below and ensure that the formulae for the Total Amounts in any given rate year are updated.</t>
    </r>
  </si>
  <si>
    <r>
      <rPr>
        <b/>
        <sz val="10"/>
        <color indexed="8"/>
        <rFont val="Arial"/>
        <family val="2"/>
      </rPr>
      <t>Note 1:</t>
    </r>
    <r>
      <rPr>
        <sz val="10"/>
        <color indexed="8"/>
        <rFont val="Arial"/>
        <family val="2"/>
      </rPr>
      <t xml:space="preserve"> The difference between the actual costs of approved eligible investments and revenue received from the IESO should be recorded in a variance account.  The Board may provide </t>
    </r>
  </si>
  <si>
    <t>regulatory accounting guidance regarding a variance account either in an individual proceeding or on a generic basis.</t>
  </si>
  <si>
    <r>
      <rPr>
        <b/>
        <sz val="10"/>
        <color indexed="8"/>
        <rFont val="Arial"/>
        <family val="2"/>
      </rPr>
      <t>Note 2:</t>
    </r>
    <r>
      <rPr>
        <sz val="10"/>
        <color indexed="8"/>
        <rFont val="Arial"/>
        <family val="2"/>
      </rPr>
      <t xml:space="preserve"> For the 2014 Test Year, Costs and Revenues of the Direct Benefit are to be included in the test year applicant Rate Base and Revenues.  </t>
    </r>
  </si>
  <si>
    <r>
      <rPr>
        <b/>
        <sz val="10"/>
        <rFont val="Arial"/>
        <family val="2"/>
      </rPr>
      <t>Note 2:</t>
    </r>
    <r>
      <rPr>
        <sz val="10"/>
        <rFont val="Arial"/>
        <family val="2"/>
      </rPr>
      <t xml:space="preserve"> For the 2014 Test Year, Costs and Revenues of the Direct Benefit are to be included in the test year applicant Rate Base and Revenues.</t>
    </r>
  </si>
  <si>
    <r>
      <t>Amortization</t>
    </r>
    <r>
      <rPr>
        <i/>
        <sz val="10"/>
        <rFont val="Arial"/>
        <family val="2"/>
      </rPr>
      <t xml:space="preserve"> </t>
    </r>
    <r>
      <rPr>
        <sz val="10"/>
        <rFont val="Arial"/>
        <family val="2"/>
      </rPr>
      <t>(17% DB and 83% P)</t>
    </r>
  </si>
  <si>
    <t>CCA (17% DB and 83% P)</t>
  </si>
  <si>
    <t>Robert Kent, Director Finance and Regulatory Affairs</t>
  </si>
  <si>
    <t>1-519-631-5550 x 5258</t>
  </si>
  <si>
    <t>rkent@sttenergy.com</t>
  </si>
  <si>
    <t>have GAAP continuity schedule, no 1/2 yr rule</t>
  </si>
  <si>
    <t>Cost Driver # 2 smart meter</t>
  </si>
  <si>
    <t>Distribution Station Equipment</t>
  </si>
  <si>
    <t>Poles, Towers and Fixtures</t>
  </si>
  <si>
    <t>Overhead Conductors and Devices</t>
  </si>
  <si>
    <t>SEE ENGINEERING</t>
  </si>
  <si>
    <t>2015 Test Year</t>
  </si>
  <si>
    <t>Y</t>
  </si>
  <si>
    <t>alloaction of direct benefits expressed as an overhead percentage applied at payroll time sheet entry</t>
  </si>
  <si>
    <t>Under GAAP adopted IFRS policies</t>
  </si>
  <si>
    <t>Change in GAAP Policy in 2013 to equal MIFRS</t>
  </si>
  <si>
    <t>GAAP UFL = IFRS UFL</t>
  </si>
  <si>
    <t>Rent from Electric Property</t>
  </si>
  <si>
    <t>STR Processing</t>
  </si>
  <si>
    <t>Other Electric Revenues</t>
  </si>
  <si>
    <t>Gain on Disposal</t>
  </si>
  <si>
    <t>Revenues from Non Rate-Regulated Utility Operations</t>
  </si>
  <si>
    <t>Miscellaneous Non-Operating Income</t>
  </si>
  <si>
    <t>2011 Actual</t>
  </si>
  <si>
    <t>2012 Actual</t>
  </si>
  <si>
    <t>Cost Driver # 3 - management fee</t>
  </si>
  <si>
    <t>Cost Driver # 4 Special Assessment Fee</t>
  </si>
  <si>
    <t>Cost Driver # 5 Plant Maintenance</t>
  </si>
  <si>
    <t>Cost Driver # 6 Collection Charges</t>
  </si>
  <si>
    <t>Cost Driver # 7 Bad Debts</t>
  </si>
  <si>
    <t>Cost Driver # 8 Community relations, advertising</t>
  </si>
  <si>
    <t>Cost Driver # 9 Office Supplies, Administration</t>
  </si>
  <si>
    <t>Cost Driver # 10 Meter Reading, Collecting</t>
  </si>
  <si>
    <t>Cost Driver # 1 Administration</t>
  </si>
  <si>
    <t>Cost Driver # 11 Employee Future benefits</t>
  </si>
  <si>
    <t>Cost Driver # 12 Outside services</t>
  </si>
  <si>
    <t>Cost Driver # 15, filling Eng Manager and Accounting Analysis positions</t>
  </si>
  <si>
    <t>Cost Driver # 13 CS Collection Charges</t>
  </si>
  <si>
    <t>Cost Driver # 14 Paymentus, in house CS activities</t>
  </si>
  <si>
    <t>Cost Driver # 16 Postage Increase</t>
  </si>
  <si>
    <t>Cost Driver # 17 Substation Maintenance</t>
  </si>
  <si>
    <t>Cost Driver # 19 property taxes</t>
  </si>
  <si>
    <t>Operations management</t>
  </si>
  <si>
    <t>Program Name O&amp;M</t>
  </si>
  <si>
    <t>Control Room, Purchasing, benefits</t>
  </si>
  <si>
    <t>Substation Maintenance</t>
  </si>
  <si>
    <t>Tree Trimming</t>
  </si>
  <si>
    <t>Planned Inspections</t>
  </si>
  <si>
    <t>Customer Initiated</t>
  </si>
  <si>
    <t>benefits reallocated to 5085</t>
  </si>
  <si>
    <t>look at 1820 further</t>
  </si>
  <si>
    <t>Underground Conductor and Devices</t>
  </si>
  <si>
    <t>Underground Transformers</t>
  </si>
  <si>
    <t>Overhead Transformers</t>
  </si>
  <si>
    <t>OH Services</t>
  </si>
  <si>
    <t>UG Services</t>
  </si>
  <si>
    <t>Interval Meters</t>
  </si>
  <si>
    <t>Wholesasle Meters</t>
  </si>
  <si>
    <t>SCADA</t>
  </si>
  <si>
    <t>2013 scrap material recovery $64k, bad debt gst recvoeries, 4 yrs $66</t>
  </si>
  <si>
    <t>Miscellaneous Interest Revenue - RSVA</t>
  </si>
  <si>
    <t>send copy to Burman to complete</t>
  </si>
  <si>
    <t>Cost Driver # 18 Customer survey, Employee future benefit valuation 2015</t>
  </si>
  <si>
    <t>Inflation 2.1%, ICP + OMERS</t>
  </si>
  <si>
    <t>Cost Driver # 20 ICP</t>
  </si>
  <si>
    <t>EB-2014-0113</t>
  </si>
  <si>
    <t>Program Name Customer Service</t>
  </si>
  <si>
    <t>Meter Reading &amp; Billing</t>
  </si>
  <si>
    <t>Collecting</t>
  </si>
  <si>
    <t>Bad Debt</t>
  </si>
  <si>
    <t>Collection Charges</t>
  </si>
  <si>
    <t>Salary and Expenses</t>
  </si>
  <si>
    <t>Regulatory</t>
  </si>
  <si>
    <t>Property taxes</t>
  </si>
  <si>
    <t>Outside Services</t>
  </si>
  <si>
    <t>General Building and Office</t>
  </si>
  <si>
    <t>Budget</t>
  </si>
  <si>
    <t>See Glen, what was done by whom?</t>
  </si>
  <si>
    <t>2012 Rate Decision</t>
  </si>
  <si>
    <t>Eng Mgr</t>
  </si>
  <si>
    <t>2014 new accounting analyst .5 + lineman .7</t>
  </si>
  <si>
    <t>L&amp;B</t>
  </si>
  <si>
    <t>Transferred to capital</t>
  </si>
  <si>
    <t>non Union</t>
  </si>
  <si>
    <t>Union</t>
  </si>
  <si>
    <t>2015 s 2012</t>
  </si>
  <si>
    <t>Program Name Administration</t>
  </si>
  <si>
    <t>STESI</t>
  </si>
  <si>
    <t>STEI</t>
  </si>
  <si>
    <t>SEE separate file with 2011 to 2015 tables</t>
  </si>
  <si>
    <t>Contributed Capital</t>
  </si>
  <si>
    <t>2012 actual includes smart meter transfer of $3,267,776 and asset purchased per January 1, 2012 restructuring of $1,407,734</t>
  </si>
  <si>
    <t>See separate spreadsheet</t>
  </si>
  <si>
    <t>Standard Supply Service</t>
  </si>
  <si>
    <t>Approved</t>
  </si>
  <si>
    <t>IFRS consulting work related to conversion</t>
  </si>
  <si>
    <t>Customers</t>
  </si>
  <si>
    <t>Connections</t>
  </si>
  <si>
    <t>On-Going</t>
  </si>
  <si>
    <t>One-Time</t>
  </si>
  <si>
    <t>2014 Depreciation Expense per Apppendix 2-B Fixed Assets, Column K
 (l)</t>
  </si>
  <si>
    <t>Depreciation Expense on 2014 Full Year Additions</t>
  </si>
  <si>
    <r>
      <t xml:space="preserve">2014 Full Year Depreciation </t>
    </r>
    <r>
      <rPr>
        <b/>
        <vertAlign val="superscript"/>
        <sz val="10"/>
        <rFont val="Arial"/>
        <family val="2"/>
      </rPr>
      <t>3</t>
    </r>
  </si>
  <si>
    <t>(p) = 2013 Full Year Depreciation  + (n) - (o)</t>
  </si>
  <si>
    <r>
      <t xml:space="preserve">2015 Depreciation Expense </t>
    </r>
    <r>
      <rPr>
        <b/>
        <vertAlign val="superscript"/>
        <sz val="10"/>
        <rFont val="Arial"/>
        <family val="2"/>
      </rPr>
      <t>1</t>
    </r>
  </si>
  <si>
    <t>2015 Depreciation Expense per Appendix 2-B Fixed Assets, Column K
 (l)</t>
  </si>
  <si>
    <t>SM</t>
  </si>
  <si>
    <t>Stranded meter less $59,000</t>
  </si>
  <si>
    <t>Promisory Note</t>
  </si>
  <si>
    <t>City of St. Thomas</t>
  </si>
  <si>
    <t>Affiliated</t>
  </si>
  <si>
    <t>Fixed Rate</t>
  </si>
  <si>
    <t>Term Loan - Revolving</t>
  </si>
  <si>
    <t>Bank of Nova Scotia</t>
  </si>
  <si>
    <t>Third-Party</t>
  </si>
  <si>
    <t>Variable Rate</t>
  </si>
  <si>
    <t>Jan 1 to Oct 31</t>
  </si>
  <si>
    <t>Nov 1 to Dec 31</t>
  </si>
  <si>
    <t>0.25% increase</t>
  </si>
  <si>
    <t>Current Pricing</t>
  </si>
  <si>
    <t>Promisory Note Matures</t>
  </si>
  <si>
    <t>319 days</t>
  </si>
  <si>
    <t>46 days</t>
  </si>
  <si>
    <t>Monthly</t>
  </si>
  <si>
    <t>Rate Rider for Recovery of Smart Meter Incremental Revenue Requirement - in effect until the effictive date of the next COS</t>
  </si>
  <si>
    <t>Rate Rider for LRAM/SSM</t>
  </si>
  <si>
    <t>Stranded Meter Rate Rider</t>
  </si>
  <si>
    <t>Rate Rider for Application of Tax Changes - effective until April 30, 2015</t>
  </si>
  <si>
    <t>Stranded Meter Recovery Rate Rider (2015) - Effective until December 31, 2019</t>
  </si>
  <si>
    <t>Sub-Total A</t>
  </si>
  <si>
    <t>Rate Rider for Deferral/Variance Account Disposition (2014) - effective until April 30, 2015</t>
  </si>
  <si>
    <t>Rate Rider for Deferral/Variance Account Disposition (2015) - Effective until April 30, 2016</t>
  </si>
  <si>
    <t>Ontario Clean Energy Benefit 1</t>
  </si>
  <si>
    <t>General Service &lt; 50 kW</t>
  </si>
  <si>
    <t>General Service &gt; 50</t>
  </si>
  <si>
    <r>
      <t>1</t>
    </r>
    <r>
      <rPr>
        <sz val="10"/>
        <rFont val="Arial"/>
        <family val="2"/>
      </rPr>
      <t xml:space="preserve"> Applicable to eligible customers only.  Refer to the </t>
    </r>
    <r>
      <rPr>
        <i/>
        <sz val="10"/>
        <rFont val="Arial"/>
        <family val="2"/>
      </rPr>
      <t>Ontario Clean Energy Benefit Act, 2010.</t>
    </r>
  </si>
  <si>
    <t>Applicants must provide bill impacts for residential at 800 kWh and GS&lt;50kW at 2000 kWh. In addition, their filing must cover the range that is relevant</t>
  </si>
  <si>
    <t>Note that cells with the highlighted color shown to the left indicate quantities that are loss adjusted.</t>
  </si>
  <si>
    <t>RESIDENTIAL SERVICE CLASSIFICATION</t>
  </si>
  <si>
    <t>GENERAL SERVICE LESS THAN 50 KW SERVICE CLASSIFICATION</t>
  </si>
  <si>
    <t>GENERAL SERVICE 50 TO 4,999 KW SERVICE CLASSIFICATION</t>
  </si>
  <si>
    <t>SENTINEL LIGHTING SERVICE CLASSIFICATION</t>
  </si>
  <si>
    <t>STREET LIGHTING SERVICE CLASSIFICATION</t>
  </si>
  <si>
    <t>microFIT SERVICE CLASSIFICATION</t>
  </si>
  <si>
    <t>This classification refers to an account taking electricity at 750 volts or less where the electricity is used exclusively in a separately metered living accommodation.  Customers shall be residing in single-dwelling units that consists of a detached house or one unit of a semi-detached, duplex, triplex or quadruple house, with a residential zoning.  Separately metered dwellings within a town house complex or apartment building also qualify as residential customers.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</si>
  <si>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</si>
  <si>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</si>
  <si>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Deferral and Variance Accounts (2014) - effective until April 30, 2015</t>
  </si>
  <si>
    <t>Rate Rider for Disposition of Global Adjustment Sub-Account (2014) - effective until April 30, 2015 Applicable only for Non-RPP Customers</t>
  </si>
  <si>
    <t>Rate Rider for Application of Tax Change - effective until April 30, 2015</t>
  </si>
  <si>
    <t>Rate Rider for Deferral and Variance Accounts (2015) - effective until April 30, 2016</t>
  </si>
  <si>
    <t>Rate Rider for Disposition of Global Adjustment Sub-Account (2015) - effective until April 30, 2016 Applicable only for Non-RPP Customers</t>
  </si>
  <si>
    <t>Rate Rider for Recovery of Stranded Meter Assets - effective until December 31, 2019</t>
  </si>
  <si>
    <t>This classification refers to a non residential account taking electricity at 750 volts or less whose monthly average peak demand is less than, or is forecasted to be less than, 50 kW.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</si>
  <si>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</si>
  <si>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 residential account whose monthly average peak demand is equal to or greater than, or is forecasted to be equal to or greater than 50 kW but less than 5,000 kW.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</si>
  <si>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</si>
  <si>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an account for individual lighting on private property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</si>
  <si>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of these customers will be based on the calculated connected load times the required lighting times established in the approved OEB street lighting load shape template.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</si>
  <si>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</si>
  <si>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</si>
  <si>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Unless specifically noted, this schedule does not contain any charges for the electricity commodity, be it under the Regulated</t>
  </si>
  <si>
    <t>Disconnect/ Reconnect Charge at Customer's Request at Meter During Regular Hours</t>
  </si>
  <si>
    <t>ERA</t>
  </si>
  <si>
    <t>pwc</t>
  </si>
  <si>
    <t>AESI</t>
  </si>
  <si>
    <t>6b</t>
  </si>
  <si>
    <t>6a</t>
  </si>
  <si>
    <t>11a</t>
  </si>
  <si>
    <t>11b</t>
  </si>
  <si>
    <t>8a</t>
  </si>
  <si>
    <t>Operating expenses associated with other resources allocated to regulatory matters , New paper add</t>
  </si>
  <si>
    <t>Operating expenses associated with other resources allocated to regulatory matters, additional expenses for rate hearing, etc</t>
  </si>
  <si>
    <t>8b</t>
  </si>
  <si>
    <t>Smart Meter Testing</t>
  </si>
  <si>
    <t>Cost Driver # 12 OM&amp;A Direct Charge, includes new lineman hired mid 2013</t>
  </si>
  <si>
    <t>2 of 2</t>
  </si>
  <si>
    <t>4 of 5</t>
  </si>
  <si>
    <t>Operating expenses associated with staff resources allocated to regulatory matters, OEB initiatives, conferences, etc.</t>
  </si>
  <si>
    <t>see separate excel file with yearly schedules</t>
  </si>
  <si>
    <t>Appendix 2-CF N/A</t>
  </si>
  <si>
    <t>Appendix 2-CG N/A</t>
  </si>
  <si>
    <t>Appendix 2-CH N/A</t>
  </si>
  <si>
    <t>Appendix 2-CI N/A</t>
  </si>
  <si>
    <t>Appendix 2- N/A</t>
  </si>
  <si>
    <t>Appendix 2-CK N/A</t>
  </si>
  <si>
    <t>Appendix 2-CL N/A</t>
  </si>
  <si>
    <t>Appendix 2-CM N/A</t>
  </si>
  <si>
    <t>Appendix 2-EB N/A</t>
  </si>
  <si>
    <t>Appendix 2-EC N/A</t>
  </si>
  <si>
    <t>Appendix 2-EE N/A</t>
  </si>
  <si>
    <t>see separate 2-N spreadsheet attached</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</si>
</sst>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_-&quot;$&quot;* #,##0.0000_-;\-&quot;$&quot;* #,##0.0000_-;_-&quot;$&quot;* &quot;-&quot;??_-;_-@_-"/>
    <numFmt numFmtId="168" formatCode="[$-1009]mmmm\ d\,\ yyyy;@"/>
    <numFmt numFmtId="169" formatCode="0_ ;\-0\ "/>
    <numFmt numFmtId="170" formatCode="[$-1009]d\-mmm\-yy;@"/>
    <numFmt numFmtId="171" formatCode="\(#\)"/>
    <numFmt numFmtId="172" formatCode="&quot;$&quot;#,##0_);[Red]\(&quot;$&quot;#,##0\);&quot;$&quot;\ \-"/>
    <numFmt numFmtId="173" formatCode="#,##0_ ;\-#,##0\ "/>
    <numFmt numFmtId="174" formatCode="0.000"/>
    <numFmt numFmtId="175" formatCode="&quot;$&quot;#,##0"/>
    <numFmt numFmtId="176" formatCode="&quot;$&quot;#,##0.0000_);[Red]\(&quot;$&quot;#,##0.0000\)"/>
    <numFmt numFmtId="177" formatCode="&quot;$&quot;#,##0.00"/>
    <numFmt numFmtId="178" formatCode="#,##0.0000;[Red]\(#,##0.0000\)"/>
    <numFmt numFmtId="179" formatCode="#,##0.00;[Red]\(#,##0.00\)"/>
    <numFmt numFmtId="180" formatCode="[$-409]mmmm\ d\,\ yyyy;@"/>
    <numFmt numFmtId="181" formatCode="0.00;\(0.00\)"/>
    <numFmt numFmtId="182" formatCode="0.0000;\(0.0000\)"/>
    <numFmt numFmtId="183" formatCode="#,##0.0000"/>
    <numFmt numFmtId="184" formatCode="#,##0.00_ ;\-#,##0.00\ "/>
    <numFmt numFmtId="185" formatCode="0.00%;\(0.00\)%"/>
    <numFmt numFmtId="186" formatCode="#,##0.00000"/>
    <numFmt numFmtId="187" formatCode="#,##0.00_ ;\(#,##0.00\)"/>
    <numFmt numFmtId="188" formatCode="0%;\(0%\)"/>
    <numFmt numFmtId="189" formatCode="0.0000"/>
    <numFmt numFmtId="190" formatCode="_(* #,##0.0_);_(* \(#,##0.0\);_(* &quot;-&quot;??_);_(@_)"/>
    <numFmt numFmtId="191" formatCode="#,##0.0"/>
    <numFmt numFmtId="192" formatCode="mm/dd/yyyy"/>
    <numFmt numFmtId="193" formatCode="0\-0"/>
    <numFmt numFmtId="194" formatCode="##\-#"/>
    <numFmt numFmtId="195" formatCode="_(* #,##0_);_(* \(#,##0\);_(* &quot;-&quot;??_);_(@_)"/>
    <numFmt numFmtId="196" formatCode="&quot;£ &quot;#,##0.00;[Red]\-&quot;£ &quot;#,##0.00"/>
    <numFmt numFmtId="197" formatCode="_-* #,##0.0000_-;\-* #,##0.0000_-;_-* &quot;-&quot;??_-;_-@_-"/>
    <numFmt numFmtId="198" formatCode="&quot;$&quot;#,##0;[Red]&quot;$&quot;#,##0"/>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6"/>
      <color indexed="12"/>
      <name val="Algerian"/>
      <family val="5"/>
    </font>
    <font>
      <sz val="14"/>
      <name val="Arial"/>
      <family val="2"/>
    </font>
    <font>
      <i/>
      <sz val="10"/>
      <name val="Arial"/>
      <family val="2"/>
    </font>
    <font>
      <b/>
      <i/>
      <sz val="10"/>
      <name val="Arial"/>
      <family val="2"/>
    </font>
    <font>
      <sz val="10"/>
      <color indexed="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sz val="10"/>
      <color rgb="FF000000"/>
      <name val="Arial"/>
      <family val="2"/>
    </font>
    <font>
      <b/>
      <sz val="11"/>
      <color theme="1"/>
      <name val="Arial"/>
      <family val="2"/>
    </font>
    <font>
      <sz val="20"/>
      <name val="Arial"/>
      <family val="2"/>
    </font>
    <font>
      <b/>
      <sz val="10"/>
      <color indexed="8"/>
      <name val="Arial"/>
      <family val="2"/>
    </font>
    <font>
      <b/>
      <sz val="10"/>
      <color indexed="8"/>
      <name val="Calibri"/>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b/>
      <sz val="14"/>
      <color indexed="10"/>
      <name val="Arial"/>
      <family val="2"/>
    </font>
    <font>
      <sz val="8"/>
      <color rgb="FF000000"/>
      <name val="Tahoma"/>
      <family val="2"/>
    </font>
    <font>
      <sz val="10"/>
      <color rgb="FFFF0000"/>
      <name val="Arial"/>
      <family val="2"/>
    </font>
    <font>
      <sz val="14"/>
      <color indexed="10"/>
      <name val="Arial"/>
      <family val="2"/>
    </font>
    <font>
      <b/>
      <sz val="10"/>
      <color theme="3"/>
      <name val="Arial"/>
      <family val="2"/>
    </font>
    <font>
      <b/>
      <i/>
      <sz val="11"/>
      <color theme="1"/>
      <name val="Calibri"/>
      <family val="2"/>
      <scheme val="minor"/>
    </font>
    <font>
      <i/>
      <sz val="11"/>
      <color theme="1"/>
      <name val="Calibri"/>
      <family val="2"/>
      <scheme val="minor"/>
    </font>
    <font>
      <sz val="11"/>
      <color indexed="8"/>
      <name val="Arial"/>
      <family val="2"/>
    </font>
    <font>
      <b/>
      <sz val="11"/>
      <color indexed="8"/>
      <name val="Calibri"/>
      <family val="1"/>
      <charset val="204"/>
    </font>
    <font>
      <sz val="10"/>
      <name val="Calibri"/>
      <family val="2"/>
      <scheme val="minor"/>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b/>
      <u/>
      <sz val="10"/>
      <color indexed="8"/>
      <name val="Arial"/>
      <family val="2"/>
    </font>
    <font>
      <vertAlign val="superscript"/>
      <sz val="10"/>
      <color indexed="8"/>
      <name val="Arial"/>
      <family val="2"/>
    </font>
    <font>
      <b/>
      <sz val="11"/>
      <color indexed="10"/>
      <name val="Arial"/>
      <family val="2"/>
    </font>
    <font>
      <sz val="12"/>
      <name val="Arial"/>
      <family val="2"/>
    </font>
    <font>
      <sz val="12"/>
      <name val="Symbol"/>
      <family val="1"/>
      <charset val="2"/>
    </font>
    <font>
      <i/>
      <sz val="12"/>
      <name val="Arial"/>
      <family val="2"/>
    </font>
    <font>
      <b/>
      <sz val="11"/>
      <color rgb="FFFF0000"/>
      <name val="Arial"/>
      <family val="2"/>
    </font>
    <font>
      <b/>
      <u/>
      <sz val="12"/>
      <name val="Arial"/>
      <family val="2"/>
    </font>
    <font>
      <i/>
      <u/>
      <sz val="12"/>
      <name val="Arial"/>
      <family val="2"/>
    </font>
    <font>
      <sz val="10"/>
      <name val="Calibri"/>
      <family val="2"/>
    </font>
    <font>
      <u/>
      <sz val="12"/>
      <color indexed="12"/>
      <name val="Arial"/>
      <family val="2"/>
    </font>
    <font>
      <sz val="10"/>
      <color theme="2" tint="-0.499984740745262"/>
      <name val="Arial"/>
      <family val="2"/>
    </font>
    <font>
      <sz val="10"/>
      <color theme="9"/>
      <name val="Arial"/>
      <family val="2"/>
    </font>
    <font>
      <sz val="10"/>
      <color theme="5"/>
      <name val="Arial"/>
      <family val="2"/>
    </font>
    <font>
      <i/>
      <sz val="9"/>
      <name val="Arial"/>
      <family val="2"/>
    </font>
    <font>
      <sz val="10"/>
      <color indexed="12"/>
      <name val="Arial"/>
      <family val="2"/>
    </font>
    <font>
      <i/>
      <sz val="12"/>
      <color theme="1"/>
      <name val="Calibri"/>
      <family val="2"/>
      <scheme val="minor"/>
    </font>
    <font>
      <b/>
      <sz val="14"/>
      <color theme="1"/>
      <name val="Calibri"/>
      <family val="2"/>
      <scheme val="minor"/>
    </font>
    <font>
      <sz val="10"/>
      <color theme="3" tint="0.39997558519241921"/>
      <name val="Arial"/>
      <family val="2"/>
    </font>
    <font>
      <b/>
      <sz val="11"/>
      <color theme="5"/>
      <name val="Arial"/>
      <family val="2"/>
    </font>
    <font>
      <b/>
      <sz val="14"/>
      <color theme="1"/>
      <name val="Arial"/>
      <family val="2"/>
    </font>
    <font>
      <b/>
      <sz val="10"/>
      <color theme="1"/>
      <name val="Arial"/>
      <family val="2"/>
    </font>
    <font>
      <sz val="8"/>
      <color theme="1"/>
      <name val="Arial"/>
      <family val="2"/>
    </font>
    <font>
      <b/>
      <sz val="8"/>
      <name val="Arial"/>
      <family val="2"/>
    </font>
    <font>
      <b/>
      <sz val="16"/>
      <name val="Arial"/>
      <family val="2"/>
    </font>
    <font>
      <b/>
      <sz val="18"/>
      <color theme="1"/>
      <name val="Arial"/>
      <family val="2"/>
    </font>
    <font>
      <b/>
      <sz val="12"/>
      <color theme="1"/>
      <name val="Arial"/>
      <family val="2"/>
    </font>
    <font>
      <b/>
      <sz val="8"/>
      <color theme="1"/>
      <name val="Arial"/>
      <family val="2"/>
    </font>
    <font>
      <b/>
      <u/>
      <sz val="11"/>
      <color theme="1"/>
      <name val="Calibri"/>
      <family val="2"/>
      <scheme val="minor"/>
    </font>
    <font>
      <b/>
      <sz val="10"/>
      <color indexed="9"/>
      <name val="Arial"/>
      <family val="2"/>
    </font>
    <font>
      <sz val="10"/>
      <color theme="1"/>
      <name val="Arial"/>
      <family val="2"/>
    </font>
    <font>
      <b/>
      <sz val="10"/>
      <color theme="5"/>
      <name val="Arial"/>
      <family val="2"/>
    </font>
    <font>
      <b/>
      <vertAlign val="superscript"/>
      <sz val="14"/>
      <name val="Arial"/>
      <family val="2"/>
    </font>
    <font>
      <sz val="10"/>
      <color theme="8" tint="-0.249977111117893"/>
      <name val="Arial"/>
      <family val="2"/>
    </font>
    <font>
      <sz val="10"/>
      <color rgb="FFC00000"/>
      <name val="Arial"/>
      <family val="2"/>
    </font>
    <font>
      <b/>
      <sz val="10"/>
      <color theme="3" tint="0.39997558519241921"/>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22"/>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lightDown">
        <bgColor theme="0" tint="-0.34998626667073579"/>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24994659260841701"/>
        <bgColor indexed="64"/>
      </patternFill>
    </fill>
    <fill>
      <patternFill patternType="solid">
        <fgColor rgb="FFFFFFFF"/>
        <bgColor indexed="64"/>
      </patternFill>
    </fill>
    <fill>
      <patternFill patternType="solid">
        <fgColor theme="5"/>
        <bgColor indexed="64"/>
      </patternFill>
    </fill>
    <fill>
      <patternFill patternType="solid">
        <fgColor theme="2" tint="-0.499984740745262"/>
        <bgColor indexed="64"/>
      </patternFill>
    </fill>
    <fill>
      <patternFill patternType="solid">
        <fgColor theme="9"/>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F2F2F2"/>
        <bgColor indexed="64"/>
      </patternFill>
    </fill>
    <fill>
      <patternFill patternType="lightDown">
        <bgColor theme="0"/>
      </patternFill>
    </fill>
    <fill>
      <patternFill patternType="solid">
        <fgColor rgb="FF808080"/>
        <bgColor indexed="64"/>
      </patternFill>
    </fill>
    <fill>
      <patternFill patternType="solid">
        <fgColor rgb="FFFDE9D9"/>
        <bgColor indexed="64"/>
      </patternFill>
    </fill>
    <fill>
      <patternFill patternType="solid">
        <fgColor rgb="FFFFFF99"/>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double">
        <color indexed="64"/>
      </top>
      <bottom style="thin">
        <color indexed="64"/>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style="thin">
        <color theme="0"/>
      </bottom>
      <diagonal/>
    </border>
    <border>
      <left/>
      <right style="double">
        <color indexed="64"/>
      </right>
      <top style="thin">
        <color theme="0"/>
      </top>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right/>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double">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theme="0"/>
      </left>
      <right/>
      <top/>
      <bottom/>
      <diagonal/>
    </border>
    <border>
      <left/>
      <right/>
      <top style="thick">
        <color theme="0"/>
      </top>
      <bottom/>
      <diagonal/>
    </border>
    <border>
      <left style="thick">
        <color theme="0"/>
      </left>
      <right/>
      <top style="thick">
        <color theme="0"/>
      </top>
      <bottom/>
      <diagonal/>
    </border>
    <border>
      <left/>
      <right/>
      <top style="thick">
        <color theme="0"/>
      </top>
      <bottom style="thick">
        <color theme="0"/>
      </bottom>
      <diagonal/>
    </border>
    <border>
      <left style="thick">
        <color theme="0"/>
      </left>
      <right/>
      <top style="thick">
        <color theme="0"/>
      </top>
      <bottom style="thick">
        <color theme="0"/>
      </bottom>
      <diagonal/>
    </border>
    <border>
      <left/>
      <right style="thick">
        <color theme="0"/>
      </right>
      <top/>
      <bottom/>
      <diagonal/>
    </border>
    <border>
      <left/>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ck">
        <color theme="0" tint="-0.34998626667073579"/>
      </right>
      <top/>
      <bottom/>
      <diagonal/>
    </border>
    <border>
      <left/>
      <right style="thin">
        <color theme="0"/>
      </right>
      <top/>
      <bottom/>
      <diagonal/>
    </border>
    <border>
      <left/>
      <right/>
      <top/>
      <bottom style="thick">
        <color theme="0"/>
      </bottom>
      <diagonal/>
    </border>
    <border>
      <left style="thick">
        <color theme="0"/>
      </left>
      <right/>
      <top/>
      <bottom style="thick">
        <color theme="0"/>
      </bottom>
      <diagonal/>
    </border>
    <border>
      <left style="medium">
        <color indexed="9"/>
      </left>
      <right style="medium">
        <color indexed="9"/>
      </right>
      <top/>
      <bottom/>
      <diagonal/>
    </border>
    <border>
      <left style="medium">
        <color indexed="9"/>
      </left>
      <right style="medium">
        <color indexed="9"/>
      </right>
      <top/>
      <bottom style="thin">
        <color indexed="9"/>
      </bottom>
      <diagonal/>
    </border>
    <border>
      <left/>
      <right style="thick">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ck">
        <color theme="0"/>
      </bottom>
      <diagonal/>
    </border>
    <border>
      <left/>
      <right/>
      <top style="thin">
        <color theme="0"/>
      </top>
      <bottom style="thick">
        <color theme="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medium">
        <color indexed="64"/>
      </right>
      <top style="double">
        <color indexed="64"/>
      </top>
      <bottom style="thick">
        <color indexed="64"/>
      </bottom>
      <diagonal/>
    </border>
    <border>
      <left style="medium">
        <color indexed="64"/>
      </left>
      <right style="thick">
        <color indexed="64"/>
      </right>
      <top/>
      <bottom style="double">
        <color indexed="64"/>
      </bottom>
      <diagonal/>
    </border>
    <border>
      <left style="thick">
        <color indexed="64"/>
      </left>
      <right style="medium">
        <color indexed="64"/>
      </right>
      <top style="medium">
        <color indexed="64"/>
      </top>
      <bottom style="medium">
        <color indexed="64"/>
      </bottom>
      <diagonal/>
    </border>
    <border>
      <left/>
      <right style="thick">
        <color theme="0"/>
      </right>
      <top style="thick">
        <color theme="0"/>
      </top>
      <bottom style="thick">
        <color theme="0"/>
      </bottom>
      <diagonal/>
    </border>
  </borders>
  <cellStyleXfs count="166">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0"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31" fillId="23" borderId="7" applyNumberFormat="0" applyFont="0" applyAlignment="0" applyProtection="0"/>
    <xf numFmtId="0" fontId="32" fillId="20" borderId="8" applyNumberFormat="0" applyAlignment="0" applyProtection="0"/>
    <xf numFmtId="9" fontId="9"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9" fillId="0" borderId="0"/>
    <xf numFmtId="0" fontId="18" fillId="0" borderId="0"/>
    <xf numFmtId="0" fontId="62" fillId="0" borderId="0" applyNumberFormat="0" applyFill="0" applyBorder="0" applyAlignment="0" applyProtection="0"/>
    <xf numFmtId="0" fontId="64" fillId="0" borderId="117" applyNumberFormat="0" applyFill="0" applyAlignment="0" applyProtection="0"/>
    <xf numFmtId="0" fontId="63" fillId="0" borderId="116" applyNumberFormat="0" applyFill="0" applyAlignment="0" applyProtection="0"/>
    <xf numFmtId="0" fontId="8" fillId="0" borderId="0"/>
    <xf numFmtId="0" fontId="65" fillId="0" borderId="118" applyNumberFormat="0" applyFill="0" applyAlignment="0" applyProtection="0"/>
    <xf numFmtId="0" fontId="65" fillId="0" borderId="0" applyNumberFormat="0" applyFill="0" applyBorder="0" applyAlignment="0" applyProtection="0"/>
    <xf numFmtId="0" fontId="66" fillId="32" borderId="0" applyNumberFormat="0" applyBorder="0" applyAlignment="0" applyProtection="0"/>
    <xf numFmtId="0" fontId="67" fillId="33" borderId="0" applyNumberFormat="0" applyBorder="0" applyAlignment="0" applyProtection="0"/>
    <xf numFmtId="0" fontId="68" fillId="34" borderId="0" applyNumberFormat="0" applyBorder="0" applyAlignment="0" applyProtection="0"/>
    <xf numFmtId="0" fontId="69" fillId="35" borderId="119" applyNumberFormat="0" applyAlignment="0" applyProtection="0"/>
    <xf numFmtId="0" fontId="70" fillId="36" borderId="120" applyNumberFormat="0" applyAlignment="0" applyProtection="0"/>
    <xf numFmtId="0" fontId="71" fillId="36" borderId="119" applyNumberFormat="0" applyAlignment="0" applyProtection="0"/>
    <xf numFmtId="0" fontId="72" fillId="0" borderId="121" applyNumberFormat="0" applyFill="0" applyAlignment="0" applyProtection="0"/>
    <xf numFmtId="0" fontId="73" fillId="37" borderId="122" applyNumberFormat="0" applyAlignment="0" applyProtection="0"/>
    <xf numFmtId="0" fontId="74" fillId="0" borderId="0" applyNumberFormat="0" applyFill="0" applyBorder="0" applyAlignment="0" applyProtection="0"/>
    <xf numFmtId="0" fontId="8" fillId="38" borderId="123" applyNumberFormat="0" applyFont="0" applyAlignment="0" applyProtection="0"/>
    <xf numFmtId="0" fontId="75" fillId="0" borderId="0" applyNumberFormat="0" applyFill="0" applyBorder="0" applyAlignment="0" applyProtection="0"/>
    <xf numFmtId="0" fontId="76" fillId="0" borderId="124" applyNumberFormat="0" applyFill="0" applyAlignment="0" applyProtection="0"/>
    <xf numFmtId="0" fontId="77"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77" fillId="62"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44" fontId="9" fillId="0" borderId="0" applyFont="0" applyFill="0" applyBorder="0" applyAlignment="0" applyProtection="0"/>
    <xf numFmtId="9" fontId="4" fillId="0" borderId="0" applyFont="0" applyFill="0" applyBorder="0" applyAlignment="0" applyProtection="0"/>
    <xf numFmtId="0" fontId="18" fillId="0" borderId="0"/>
    <xf numFmtId="0" fontId="9" fillId="0" borderId="0"/>
    <xf numFmtId="44" fontId="4" fillId="0" borderId="0" applyFont="0" applyFill="0" applyBorder="0" applyAlignment="0" applyProtection="0"/>
    <xf numFmtId="43" fontId="4" fillId="0" borderId="0" applyFont="0" applyFill="0" applyBorder="0" applyAlignment="0" applyProtection="0"/>
    <xf numFmtId="0" fontId="18" fillId="0" borderId="0"/>
    <xf numFmtId="190" fontId="9" fillId="0" borderId="0"/>
    <xf numFmtId="191" fontId="9" fillId="0" borderId="0"/>
    <xf numFmtId="190" fontId="9" fillId="0" borderId="0"/>
    <xf numFmtId="190" fontId="9" fillId="0" borderId="0"/>
    <xf numFmtId="190" fontId="9" fillId="0" borderId="0"/>
    <xf numFmtId="190" fontId="9" fillId="0" borderId="0"/>
    <xf numFmtId="192" fontId="9" fillId="0" borderId="0"/>
    <xf numFmtId="193" fontId="9" fillId="0" borderId="0"/>
    <xf numFmtId="192" fontId="9" fillId="0" borderId="0"/>
    <xf numFmtId="3" fontId="9" fillId="0" borderId="0" applyFont="0" applyFill="0" applyBorder="0" applyAlignment="0" applyProtection="0"/>
    <xf numFmtId="5" fontId="9" fillId="0" borderId="0" applyFont="0" applyFill="0" applyBorder="0" applyAlignment="0" applyProtection="0"/>
    <xf numFmtId="14" fontId="9" fillId="0" borderId="0" applyFont="0" applyFill="0" applyBorder="0" applyAlignment="0" applyProtection="0"/>
    <xf numFmtId="2" fontId="9" fillId="0" borderId="0" applyFont="0" applyFill="0" applyBorder="0" applyAlignment="0" applyProtection="0"/>
    <xf numFmtId="38" fontId="11" fillId="27" borderId="0" applyNumberFormat="0" applyBorder="0" applyAlignment="0" applyProtection="0"/>
    <xf numFmtId="10" fontId="11" fillId="79" borderId="10" applyNumberFormat="0" applyBorder="0" applyAlignment="0" applyProtection="0"/>
    <xf numFmtId="194" fontId="9" fillId="0" borderId="0"/>
    <xf numFmtId="195" fontId="9" fillId="0" borderId="0"/>
    <xf numFmtId="194" fontId="9" fillId="0" borderId="0"/>
    <xf numFmtId="194" fontId="9" fillId="0" borderId="0"/>
    <xf numFmtId="194" fontId="9" fillId="0" borderId="0"/>
    <xf numFmtId="194" fontId="9" fillId="0" borderId="0"/>
    <xf numFmtId="196"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3" borderId="7" applyNumberFormat="0" applyFont="0" applyAlignment="0" applyProtection="0"/>
    <xf numFmtId="0" fontId="1" fillId="0" borderId="0"/>
    <xf numFmtId="0" fontId="9" fillId="0" borderId="0"/>
    <xf numFmtId="0" fontId="1" fillId="38" borderId="123" applyNumberFormat="0" applyFont="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9" fillId="0" borderId="0"/>
  </cellStyleXfs>
  <cellXfs count="2346">
    <xf numFmtId="0" fontId="0" fillId="0" borderId="0" xfId="0"/>
    <xf numFmtId="0" fontId="0" fillId="0" borderId="0" xfId="0" applyAlignment="1">
      <alignment horizontal="center"/>
    </xf>
    <xf numFmtId="0" fontId="0" fillId="0" borderId="0" xfId="0" applyBorder="1"/>
    <xf numFmtId="0" fontId="0" fillId="0" borderId="10" xfId="0" applyBorder="1" applyAlignment="1">
      <alignment horizontal="center"/>
    </xf>
    <xf numFmtId="0" fontId="0" fillId="0" borderId="0" xfId="0" applyProtection="1"/>
    <xf numFmtId="0" fontId="12" fillId="0" borderId="0" xfId="0" applyFont="1" applyProtection="1"/>
    <xf numFmtId="0" fontId="0" fillId="0" borderId="0" xfId="0" applyAlignment="1">
      <alignment horizontal="center" vertical="center" wrapText="1"/>
    </xf>
    <xf numFmtId="0" fontId="12" fillId="0" borderId="10" xfId="0" applyFont="1" applyBorder="1"/>
    <xf numFmtId="165" fontId="0" fillId="0" borderId="10" xfId="29" applyNumberFormat="1" applyFont="1" applyBorder="1"/>
    <xf numFmtId="165" fontId="0" fillId="0" borderId="10" xfId="0" applyNumberFormat="1" applyBorder="1"/>
    <xf numFmtId="165" fontId="0" fillId="0" borderId="13" xfId="29" applyNumberFormat="1" applyFont="1" applyBorder="1"/>
    <xf numFmtId="166" fontId="9" fillId="0" borderId="10" xfId="28" applyNumberFormat="1" applyBorder="1"/>
    <xf numFmtId="165" fontId="9" fillId="0" borderId="10" xfId="29" applyNumberFormat="1" applyBorder="1"/>
    <xf numFmtId="0" fontId="0" fillId="0" borderId="0" xfId="0" applyFill="1" applyBorder="1"/>
    <xf numFmtId="0" fontId="12" fillId="0" borderId="0" xfId="0" applyFont="1"/>
    <xf numFmtId="0" fontId="0" fillId="0" borderId="15" xfId="0" applyBorder="1"/>
    <xf numFmtId="0" fontId="0" fillId="0" borderId="0" xfId="0" applyAlignment="1" applyProtection="1">
      <alignment vertical="top"/>
    </xf>
    <xf numFmtId="0" fontId="0" fillId="0" borderId="0" xfId="0" applyFill="1" applyProtection="1"/>
    <xf numFmtId="0" fontId="0" fillId="0" borderId="0" xfId="0" applyAlignment="1" applyProtection="1">
      <alignment vertical="center"/>
    </xf>
    <xf numFmtId="0" fontId="0" fillId="0" borderId="0" xfId="0" applyFill="1" applyAlignment="1" applyProtection="1">
      <alignment vertical="center"/>
    </xf>
    <xf numFmtId="0" fontId="0" fillId="25" borderId="0" xfId="0" applyFill="1" applyBorder="1" applyProtection="1"/>
    <xf numFmtId="0" fontId="0" fillId="25" borderId="0" xfId="0" applyFill="1" applyBorder="1" applyAlignment="1" applyProtection="1">
      <alignment horizontal="left" indent="1"/>
    </xf>
    <xf numFmtId="0" fontId="14" fillId="25" borderId="0" xfId="0" applyFont="1" applyFill="1" applyBorder="1" applyAlignment="1" applyProtection="1"/>
    <xf numFmtId="0" fontId="38" fillId="25" borderId="0" xfId="0" applyFont="1" applyFill="1" applyBorder="1" applyAlignment="1" applyProtection="1"/>
    <xf numFmtId="0" fontId="37" fillId="25" borderId="0" xfId="0" applyFont="1" applyFill="1" applyAlignment="1" applyProtection="1">
      <alignment vertical="top" wrapText="1"/>
    </xf>
    <xf numFmtId="0" fontId="14" fillId="0" borderId="0" xfId="0" applyFont="1" applyAlignment="1" applyProtection="1">
      <alignment horizontal="center"/>
    </xf>
    <xf numFmtId="0" fontId="12" fillId="0" borderId="0" xfId="0" applyFont="1" applyAlignment="1" applyProtection="1">
      <alignment horizontal="right"/>
    </xf>
    <xf numFmtId="0" fontId="0" fillId="0" borderId="0" xfId="0" quotePrefix="1"/>
    <xf numFmtId="165" fontId="0" fillId="0" borderId="25" xfId="29" applyNumberFormat="1" applyFont="1" applyBorder="1"/>
    <xf numFmtId="165" fontId="0" fillId="0" borderId="26" xfId="29" applyNumberFormat="1" applyFont="1" applyBorder="1"/>
    <xf numFmtId="0" fontId="39" fillId="0" borderId="0" xfId="0" applyFont="1"/>
    <xf numFmtId="0" fontId="0" fillId="0" borderId="27" xfId="0" applyBorder="1" applyAlignment="1">
      <alignment horizontal="center"/>
    </xf>
    <xf numFmtId="0" fontId="0" fillId="0" borderId="28" xfId="0" applyBorder="1" applyAlignment="1">
      <alignment horizontal="center"/>
    </xf>
    <xf numFmtId="0" fontId="0" fillId="0" borderId="26" xfId="0" quotePrefix="1" applyBorder="1" applyAlignment="1">
      <alignment horizontal="center"/>
    </xf>
    <xf numFmtId="0" fontId="0" fillId="0" borderId="29" xfId="0" applyBorder="1"/>
    <xf numFmtId="0" fontId="0" fillId="0" borderId="31" xfId="0" applyBorder="1"/>
    <xf numFmtId="0" fontId="12" fillId="0" borderId="32" xfId="0" applyFont="1" applyBorder="1"/>
    <xf numFmtId="0" fontId="12" fillId="0" borderId="24" xfId="0" applyFont="1" applyBorder="1"/>
    <xf numFmtId="0" fontId="15" fillId="0" borderId="0" xfId="0" applyFont="1"/>
    <xf numFmtId="165" fontId="0" fillId="0" borderId="25" xfId="0" applyNumberFormat="1" applyBorder="1"/>
    <xf numFmtId="165" fontId="0" fillId="0" borderId="34" xfId="29" applyNumberFormat="1" applyFont="1" applyBorder="1"/>
    <xf numFmtId="165" fontId="0" fillId="0" borderId="35" xfId="29" applyNumberFormat="1" applyFont="1" applyBorder="1"/>
    <xf numFmtId="0" fontId="12" fillId="0" borderId="40" xfId="0" applyFont="1" applyBorder="1" applyAlignment="1">
      <alignment horizontal="center"/>
    </xf>
    <xf numFmtId="0" fontId="12" fillId="0" borderId="29" xfId="0" applyFont="1" applyBorder="1" applyAlignment="1">
      <alignment horizontal="center"/>
    </xf>
    <xf numFmtId="0" fontId="0" fillId="0" borderId="41" xfId="0" applyBorder="1"/>
    <xf numFmtId="0" fontId="0" fillId="0" borderId="40" xfId="0" applyBorder="1"/>
    <xf numFmtId="0" fontId="0" fillId="0" borderId="43" xfId="0" applyBorder="1" applyAlignment="1">
      <alignment horizontal="center"/>
    </xf>
    <xf numFmtId="0" fontId="0" fillId="0" borderId="44" xfId="0" applyBorder="1"/>
    <xf numFmtId="0" fontId="0" fillId="0" borderId="43" xfId="0" applyBorder="1"/>
    <xf numFmtId="0" fontId="12" fillId="0" borderId="41" xfId="0" applyFont="1" applyBorder="1"/>
    <xf numFmtId="44" fontId="0" fillId="0" borderId="40" xfId="0" applyNumberFormat="1" applyBorder="1"/>
    <xf numFmtId="0" fontId="41" fillId="0" borderId="0" xfId="0" applyFont="1"/>
    <xf numFmtId="43" fontId="9" fillId="0" borderId="40" xfId="28" applyBorder="1"/>
    <xf numFmtId="44" fontId="9" fillId="0" borderId="40" xfId="29" applyNumberFormat="1" applyBorder="1"/>
    <xf numFmtId="165" fontId="9" fillId="0" borderId="40" xfId="29" applyNumberFormat="1" applyBorder="1"/>
    <xf numFmtId="165" fontId="9" fillId="0" borderId="29" xfId="29" applyNumberFormat="1" applyBorder="1"/>
    <xf numFmtId="44" fontId="9" fillId="0" borderId="47" xfId="29" applyNumberFormat="1" applyBorder="1"/>
    <xf numFmtId="165" fontId="9" fillId="0" borderId="47" xfId="29" applyNumberFormat="1" applyBorder="1"/>
    <xf numFmtId="0" fontId="0" fillId="0" borderId="48" xfId="0" applyBorder="1"/>
    <xf numFmtId="0" fontId="40" fillId="0" borderId="0" xfId="0" applyFont="1"/>
    <xf numFmtId="0" fontId="0" fillId="0" borderId="0" xfId="0" applyAlignment="1">
      <alignment horizontal="left"/>
    </xf>
    <xf numFmtId="0" fontId="0" fillId="0" borderId="50" xfId="0" applyBorder="1"/>
    <xf numFmtId="0" fontId="0" fillId="0" borderId="51" xfId="0" applyBorder="1"/>
    <xf numFmtId="165" fontId="0" fillId="0" borderId="31" xfId="29" applyNumberFormat="1" applyFont="1" applyBorder="1"/>
    <xf numFmtId="165" fontId="0" fillId="0" borderId="58" xfId="29" applyNumberFormat="1" applyFont="1" applyBorder="1"/>
    <xf numFmtId="0" fontId="12" fillId="0" borderId="24" xfId="0" applyFont="1" applyFill="1" applyBorder="1" applyAlignment="1">
      <alignment horizontal="center" wrapText="1"/>
    </xf>
    <xf numFmtId="165" fontId="0" fillId="0" borderId="61" xfId="29" applyNumberFormat="1" applyFont="1" applyBorder="1"/>
    <xf numFmtId="0" fontId="0" fillId="0" borderId="0" xfId="0" applyAlignment="1">
      <alignment vertical="top"/>
    </xf>
    <xf numFmtId="0" fontId="12" fillId="0" borderId="0" xfId="0" applyFont="1" applyAlignment="1">
      <alignment vertical="top"/>
    </xf>
    <xf numFmtId="0" fontId="0" fillId="0" borderId="0" xfId="0" applyFill="1"/>
    <xf numFmtId="0" fontId="0" fillId="0" borderId="25" xfId="0" applyBorder="1"/>
    <xf numFmtId="0" fontId="12" fillId="0" borderId="38" xfId="0" applyFont="1" applyBorder="1"/>
    <xf numFmtId="0" fontId="0" fillId="0" borderId="10" xfId="0" quotePrefix="1" applyBorder="1" applyAlignment="1">
      <alignment horizontal="center"/>
    </xf>
    <xf numFmtId="0" fontId="0" fillId="0" borderId="10" xfId="0" applyBorder="1" applyAlignment="1">
      <alignment vertical="top" wrapText="1"/>
    </xf>
    <xf numFmtId="0" fontId="0" fillId="0" borderId="25" xfId="0" quotePrefix="1" applyBorder="1" applyAlignment="1">
      <alignment horizontal="center"/>
    </xf>
    <xf numFmtId="0" fontId="0" fillId="0" borderId="26" xfId="0" applyBorder="1" applyAlignment="1">
      <alignment vertical="top" wrapText="1"/>
    </xf>
    <xf numFmtId="0" fontId="0" fillId="0" borderId="34" xfId="0" applyBorder="1" applyAlignment="1">
      <alignment vertical="top" wrapText="1"/>
    </xf>
    <xf numFmtId="165" fontId="0" fillId="0" borderId="34" xfId="29" applyNumberFormat="1" applyFont="1" applyBorder="1" applyAlignment="1">
      <alignment vertical="top"/>
    </xf>
    <xf numFmtId="0" fontId="0" fillId="0" borderId="36" xfId="0" applyBorder="1" applyAlignment="1">
      <alignment vertical="top" wrapText="1"/>
    </xf>
    <xf numFmtId="165" fontId="0" fillId="0" borderId="36" xfId="29" applyNumberFormat="1" applyFont="1" applyBorder="1" applyAlignment="1">
      <alignment vertical="top"/>
    </xf>
    <xf numFmtId="0" fontId="0" fillId="0" borderId="19" xfId="0" applyBorder="1" applyAlignment="1">
      <alignment vertical="top" wrapText="1"/>
    </xf>
    <xf numFmtId="165" fontId="0" fillId="0" borderId="19" xfId="29" applyNumberFormat="1" applyFont="1" applyBorder="1" applyAlignment="1">
      <alignment vertical="top"/>
    </xf>
    <xf numFmtId="10" fontId="0" fillId="0" borderId="10" xfId="42" applyNumberFormat="1" applyFont="1" applyBorder="1" applyAlignment="1">
      <alignment vertical="top"/>
    </xf>
    <xf numFmtId="10" fontId="0" fillId="0" borderId="25" xfId="42" applyNumberFormat="1" applyFont="1" applyBorder="1" applyAlignment="1">
      <alignment vertical="top"/>
    </xf>
    <xf numFmtId="10" fontId="0" fillId="0" borderId="19" xfId="42" applyNumberFormat="1" applyFont="1" applyBorder="1" applyAlignment="1">
      <alignment vertical="top"/>
    </xf>
    <xf numFmtId="10" fontId="0" fillId="0" borderId="36" xfId="42" applyNumberFormat="1" applyFont="1" applyBorder="1" applyAlignment="1">
      <alignment vertical="top"/>
    </xf>
    <xf numFmtId="10" fontId="0" fillId="0" borderId="34" xfId="42" applyNumberFormat="1" applyFont="1" applyBorder="1" applyAlignment="1">
      <alignment vertical="top"/>
    </xf>
    <xf numFmtId="10" fontId="0" fillId="0" borderId="65" xfId="42" applyNumberFormat="1" applyFont="1" applyBorder="1" applyAlignment="1">
      <alignment vertical="top"/>
    </xf>
    <xf numFmtId="10" fontId="0" fillId="0" borderId="37" xfId="42" applyNumberFormat="1" applyFont="1" applyBorder="1" applyAlignment="1">
      <alignment vertical="top"/>
    </xf>
    <xf numFmtId="10" fontId="0" fillId="0" borderId="35" xfId="42" applyNumberFormat="1" applyFont="1" applyBorder="1" applyAlignment="1">
      <alignment vertical="top"/>
    </xf>
    <xf numFmtId="165" fontId="9" fillId="0" borderId="61" xfId="29" applyNumberFormat="1" applyBorder="1"/>
    <xf numFmtId="0" fontId="0" fillId="0" borderId="28" xfId="0" applyBorder="1" applyAlignment="1">
      <alignment vertical="top"/>
    </xf>
    <xf numFmtId="0" fontId="12" fillId="0" borderId="27" xfId="0" applyFont="1" applyBorder="1" applyAlignment="1">
      <alignment vertical="top"/>
    </xf>
    <xf numFmtId="0" fontId="0" fillId="0" borderId="0" xfId="0" applyAlignment="1">
      <alignment wrapText="1"/>
    </xf>
    <xf numFmtId="10" fontId="0" fillId="0" borderId="25" xfId="42" applyNumberFormat="1" applyFont="1" applyBorder="1"/>
    <xf numFmtId="0" fontId="31" fillId="0" borderId="0" xfId="0" applyFont="1"/>
    <xf numFmtId="43" fontId="12" fillId="0" borderId="10" xfId="28" applyFont="1" applyBorder="1"/>
    <xf numFmtId="43" fontId="12" fillId="0" borderId="25" xfId="28" applyFont="1" applyBorder="1"/>
    <xf numFmtId="43" fontId="12" fillId="0" borderId="26" xfId="28" applyFont="1" applyBorder="1"/>
    <xf numFmtId="43" fontId="12" fillId="0" borderId="64" xfId="28" applyFont="1" applyBorder="1"/>
    <xf numFmtId="0" fontId="12" fillId="0" borderId="0" xfId="0" applyFont="1" applyFill="1" applyBorder="1"/>
    <xf numFmtId="0" fontId="12" fillId="0" borderId="0" xfId="0" applyFont="1" applyAlignment="1">
      <alignment horizontal="right"/>
    </xf>
    <xf numFmtId="0" fontId="12" fillId="0" borderId="0" xfId="0" applyFont="1" applyAlignment="1">
      <alignment wrapText="1"/>
    </xf>
    <xf numFmtId="0" fontId="0" fillId="0" borderId="34" xfId="0" applyBorder="1"/>
    <xf numFmtId="10" fontId="0" fillId="0" borderId="26" xfId="0" applyNumberFormat="1" applyBorder="1"/>
    <xf numFmtId="10" fontId="0" fillId="0" borderId="64" xfId="0" applyNumberFormat="1" applyBorder="1"/>
    <xf numFmtId="0" fontId="12" fillId="0" borderId="0" xfId="0" applyFont="1" applyAlignment="1">
      <alignment horizontal="center"/>
    </xf>
    <xf numFmtId="43" fontId="0" fillId="0" borderId="10" xfId="0" applyNumberFormat="1" applyBorder="1"/>
    <xf numFmtId="43" fontId="0" fillId="0" borderId="26" xfId="0" applyNumberFormat="1" applyBorder="1"/>
    <xf numFmtId="0" fontId="0" fillId="0" borderId="25" xfId="0" applyBorder="1" applyAlignment="1">
      <alignment horizontal="center"/>
    </xf>
    <xf numFmtId="0" fontId="42" fillId="0" borderId="0" xfId="36" quotePrefix="1" applyFont="1" applyAlignment="1" applyProtection="1">
      <alignment horizontal="center"/>
    </xf>
    <xf numFmtId="0" fontId="12" fillId="0" borderId="45" xfId="0" quotePrefix="1" applyFont="1" applyBorder="1" applyAlignment="1">
      <alignment horizontal="center"/>
    </xf>
    <xf numFmtId="0" fontId="12" fillId="0" borderId="43" xfId="0" quotePrefix="1" applyFont="1" applyBorder="1" applyAlignment="1">
      <alignment horizontal="center"/>
    </xf>
    <xf numFmtId="0" fontId="12" fillId="26" borderId="43" xfId="0" applyFont="1" applyFill="1" applyBorder="1"/>
    <xf numFmtId="0" fontId="12" fillId="26" borderId="40" xfId="0" applyFont="1" applyFill="1" applyBorder="1"/>
    <xf numFmtId="0" fontId="0" fillId="26" borderId="40" xfId="0" applyFill="1" applyBorder="1"/>
    <xf numFmtId="0" fontId="0" fillId="26" borderId="41" xfId="0" applyFill="1" applyBorder="1"/>
    <xf numFmtId="0" fontId="12" fillId="0" borderId="0" xfId="0" applyFont="1" applyFill="1"/>
    <xf numFmtId="0" fontId="31" fillId="0" borderId="0" xfId="0" applyFont="1" applyAlignment="1">
      <alignment horizontal="center"/>
    </xf>
    <xf numFmtId="0" fontId="9" fillId="0" borderId="10" xfId="0" applyFont="1" applyBorder="1"/>
    <xf numFmtId="0" fontId="9" fillId="0" borderId="0" xfId="0" applyFont="1"/>
    <xf numFmtId="0" fontId="9" fillId="0" borderId="0" xfId="0" applyFont="1" applyAlignment="1">
      <alignment wrapText="1"/>
    </xf>
    <xf numFmtId="0" fontId="44" fillId="0" borderId="0" xfId="0" applyFont="1"/>
    <xf numFmtId="0" fontId="45" fillId="0" borderId="0" xfId="0" applyFont="1"/>
    <xf numFmtId="10" fontId="0" fillId="0" borderId="26" xfId="42" applyNumberFormat="1" applyFont="1" applyBorder="1" applyAlignment="1">
      <alignment vertical="top"/>
    </xf>
    <xf numFmtId="10" fontId="0" fillId="0" borderId="64" xfId="42" applyNumberFormat="1" applyFont="1" applyBorder="1" applyAlignment="1">
      <alignment vertical="top"/>
    </xf>
    <xf numFmtId="0" fontId="12" fillId="25" borderId="10" xfId="0" applyFont="1" applyFill="1" applyBorder="1" applyAlignment="1">
      <alignment horizontal="center"/>
    </xf>
    <xf numFmtId="0" fontId="12" fillId="25" borderId="19" xfId="0" applyFont="1" applyFill="1" applyBorder="1" applyAlignment="1">
      <alignment horizontal="center"/>
    </xf>
    <xf numFmtId="0" fontId="12" fillId="0" borderId="27" xfId="0" applyFont="1" applyBorder="1" applyAlignment="1">
      <alignment horizontal="center"/>
    </xf>
    <xf numFmtId="0" fontId="12" fillId="0" borderId="27" xfId="0" applyFont="1" applyBorder="1" applyAlignment="1">
      <alignment horizontal="center" vertical="top"/>
    </xf>
    <xf numFmtId="0" fontId="12" fillId="0" borderId="28" xfId="0" applyFont="1" applyBorder="1" applyAlignment="1">
      <alignment horizontal="center" vertical="top"/>
    </xf>
    <xf numFmtId="0" fontId="12" fillId="0" borderId="78" xfId="0" applyFont="1" applyBorder="1" applyAlignment="1">
      <alignment horizontal="center" vertical="top"/>
    </xf>
    <xf numFmtId="0" fontId="12" fillId="0" borderId="74" xfId="0" applyFont="1" applyBorder="1" applyAlignment="1">
      <alignment horizontal="center" vertical="top"/>
    </xf>
    <xf numFmtId="0" fontId="12" fillId="0" borderId="38" xfId="0" applyFont="1" applyBorder="1" applyAlignment="1">
      <alignment horizontal="center" vertical="top"/>
    </xf>
    <xf numFmtId="0" fontId="17" fillId="0" borderId="0" xfId="0" quotePrefix="1" applyFont="1"/>
    <xf numFmtId="0" fontId="17" fillId="0" borderId="0" xfId="0" applyFont="1" applyFill="1" applyBorder="1"/>
    <xf numFmtId="0" fontId="12" fillId="0" borderId="0" xfId="0" applyFont="1" applyFill="1" applyBorder="1" applyAlignment="1">
      <alignment vertical="top"/>
    </xf>
    <xf numFmtId="0" fontId="12" fillId="25" borderId="25" xfId="0" applyFont="1" applyFill="1" applyBorder="1" applyAlignment="1">
      <alignment horizontal="center"/>
    </xf>
    <xf numFmtId="0" fontId="12" fillId="0" borderId="0" xfId="0" applyFont="1" applyAlignment="1">
      <alignment vertical="top" wrapText="1"/>
    </xf>
    <xf numFmtId="0" fontId="12" fillId="0" borderId="24" xfId="0" applyFont="1" applyFill="1" applyBorder="1" applyAlignment="1">
      <alignment horizontal="center" vertical="center" wrapText="1"/>
    </xf>
    <xf numFmtId="0" fontId="0" fillId="0" borderId="63" xfId="0" applyFill="1" applyBorder="1" applyAlignment="1">
      <alignment horizontal="center" vertical="center" wrapText="1"/>
    </xf>
    <xf numFmtId="0" fontId="12" fillId="0" borderId="10" xfId="0" applyFont="1" applyFill="1" applyBorder="1" applyAlignment="1">
      <alignment horizontal="center" vertical="top" wrapText="1"/>
    </xf>
    <xf numFmtId="0" fontId="12" fillId="0" borderId="63" xfId="0" applyFont="1" applyFill="1" applyBorder="1" applyAlignment="1">
      <alignment horizontal="center"/>
    </xf>
    <xf numFmtId="0" fontId="12" fillId="0" borderId="19" xfId="0" applyFont="1" applyFill="1" applyBorder="1" applyAlignment="1">
      <alignment horizontal="center"/>
    </xf>
    <xf numFmtId="0" fontId="12" fillId="0" borderId="25" xfId="0" applyFont="1" applyFill="1" applyBorder="1" applyAlignment="1">
      <alignment horizontal="center" vertical="top" wrapText="1"/>
    </xf>
    <xf numFmtId="0" fontId="12" fillId="0" borderId="17" xfId="0" applyFont="1" applyFill="1" applyBorder="1" applyAlignment="1">
      <alignment horizontal="center" vertical="center" wrapText="1"/>
    </xf>
    <xf numFmtId="0" fontId="12" fillId="0" borderId="10" xfId="0" applyFont="1" applyFill="1" applyBorder="1" applyAlignment="1">
      <alignment horizontal="center"/>
    </xf>
    <xf numFmtId="0" fontId="12" fillId="0" borderId="25" xfId="0" applyFont="1" applyFill="1" applyBorder="1" applyAlignment="1">
      <alignment horizontal="center"/>
    </xf>
    <xf numFmtId="0" fontId="0" fillId="0" borderId="27" xfId="0" applyFill="1" applyBorder="1"/>
    <xf numFmtId="0" fontId="0" fillId="0" borderId="27" xfId="0" applyFill="1" applyBorder="1" applyAlignment="1">
      <alignment vertical="top"/>
    </xf>
    <xf numFmtId="0" fontId="31" fillId="0" borderId="0" xfId="0" applyFont="1" applyAlignment="1" applyProtection="1">
      <alignment horizontal="right"/>
    </xf>
    <xf numFmtId="0" fontId="31" fillId="0" borderId="0" xfId="0" applyFont="1" applyProtection="1"/>
    <xf numFmtId="0" fontId="12" fillId="0" borderId="27" xfId="0" applyFont="1" applyFill="1" applyBorder="1" applyAlignment="1">
      <alignment horizontal="center"/>
    </xf>
    <xf numFmtId="0" fontId="12" fillId="0" borderId="72" xfId="0" applyFont="1" applyFill="1" applyBorder="1" applyAlignment="1">
      <alignment horizontal="center" vertical="center"/>
    </xf>
    <xf numFmtId="0" fontId="12" fillId="0" borderId="46" xfId="0" applyFont="1" applyFill="1" applyBorder="1" applyAlignment="1">
      <alignment horizontal="center" vertical="center"/>
    </xf>
    <xf numFmtId="0" fontId="12" fillId="0" borderId="41" xfId="0" applyFont="1" applyFill="1" applyBorder="1" applyAlignment="1">
      <alignment horizontal="center" vertical="center" wrapText="1"/>
    </xf>
    <xf numFmtId="0" fontId="12" fillId="0" borderId="41"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10" xfId="0" quotePrefix="1" applyFont="1" applyFill="1" applyBorder="1" applyAlignment="1">
      <alignment horizontal="center"/>
    </xf>
    <xf numFmtId="0" fontId="12" fillId="0" borderId="25" xfId="0" quotePrefix="1" applyFont="1" applyFill="1" applyBorder="1" applyAlignment="1">
      <alignment horizontal="center"/>
    </xf>
    <xf numFmtId="165" fontId="0" fillId="0" borderId="64" xfId="29" applyNumberFormat="1" applyFont="1" applyBorder="1"/>
    <xf numFmtId="0" fontId="49" fillId="0" borderId="0" xfId="0" applyFont="1"/>
    <xf numFmtId="0" fontId="12" fillId="0" borderId="78" xfId="0" applyFont="1" applyBorder="1"/>
    <xf numFmtId="0" fontId="12" fillId="0" borderId="19" xfId="0" applyFont="1" applyBorder="1"/>
    <xf numFmtId="0" fontId="12" fillId="0" borderId="11" xfId="0" applyFont="1" applyFill="1" applyBorder="1" applyAlignment="1">
      <alignment horizontal="center"/>
    </xf>
    <xf numFmtId="0" fontId="12" fillId="0" borderId="55" xfId="0" applyFont="1" applyBorder="1"/>
    <xf numFmtId="165" fontId="0" fillId="0" borderId="33" xfId="29" applyNumberFormat="1" applyFont="1" applyBorder="1"/>
    <xf numFmtId="0" fontId="12" fillId="0" borderId="10" xfId="0" applyFont="1" applyBorder="1" applyAlignment="1">
      <alignment vertical="center" wrapText="1"/>
    </xf>
    <xf numFmtId="0" fontId="12" fillId="25" borderId="63" xfId="0" applyFont="1" applyFill="1" applyBorder="1" applyAlignment="1">
      <alignment horizontal="center"/>
    </xf>
    <xf numFmtId="0" fontId="12" fillId="25" borderId="79" xfId="0" applyFont="1" applyFill="1" applyBorder="1" applyAlignment="1">
      <alignment horizontal="center"/>
    </xf>
    <xf numFmtId="0" fontId="12" fillId="25" borderId="65" xfId="0" applyFont="1" applyFill="1" applyBorder="1" applyAlignment="1">
      <alignment horizontal="center"/>
    </xf>
    <xf numFmtId="0" fontId="43" fillId="25" borderId="0" xfId="0" applyFont="1" applyFill="1"/>
    <xf numFmtId="0" fontId="12" fillId="25" borderId="0" xfId="0" applyFont="1" applyFill="1" applyBorder="1" applyAlignment="1">
      <alignment horizontal="center"/>
    </xf>
    <xf numFmtId="0" fontId="0" fillId="25" borderId="0" xfId="0" applyFill="1" applyBorder="1"/>
    <xf numFmtId="0" fontId="14" fillId="0" borderId="0" xfId="0" applyFont="1" applyAlignment="1">
      <alignment horizontal="left"/>
    </xf>
    <xf numFmtId="44" fontId="9" fillId="0" borderId="0" xfId="29" applyFont="1" applyFill="1" applyBorder="1"/>
    <xf numFmtId="44" fontId="9" fillId="0" borderId="0" xfId="29" applyBorder="1"/>
    <xf numFmtId="0" fontId="12" fillId="0" borderId="51" xfId="0" applyFont="1" applyFill="1" applyBorder="1"/>
    <xf numFmtId="3" fontId="0" fillId="0" borderId="10" xfId="0" applyNumberFormat="1" applyFill="1" applyBorder="1"/>
    <xf numFmtId="3" fontId="0" fillId="0" borderId="10" xfId="29" applyNumberFormat="1" applyFont="1" applyFill="1" applyBorder="1"/>
    <xf numFmtId="3" fontId="0" fillId="0" borderId="19" xfId="0" applyNumberFormat="1" applyFill="1" applyBorder="1"/>
    <xf numFmtId="3" fontId="0" fillId="0" borderId="19" xfId="29" applyNumberFormat="1" applyFont="1" applyFill="1" applyBorder="1"/>
    <xf numFmtId="3" fontId="12" fillId="0" borderId="58" xfId="0" applyNumberFormat="1" applyFont="1" applyFill="1" applyBorder="1"/>
    <xf numFmtId="0" fontId="12" fillId="0" borderId="16" xfId="0" applyFont="1" applyFill="1" applyBorder="1"/>
    <xf numFmtId="0" fontId="12" fillId="0" borderId="33" xfId="0" applyFont="1" applyFill="1" applyBorder="1"/>
    <xf numFmtId="0" fontId="53" fillId="0" borderId="0" xfId="0" applyFont="1" applyFill="1" applyBorder="1" applyAlignment="1">
      <alignment vertical="top"/>
    </xf>
    <xf numFmtId="0" fontId="0" fillId="29" borderId="44" xfId="0" applyFill="1" applyBorder="1"/>
    <xf numFmtId="0" fontId="0" fillId="28" borderId="44" xfId="0" applyFill="1" applyBorder="1"/>
    <xf numFmtId="0" fontId="0" fillId="0" borderId="0" xfId="0" applyFill="1" applyBorder="1" applyAlignment="1">
      <alignment wrapText="1"/>
    </xf>
    <xf numFmtId="0" fontId="54" fillId="0" borderId="0" xfId="0" applyFont="1" applyAlignment="1" applyProtection="1">
      <alignment horizontal="right" vertical="center"/>
    </xf>
    <xf numFmtId="0" fontId="31" fillId="0" borderId="0" xfId="0" applyFont="1" applyAlignment="1" applyProtection="1">
      <alignment horizontal="right" vertical="center"/>
    </xf>
    <xf numFmtId="0" fontId="54" fillId="0" borderId="0" xfId="0" applyFont="1" applyAlignment="1" applyProtection="1">
      <alignment horizontal="right" vertical="center" indent="1"/>
    </xf>
    <xf numFmtId="0" fontId="31" fillId="0" borderId="0" xfId="0" applyFont="1" applyAlignment="1">
      <alignment horizontal="right" indent="1"/>
    </xf>
    <xf numFmtId="0" fontId="55" fillId="0" borderId="0" xfId="0" applyFont="1" applyAlignment="1">
      <alignment horizontal="left" vertical="top" indent="1"/>
    </xf>
    <xf numFmtId="0" fontId="12" fillId="28" borderId="19" xfId="0" applyFont="1" applyFill="1" applyBorder="1" applyAlignment="1">
      <alignment horizontal="center"/>
    </xf>
    <xf numFmtId="0" fontId="12" fillId="29" borderId="33" xfId="0" applyFont="1" applyFill="1" applyBorder="1"/>
    <xf numFmtId="3" fontId="0" fillId="29" borderId="11" xfId="0" applyNumberFormat="1" applyFill="1" applyBorder="1"/>
    <xf numFmtId="3" fontId="0" fillId="29" borderId="11" xfId="29" applyNumberFormat="1" applyFont="1" applyFill="1" applyBorder="1"/>
    <xf numFmtId="3" fontId="0" fillId="29" borderId="10" xfId="0" applyNumberFormat="1" applyFill="1" applyBorder="1"/>
    <xf numFmtId="3" fontId="0" fillId="29" borderId="10" xfId="29" applyNumberFormat="1" applyFont="1" applyFill="1" applyBorder="1"/>
    <xf numFmtId="3" fontId="0" fillId="29" borderId="17" xfId="0" applyNumberFormat="1" applyFill="1" applyBorder="1"/>
    <xf numFmtId="3" fontId="0" fillId="29" borderId="17" xfId="29" applyNumberFormat="1" applyFont="1" applyFill="1" applyBorder="1"/>
    <xf numFmtId="0" fontId="12" fillId="29" borderId="33" xfId="0" applyFont="1" applyFill="1" applyBorder="1" applyAlignment="1">
      <alignment wrapText="1"/>
    </xf>
    <xf numFmtId="0" fontId="16" fillId="0" borderId="0" xfId="0" applyFont="1" applyAlignment="1"/>
    <xf numFmtId="165" fontId="0" fillId="29" borderId="10" xfId="29" applyNumberFormat="1" applyFont="1" applyFill="1" applyBorder="1"/>
    <xf numFmtId="0" fontId="0" fillId="29" borderId="10" xfId="0" applyFill="1" applyBorder="1"/>
    <xf numFmtId="165" fontId="0" fillId="29" borderId="33" xfId="29" applyNumberFormat="1" applyFont="1" applyFill="1" applyBorder="1"/>
    <xf numFmtId="165" fontId="0" fillId="29" borderId="0" xfId="29" applyNumberFormat="1" applyFont="1" applyFill="1"/>
    <xf numFmtId="0" fontId="11" fillId="0" borderId="0" xfId="0" applyFont="1" applyAlignment="1">
      <alignment horizontal="right" vertical="top"/>
    </xf>
    <xf numFmtId="0" fontId="11" fillId="29" borderId="104" xfId="0" applyFont="1" applyFill="1" applyBorder="1" applyAlignment="1">
      <alignment horizontal="right" vertical="top"/>
    </xf>
    <xf numFmtId="0" fontId="11" fillId="29" borderId="0" xfId="0" applyFont="1" applyFill="1" applyAlignment="1">
      <alignment horizontal="right" vertical="top"/>
    </xf>
    <xf numFmtId="165" fontId="0" fillId="29" borderId="12" xfId="29" applyNumberFormat="1" applyFont="1" applyFill="1" applyBorder="1"/>
    <xf numFmtId="0" fontId="40" fillId="0" borderId="0" xfId="0" applyFont="1" applyAlignment="1">
      <alignment horizontal="left" vertical="top"/>
    </xf>
    <xf numFmtId="165" fontId="0" fillId="29" borderId="104" xfId="29" applyNumberFormat="1" applyFont="1" applyFill="1" applyBorder="1"/>
    <xf numFmtId="0" fontId="0" fillId="0" borderId="0" xfId="0" applyAlignment="1">
      <alignment horizontal="left"/>
    </xf>
    <xf numFmtId="0" fontId="12" fillId="0" borderId="0" xfId="0" applyFont="1" applyAlignment="1">
      <alignment horizontal="left"/>
    </xf>
    <xf numFmtId="0" fontId="9" fillId="0" borderId="0" xfId="46"/>
    <xf numFmtId="0" fontId="12" fillId="0" borderId="0" xfId="46" applyFont="1"/>
    <xf numFmtId="0" fontId="12" fillId="0" borderId="0" xfId="46" applyFont="1" applyFill="1"/>
    <xf numFmtId="0" fontId="9" fillId="0" borderId="0" xfId="46" applyFill="1"/>
    <xf numFmtId="168" fontId="9" fillId="0" borderId="0" xfId="46" applyNumberFormat="1" applyFill="1"/>
    <xf numFmtId="0" fontId="12" fillId="25" borderId="75" xfId="46" applyFont="1" applyFill="1" applyBorder="1" applyAlignment="1">
      <alignment horizontal="center" vertical="center" wrapText="1"/>
    </xf>
    <xf numFmtId="0" fontId="12" fillId="25" borderId="76" xfId="46" applyFont="1" applyFill="1" applyBorder="1" applyAlignment="1">
      <alignment horizontal="center" vertical="center" wrapText="1"/>
    </xf>
    <xf numFmtId="0" fontId="12" fillId="25" borderId="19" xfId="46" quotePrefix="1" applyFont="1" applyFill="1" applyBorder="1" applyAlignment="1">
      <alignment horizontal="center"/>
    </xf>
    <xf numFmtId="0" fontId="12" fillId="25" borderId="19" xfId="46" quotePrefix="1" applyFont="1" applyFill="1" applyBorder="1" applyAlignment="1">
      <alignment horizontal="center" wrapText="1"/>
    </xf>
    <xf numFmtId="0" fontId="12" fillId="25" borderId="65" xfId="46" quotePrefix="1" applyFont="1" applyFill="1" applyBorder="1" applyAlignment="1">
      <alignment horizontal="center"/>
    </xf>
    <xf numFmtId="10" fontId="9" fillId="0" borderId="10" xfId="29" applyNumberFormat="1" applyBorder="1"/>
    <xf numFmtId="0" fontId="9" fillId="0" borderId="27" xfId="46" applyFont="1" applyBorder="1" applyAlignment="1">
      <alignment horizontal="center"/>
    </xf>
    <xf numFmtId="0" fontId="9" fillId="0" borderId="10" xfId="46" applyFont="1" applyBorder="1"/>
    <xf numFmtId="0" fontId="9" fillId="0" borderId="74" xfId="46" applyFont="1" applyBorder="1" applyAlignment="1">
      <alignment horizontal="center"/>
    </xf>
    <xf numFmtId="0" fontId="9" fillId="0" borderId="36" xfId="46" applyFont="1" applyBorder="1"/>
    <xf numFmtId="0" fontId="9" fillId="0" borderId="38" xfId="46" applyFont="1" applyBorder="1" applyAlignment="1">
      <alignment horizontal="center"/>
    </xf>
    <xf numFmtId="0" fontId="12" fillId="0" borderId="34" xfId="46" applyFont="1" applyBorder="1"/>
    <xf numFmtId="44" fontId="9" fillId="0" borderId="34" xfId="29" applyBorder="1"/>
    <xf numFmtId="43" fontId="9" fillId="0" borderId="34" xfId="28" applyBorder="1"/>
    <xf numFmtId="44" fontId="9" fillId="0" borderId="58" xfId="29" applyBorder="1"/>
    <xf numFmtId="0" fontId="9" fillId="0" borderId="0" xfId="46" applyFont="1"/>
    <xf numFmtId="0" fontId="12" fillId="25" borderId="105" xfId="46" applyFont="1" applyFill="1" applyBorder="1" applyAlignment="1">
      <alignment horizontal="center" vertical="center" wrapText="1"/>
    </xf>
    <xf numFmtId="0" fontId="47" fillId="0" borderId="0" xfId="46" applyFont="1" applyAlignment="1">
      <alignment wrapText="1"/>
    </xf>
    <xf numFmtId="0" fontId="9" fillId="0" borderId="0" xfId="46" applyFont="1" applyBorder="1" applyAlignment="1">
      <alignment horizontal="center"/>
    </xf>
    <xf numFmtId="0" fontId="9" fillId="0" borderId="0" xfId="29" applyNumberFormat="1" applyBorder="1"/>
    <xf numFmtId="44" fontId="9" fillId="0" borderId="0" xfId="46" applyNumberFormat="1" applyBorder="1"/>
    <xf numFmtId="0" fontId="12" fillId="0" borderId="0" xfId="46" applyFont="1" applyAlignment="1">
      <alignment horizontal="center"/>
    </xf>
    <xf numFmtId="0" fontId="9" fillId="0" borderId="71" xfId="46" applyBorder="1"/>
    <xf numFmtId="0" fontId="12" fillId="0" borderId="76" xfId="46" applyFont="1" applyFill="1" applyBorder="1" applyAlignment="1">
      <alignment horizontal="center"/>
    </xf>
    <xf numFmtId="0" fontId="9" fillId="0" borderId="15" xfId="46" applyBorder="1"/>
    <xf numFmtId="0" fontId="12" fillId="0" borderId="69" xfId="46" applyFont="1" applyFill="1" applyBorder="1" applyAlignment="1">
      <alignment horizontal="center"/>
    </xf>
    <xf numFmtId="0" fontId="12" fillId="0" borderId="65" xfId="46" applyFont="1" applyFill="1" applyBorder="1" applyAlignment="1">
      <alignment horizontal="center"/>
    </xf>
    <xf numFmtId="0" fontId="9" fillId="0" borderId="11" xfId="46" applyBorder="1"/>
    <xf numFmtId="165" fontId="9" fillId="0" borderId="25" xfId="29" applyNumberFormat="1" applyFill="1" applyBorder="1"/>
    <xf numFmtId="0" fontId="9" fillId="0" borderId="34" xfId="46" applyBorder="1"/>
    <xf numFmtId="0" fontId="12" fillId="0" borderId="0" xfId="46" applyFont="1" applyBorder="1" applyAlignment="1">
      <alignment horizontal="left" wrapText="1"/>
    </xf>
    <xf numFmtId="0" fontId="9" fillId="0" borderId="0" xfId="46" applyBorder="1"/>
    <xf numFmtId="165" fontId="9" fillId="0" borderId="0" xfId="29" applyNumberFormat="1" applyBorder="1"/>
    <xf numFmtId="0" fontId="9" fillId="0" borderId="0" xfId="46" applyAlignment="1">
      <alignment horizontal="left" wrapText="1"/>
    </xf>
    <xf numFmtId="0" fontId="9" fillId="0" borderId="0" xfId="46" applyAlignment="1">
      <alignment horizontal="left"/>
    </xf>
    <xf numFmtId="0" fontId="12" fillId="29" borderId="76" xfId="46" applyFont="1" applyFill="1" applyBorder="1" applyAlignment="1">
      <alignment horizontal="center"/>
    </xf>
    <xf numFmtId="0" fontId="12" fillId="29" borderId="69" xfId="46" applyFont="1" applyFill="1" applyBorder="1" applyAlignment="1">
      <alignment horizontal="center"/>
    </xf>
    <xf numFmtId="0" fontId="12" fillId="29" borderId="65" xfId="46" applyFont="1" applyFill="1" applyBorder="1" applyAlignment="1">
      <alignment horizontal="center"/>
    </xf>
    <xf numFmtId="165" fontId="9" fillId="29" borderId="25" xfId="29" applyNumberFormat="1" applyFont="1" applyFill="1" applyBorder="1"/>
    <xf numFmtId="165" fontId="9" fillId="29" borderId="25" xfId="29" applyNumberFormat="1" applyFill="1" applyBorder="1"/>
    <xf numFmtId="165" fontId="9" fillId="29" borderId="70" xfId="29" applyNumberFormat="1" applyFill="1" applyBorder="1"/>
    <xf numFmtId="165" fontId="9" fillId="29" borderId="106" xfId="29" applyNumberFormat="1" applyFill="1" applyBorder="1" applyAlignment="1"/>
    <xf numFmtId="165" fontId="9" fillId="0" borderId="106" xfId="29" applyNumberFormat="1" applyFill="1" applyBorder="1" applyAlignment="1"/>
    <xf numFmtId="165" fontId="9" fillId="29" borderId="64" xfId="29" applyNumberFormat="1" applyFill="1" applyBorder="1"/>
    <xf numFmtId="0" fontId="18" fillId="0" borderId="0" xfId="47"/>
    <xf numFmtId="0" fontId="56" fillId="0" borderId="0" xfId="47" applyFont="1"/>
    <xf numFmtId="0" fontId="57" fillId="0" borderId="0" xfId="47" applyFont="1"/>
    <xf numFmtId="0" fontId="34" fillId="0" borderId="0" xfId="47" applyFont="1"/>
    <xf numFmtId="0" fontId="52" fillId="0" borderId="0" xfId="47" applyFont="1"/>
    <xf numFmtId="0" fontId="58" fillId="0" borderId="0" xfId="47" applyFont="1"/>
    <xf numFmtId="0" fontId="56" fillId="0" borderId="0" xfId="47" applyFont="1" applyAlignment="1">
      <alignment wrapText="1"/>
    </xf>
    <xf numFmtId="3" fontId="52" fillId="0" borderId="0" xfId="47" applyNumberFormat="1" applyFont="1"/>
    <xf numFmtId="0" fontId="56" fillId="0" borderId="0" xfId="47" applyFont="1" applyAlignment="1">
      <alignment horizontal="right"/>
    </xf>
    <xf numFmtId="0" fontId="18" fillId="0" borderId="0" xfId="47" applyFont="1"/>
    <xf numFmtId="0" fontId="9" fillId="0" borderId="0" xfId="0" applyFont="1" applyAlignment="1"/>
    <xf numFmtId="0" fontId="16" fillId="0" borderId="0" xfId="0" applyFont="1" applyAlignment="1">
      <alignment horizontal="center"/>
    </xf>
    <xf numFmtId="0" fontId="12" fillId="0" borderId="0" xfId="0" applyFont="1" applyAlignment="1">
      <alignment horizontal="left" vertical="top" wrapText="1"/>
    </xf>
    <xf numFmtId="0" fontId="12" fillId="0" borderId="0" xfId="0" applyFont="1" applyAlignment="1">
      <alignment horizontal="left"/>
    </xf>
    <xf numFmtId="0" fontId="9" fillId="0" borderId="0" xfId="0" applyFont="1" applyAlignment="1">
      <alignment vertical="top" wrapText="1"/>
    </xf>
    <xf numFmtId="0" fontId="12" fillId="0" borderId="0" xfId="0" applyFont="1" applyAlignment="1">
      <alignment horizontal="center" vertical="top" wrapText="1"/>
    </xf>
    <xf numFmtId="44" fontId="9" fillId="29" borderId="10" xfId="29" applyFill="1" applyBorder="1"/>
    <xf numFmtId="43" fontId="9" fillId="29" borderId="10" xfId="28" applyFill="1" applyBorder="1"/>
    <xf numFmtId="43" fontId="9" fillId="29" borderId="36" xfId="28" applyFill="1" applyBorder="1"/>
    <xf numFmtId="0" fontId="9" fillId="0" borderId="0" xfId="46" applyAlignment="1">
      <alignment horizontal="center" vertical="center"/>
    </xf>
    <xf numFmtId="0" fontId="9" fillId="0" borderId="0" xfId="46" applyFont="1" applyAlignment="1">
      <alignment horizontal="center"/>
    </xf>
    <xf numFmtId="0" fontId="9" fillId="0" borderId="0" xfId="46" applyAlignment="1">
      <alignment horizontal="center" vertical="top"/>
    </xf>
    <xf numFmtId="0" fontId="9" fillId="0" borderId="93" xfId="46" applyFont="1" applyBorder="1" applyAlignment="1">
      <alignment horizontal="center"/>
    </xf>
    <xf numFmtId="0" fontId="9" fillId="0" borderId="17" xfId="46" applyFont="1" applyBorder="1"/>
    <xf numFmtId="43" fontId="9" fillId="29" borderId="17" xfId="28" applyFill="1" applyBorder="1"/>
    <xf numFmtId="0" fontId="9" fillId="0" borderId="88" xfId="46" applyFont="1" applyBorder="1" applyAlignment="1">
      <alignment horizontal="center"/>
    </xf>
    <xf numFmtId="0" fontId="12" fillId="0" borderId="58" xfId="46" applyFont="1" applyBorder="1"/>
    <xf numFmtId="43" fontId="9" fillId="0" borderId="58" xfId="28" applyBorder="1"/>
    <xf numFmtId="43" fontId="9" fillId="29" borderId="19" xfId="28" applyFill="1" applyBorder="1"/>
    <xf numFmtId="0" fontId="12" fillId="25" borderId="34" xfId="46" quotePrefix="1" applyFont="1" applyFill="1" applyBorder="1" applyAlignment="1">
      <alignment horizontal="center"/>
    </xf>
    <xf numFmtId="0" fontId="12" fillId="25" borderId="35" xfId="46" quotePrefix="1" applyFont="1" applyFill="1" applyBorder="1" applyAlignment="1">
      <alignment horizontal="center" wrapText="1"/>
    </xf>
    <xf numFmtId="0" fontId="12" fillId="25" borderId="35" xfId="46" quotePrefix="1" applyFont="1" applyFill="1" applyBorder="1" applyAlignment="1">
      <alignment horizontal="center"/>
    </xf>
    <xf numFmtId="0" fontId="12" fillId="25" borderId="35" xfId="46" applyFont="1" applyFill="1" applyBorder="1" applyAlignment="1">
      <alignment horizontal="center" wrapText="1"/>
    </xf>
    <xf numFmtId="0" fontId="9" fillId="0" borderId="10" xfId="0" applyFont="1" applyBorder="1" applyAlignment="1">
      <alignment horizontal="center" vertical="center"/>
    </xf>
    <xf numFmtId="0" fontId="9" fillId="0" borderId="10" xfId="0" applyFont="1" applyBorder="1" applyAlignment="1">
      <alignment vertical="center" wrapText="1"/>
    </xf>
    <xf numFmtId="0" fontId="9" fillId="0" borderId="10" xfId="0" applyFont="1" applyFill="1" applyBorder="1" applyAlignment="1">
      <alignment vertical="center" wrapText="1"/>
    </xf>
    <xf numFmtId="0" fontId="9" fillId="0" borderId="0" xfId="46" applyFont="1" applyAlignment="1">
      <alignment horizontal="center" vertical="center"/>
    </xf>
    <xf numFmtId="0" fontId="9" fillId="0" borderId="46" xfId="46" applyBorder="1"/>
    <xf numFmtId="0" fontId="12" fillId="0" borderId="72" xfId="46" applyFont="1" applyBorder="1"/>
    <xf numFmtId="0" fontId="12" fillId="0" borderId="0" xfId="46" applyFont="1" applyAlignment="1">
      <alignment vertical="top"/>
    </xf>
    <xf numFmtId="44" fontId="9" fillId="29" borderId="24" xfId="29" applyFill="1" applyBorder="1"/>
    <xf numFmtId="43" fontId="9" fillId="29" borderId="24" xfId="28" applyFill="1" applyBorder="1"/>
    <xf numFmtId="0" fontId="12" fillId="25" borderId="34" xfId="46" quotePrefix="1" applyFont="1" applyFill="1" applyBorder="1" applyAlignment="1">
      <alignment horizontal="center" wrapText="1"/>
    </xf>
    <xf numFmtId="0" fontId="12" fillId="25" borderId="34" xfId="46" applyFont="1" applyFill="1" applyBorder="1" applyAlignment="1">
      <alignment horizontal="center" wrapText="1"/>
    </xf>
    <xf numFmtId="0" fontId="12" fillId="25" borderId="80" xfId="46" applyFont="1" applyFill="1" applyBorder="1" applyAlignment="1">
      <alignment horizontal="center"/>
    </xf>
    <xf numFmtId="0" fontId="12" fillId="25" borderId="35" xfId="46" applyFont="1" applyFill="1" applyBorder="1" applyAlignment="1">
      <alignment horizontal="center"/>
    </xf>
    <xf numFmtId="0" fontId="14" fillId="0" borderId="0" xfId="46" applyFont="1"/>
    <xf numFmtId="0" fontId="9" fillId="0" borderId="39" xfId="46" applyBorder="1"/>
    <xf numFmtId="165" fontId="9" fillId="29" borderId="106" xfId="29" applyNumberFormat="1" applyFill="1" applyBorder="1"/>
    <xf numFmtId="165" fontId="9" fillId="0" borderId="70" xfId="29" applyNumberFormat="1" applyFill="1" applyBorder="1"/>
    <xf numFmtId="165" fontId="9" fillId="29" borderId="109" xfId="29" applyNumberFormat="1" applyFill="1" applyBorder="1"/>
    <xf numFmtId="0" fontId="9" fillId="0" borderId="114" xfId="46" applyBorder="1"/>
    <xf numFmtId="0" fontId="12" fillId="0" borderId="0" xfId="46" applyFont="1" applyBorder="1" applyAlignment="1">
      <alignment horizontal="left"/>
    </xf>
    <xf numFmtId="0" fontId="9" fillId="0" borderId="0" xfId="46" applyFont="1" applyAlignment="1"/>
    <xf numFmtId="165" fontId="9" fillId="28" borderId="25" xfId="29" applyNumberFormat="1" applyFill="1" applyBorder="1"/>
    <xf numFmtId="165" fontId="9" fillId="28" borderId="70" xfId="29" applyNumberFormat="1" applyFill="1" applyBorder="1"/>
    <xf numFmtId="165" fontId="9" fillId="30" borderId="108" xfId="29" applyNumberFormat="1" applyFill="1" applyBorder="1" applyAlignment="1"/>
    <xf numFmtId="0" fontId="9" fillId="30" borderId="40" xfId="46" applyFill="1" applyBorder="1" applyAlignment="1"/>
    <xf numFmtId="10" fontId="52" fillId="29" borderId="104" xfId="47" applyNumberFormat="1" applyFont="1" applyFill="1" applyBorder="1"/>
    <xf numFmtId="0" fontId="56" fillId="0" borderId="10" xfId="47" applyFont="1" applyBorder="1" applyAlignment="1">
      <alignment horizontal="center" wrapText="1"/>
    </xf>
    <xf numFmtId="0" fontId="56" fillId="0" borderId="10" xfId="47" applyFont="1" applyBorder="1"/>
    <xf numFmtId="0" fontId="52" fillId="0" borderId="10" xfId="47" applyFont="1" applyBorder="1"/>
    <xf numFmtId="0" fontId="59" fillId="31" borderId="10" xfId="47" applyFont="1" applyFill="1" applyBorder="1"/>
    <xf numFmtId="3" fontId="52" fillId="29" borderId="10" xfId="47" applyNumberFormat="1" applyFont="1" applyFill="1" applyBorder="1" applyAlignment="1"/>
    <xf numFmtId="0" fontId="52" fillId="31" borderId="10" xfId="47" applyFont="1" applyFill="1" applyBorder="1"/>
    <xf numFmtId="3" fontId="52" fillId="0" borderId="10" xfId="47" applyNumberFormat="1" applyFont="1" applyBorder="1" applyAlignment="1"/>
    <xf numFmtId="3" fontId="9" fillId="29" borderId="10" xfId="47" applyNumberFormat="1" applyFont="1" applyFill="1" applyBorder="1" applyAlignment="1"/>
    <xf numFmtId="3" fontId="52" fillId="0" borderId="10" xfId="47" applyNumberFormat="1" applyFont="1" applyBorder="1"/>
    <xf numFmtId="0" fontId="52" fillId="0" borderId="10" xfId="47" applyFont="1" applyBorder="1" applyAlignment="1">
      <alignment horizontal="center"/>
    </xf>
    <xf numFmtId="0" fontId="56" fillId="0" borderId="10" xfId="47" applyFont="1" applyBorder="1" applyAlignment="1">
      <alignment wrapText="1"/>
    </xf>
    <xf numFmtId="0" fontId="52" fillId="0" borderId="12" xfId="47" applyFont="1" applyBorder="1" applyAlignment="1">
      <alignment horizontal="left" wrapText="1" indent="4"/>
    </xf>
    <xf numFmtId="0" fontId="56" fillId="0" borderId="10" xfId="47" applyFont="1" applyBorder="1" applyAlignment="1">
      <alignment horizontal="center" vertical="center"/>
    </xf>
    <xf numFmtId="0" fontId="52" fillId="0" borderId="13" xfId="47" applyFont="1" applyBorder="1"/>
    <xf numFmtId="0" fontId="56" fillId="0" borderId="13" xfId="47" applyFont="1" applyBorder="1"/>
    <xf numFmtId="3" fontId="52" fillId="31" borderId="10" xfId="47" applyNumberFormat="1" applyFont="1" applyFill="1" applyBorder="1" applyAlignment="1"/>
    <xf numFmtId="3" fontId="52" fillId="31" borderId="10" xfId="47" applyNumberFormat="1" applyFont="1" applyFill="1" applyBorder="1"/>
    <xf numFmtId="0" fontId="12" fillId="28" borderId="79" xfId="0" applyFont="1" applyFill="1" applyBorder="1" applyAlignment="1">
      <alignment horizontal="center"/>
    </xf>
    <xf numFmtId="0" fontId="12" fillId="28" borderId="65" xfId="0" applyFont="1" applyFill="1" applyBorder="1" applyAlignment="1">
      <alignment horizontal="center"/>
    </xf>
    <xf numFmtId="165" fontId="0" fillId="29" borderId="77" xfId="29" applyNumberFormat="1" applyFont="1" applyFill="1" applyBorder="1"/>
    <xf numFmtId="165" fontId="0" fillId="29" borderId="25" xfId="29" applyNumberFormat="1" applyFont="1" applyFill="1" applyBorder="1"/>
    <xf numFmtId="0" fontId="0" fillId="29" borderId="25" xfId="0" applyFill="1" applyBorder="1"/>
    <xf numFmtId="165" fontId="0" fillId="29" borderId="13" xfId="29" applyNumberFormat="1" applyFont="1" applyFill="1" applyBorder="1"/>
    <xf numFmtId="165" fontId="0" fillId="29" borderId="11" xfId="29" applyNumberFormat="1" applyFont="1" applyFill="1" applyBorder="1"/>
    <xf numFmtId="165" fontId="0" fillId="29" borderId="0" xfId="29" applyNumberFormat="1" applyFont="1" applyFill="1" applyBorder="1"/>
    <xf numFmtId="165" fontId="0" fillId="29" borderId="69" xfId="29" applyNumberFormat="1" applyFont="1" applyFill="1" applyBorder="1"/>
    <xf numFmtId="165" fontId="0" fillId="29" borderId="36" xfId="29" applyNumberFormat="1" applyFont="1" applyFill="1" applyBorder="1"/>
    <xf numFmtId="165" fontId="0" fillId="29" borderId="14" xfId="29" applyNumberFormat="1" applyFont="1" applyFill="1" applyBorder="1"/>
    <xf numFmtId="165" fontId="0" fillId="29" borderId="37" xfId="29" applyNumberFormat="1" applyFont="1" applyFill="1" applyBorder="1"/>
    <xf numFmtId="0" fontId="0" fillId="0" borderId="0" xfId="0" applyAlignment="1">
      <alignment horizontal="center" vertical="center"/>
    </xf>
    <xf numFmtId="0" fontId="40" fillId="0" borderId="19" xfId="0" applyFont="1" applyBorder="1"/>
    <xf numFmtId="165" fontId="0" fillId="29" borderId="19" xfId="29" applyNumberFormat="1" applyFont="1" applyFill="1" applyBorder="1"/>
    <xf numFmtId="165" fontId="0" fillId="29" borderId="17" xfId="29" applyNumberFormat="1" applyFont="1" applyFill="1" applyBorder="1"/>
    <xf numFmtId="165" fontId="0" fillId="29" borderId="26" xfId="29" applyNumberFormat="1" applyFont="1" applyFill="1" applyBorder="1"/>
    <xf numFmtId="0" fontId="0" fillId="0" borderId="0" xfId="0" applyAlignment="1">
      <alignment horizontal="left" vertical="center" wrapText="1"/>
    </xf>
    <xf numFmtId="0" fontId="0" fillId="0" borderId="71" xfId="0" applyBorder="1" applyAlignment="1"/>
    <xf numFmtId="0" fontId="12" fillId="0" borderId="72" xfId="0" applyFont="1" applyBorder="1" applyAlignment="1"/>
    <xf numFmtId="165" fontId="9" fillId="29" borderId="10" xfId="29" applyNumberFormat="1" applyFill="1" applyBorder="1"/>
    <xf numFmtId="0" fontId="9" fillId="0" borderId="0" xfId="0" applyFont="1" applyAlignment="1">
      <alignment horizontal="center"/>
    </xf>
    <xf numFmtId="0" fontId="9" fillId="0" borderId="0" xfId="0" applyFont="1" applyAlignment="1">
      <alignment horizontal="center" vertical="top"/>
    </xf>
    <xf numFmtId="0" fontId="0" fillId="29" borderId="27" xfId="0" applyFill="1" applyBorder="1"/>
    <xf numFmtId="0" fontId="0" fillId="29" borderId="74" xfId="0" applyFill="1" applyBorder="1"/>
    <xf numFmtId="165" fontId="0" fillId="29" borderId="44" xfId="29" applyNumberFormat="1" applyFont="1" applyFill="1" applyBorder="1"/>
    <xf numFmtId="0" fontId="12" fillId="0" borderId="63" xfId="0" applyFont="1" applyFill="1" applyBorder="1" applyAlignment="1">
      <alignment horizontal="center" vertical="center" wrapText="1"/>
    </xf>
    <xf numFmtId="0" fontId="12" fillId="0" borderId="75" xfId="0" applyFont="1" applyFill="1" applyBorder="1" applyAlignment="1">
      <alignment horizontal="center" vertical="center" wrapText="1"/>
    </xf>
    <xf numFmtId="165" fontId="12" fillId="29" borderId="10" xfId="29" applyNumberFormat="1" applyFont="1" applyFill="1" applyBorder="1"/>
    <xf numFmtId="165" fontId="12" fillId="29" borderId="25" xfId="29" applyNumberFormat="1" applyFont="1" applyFill="1" applyBorder="1"/>
    <xf numFmtId="0" fontId="12" fillId="29" borderId="10" xfId="0" applyFont="1" applyFill="1" applyBorder="1"/>
    <xf numFmtId="0" fontId="9" fillId="0" borderId="0" xfId="0" quotePrefix="1" applyFont="1" applyAlignment="1">
      <alignment horizontal="center"/>
    </xf>
    <xf numFmtId="0" fontId="12" fillId="0" borderId="21" xfId="0" applyFont="1" applyFill="1" applyBorder="1" applyAlignment="1">
      <alignment horizontal="center" vertical="center" wrapText="1"/>
    </xf>
    <xf numFmtId="0" fontId="12" fillId="0" borderId="68" xfId="0" applyFont="1" applyFill="1" applyBorder="1" applyAlignment="1">
      <alignment horizontal="center" vertical="center" wrapText="1"/>
    </xf>
    <xf numFmtId="0" fontId="0" fillId="0" borderId="27" xfId="0" applyBorder="1"/>
    <xf numFmtId="0" fontId="51" fillId="0" borderId="0" xfId="0" applyFont="1"/>
    <xf numFmtId="0" fontId="78" fillId="0" borderId="0" xfId="0" applyFont="1"/>
    <xf numFmtId="0" fontId="0" fillId="0" borderId="0" xfId="0" applyAlignment="1">
      <alignment vertical="center" wrapText="1"/>
    </xf>
    <xf numFmtId="164" fontId="60" fillId="0" borderId="10" xfId="42" applyNumberFormat="1" applyFont="1" applyBorder="1" applyAlignment="1">
      <alignment vertical="center" wrapText="1"/>
    </xf>
    <xf numFmtId="164" fontId="60" fillId="0" borderId="77" xfId="42" applyNumberFormat="1" applyFont="1" applyBorder="1" applyAlignment="1">
      <alignment vertical="center" wrapText="1"/>
    </xf>
    <xf numFmtId="164" fontId="60" fillId="0" borderId="13" xfId="42" applyNumberFormat="1" applyFont="1" applyBorder="1" applyAlignment="1">
      <alignment vertical="center" wrapText="1"/>
    </xf>
    <xf numFmtId="164" fontId="60" fillId="0" borderId="33" xfId="42" applyNumberFormat="1" applyFont="1" applyBorder="1" applyAlignment="1">
      <alignment vertical="center" wrapText="1"/>
    </xf>
    <xf numFmtId="0" fontId="9" fillId="0" borderId="0" xfId="46" applyAlignment="1">
      <alignment vertical="center" wrapText="1"/>
    </xf>
    <xf numFmtId="166" fontId="9" fillId="0" borderId="0" xfId="28" applyNumberFormat="1" applyFont="1" applyAlignment="1">
      <alignment vertical="center" wrapText="1"/>
    </xf>
    <xf numFmtId="166" fontId="11" fillId="0" borderId="0" xfId="28" applyNumberFormat="1" applyFont="1" applyAlignment="1">
      <alignment vertical="center" wrapText="1"/>
    </xf>
    <xf numFmtId="0" fontId="60" fillId="0" borderId="27" xfId="46" applyFont="1" applyBorder="1" applyAlignment="1">
      <alignment vertical="center" wrapText="1"/>
    </xf>
    <xf numFmtId="0" fontId="61" fillId="0" borderId="27" xfId="46" applyFont="1" applyBorder="1" applyAlignment="1">
      <alignment vertical="center" wrapText="1"/>
    </xf>
    <xf numFmtId="0" fontId="60" fillId="0" borderId="28" xfId="46" applyFont="1" applyBorder="1" applyAlignment="1">
      <alignment vertical="center" wrapText="1"/>
    </xf>
    <xf numFmtId="164" fontId="60" fillId="0" borderId="26" xfId="42" applyNumberFormat="1" applyFont="1" applyBorder="1" applyAlignment="1">
      <alignment vertical="center" wrapText="1"/>
    </xf>
    <xf numFmtId="164" fontId="60" fillId="0" borderId="64" xfId="42" applyNumberFormat="1" applyFont="1" applyBorder="1" applyAlignment="1">
      <alignment vertical="center" wrapText="1"/>
    </xf>
    <xf numFmtId="0" fontId="61" fillId="0" borderId="0" xfId="46" applyFont="1" applyFill="1" applyBorder="1" applyAlignment="1">
      <alignment horizontal="center" vertical="center" wrapText="1"/>
    </xf>
    <xf numFmtId="3" fontId="60" fillId="0" borderId="0" xfId="46" applyNumberFormat="1" applyFont="1" applyFill="1" applyBorder="1" applyAlignment="1">
      <alignment vertical="center" wrapText="1"/>
    </xf>
    <xf numFmtId="3" fontId="61" fillId="0" borderId="0" xfId="28" applyNumberFormat="1" applyFont="1" applyFill="1" applyBorder="1" applyAlignment="1">
      <alignment vertical="center" wrapText="1"/>
    </xf>
    <xf numFmtId="3" fontId="60" fillId="0" borderId="0" xfId="42" applyNumberFormat="1" applyFont="1" applyFill="1" applyBorder="1" applyAlignment="1">
      <alignment vertical="center" wrapText="1"/>
    </xf>
    <xf numFmtId="0" fontId="0" fillId="0" borderId="0" xfId="0" applyFill="1" applyBorder="1" applyAlignment="1">
      <alignment vertical="center" wrapText="1"/>
    </xf>
    <xf numFmtId="164" fontId="60" fillId="0" borderId="25" xfId="42" applyNumberFormat="1" applyFont="1" applyBorder="1" applyAlignment="1">
      <alignment vertical="center" wrapText="1"/>
    </xf>
    <xf numFmtId="0" fontId="60" fillId="0" borderId="32" xfId="46" applyFont="1" applyBorder="1" applyAlignment="1">
      <alignment vertical="center" wrapText="1"/>
    </xf>
    <xf numFmtId="0" fontId="61" fillId="0" borderId="24" xfId="46" applyFont="1" applyFill="1" applyBorder="1" applyAlignment="1">
      <alignment horizontal="center" vertical="center" wrapText="1"/>
    </xf>
    <xf numFmtId="0" fontId="61" fillId="0" borderId="63" xfId="46" applyFont="1" applyFill="1" applyBorder="1" applyAlignment="1">
      <alignment horizontal="center" vertical="center" wrapText="1"/>
    </xf>
    <xf numFmtId="0" fontId="60" fillId="0" borderId="96" xfId="46" applyFont="1" applyFill="1" applyBorder="1" applyAlignment="1">
      <alignment vertical="center" wrapText="1"/>
    </xf>
    <xf numFmtId="0" fontId="60" fillId="0" borderId="32" xfId="46" applyFont="1" applyFill="1" applyBorder="1" applyAlignment="1">
      <alignment vertical="center" wrapText="1"/>
    </xf>
    <xf numFmtId="3" fontId="60" fillId="63" borderId="26" xfId="28" applyNumberFormat="1" applyFont="1" applyFill="1" applyBorder="1" applyAlignment="1">
      <alignment vertical="center" wrapText="1"/>
    </xf>
    <xf numFmtId="164" fontId="60" fillId="63" borderId="26" xfId="42" applyNumberFormat="1" applyFont="1" applyFill="1" applyBorder="1" applyAlignment="1">
      <alignment vertical="center" wrapText="1"/>
    </xf>
    <xf numFmtId="164" fontId="60" fillId="63" borderId="10" xfId="42" applyNumberFormat="1" applyFont="1" applyFill="1" applyBorder="1" applyAlignment="1">
      <alignment vertical="center" wrapText="1"/>
    </xf>
    <xf numFmtId="0" fontId="79" fillId="0" borderId="20" xfId="51" applyFont="1" applyBorder="1" applyAlignment="1">
      <alignment horizontal="center" vertical="center" wrapText="1"/>
    </xf>
    <xf numFmtId="0" fontId="80" fillId="0" borderId="21" xfId="51" applyFont="1" applyBorder="1" applyAlignment="1">
      <alignment horizontal="center" vertical="center" wrapText="1"/>
    </xf>
    <xf numFmtId="0" fontId="80" fillId="0" borderId="68" xfId="51" applyFont="1" applyBorder="1" applyAlignment="1">
      <alignment horizontal="center" vertical="center" wrapText="1"/>
    </xf>
    <xf numFmtId="9" fontId="79" fillId="0" borderId="10" xfId="42" applyFont="1" applyBorder="1" applyAlignment="1">
      <alignment vertical="center" wrapText="1"/>
    </xf>
    <xf numFmtId="10" fontId="79" fillId="0" borderId="10" xfId="51" applyNumberFormat="1" applyFont="1" applyBorder="1" applyAlignment="1">
      <alignment vertical="center" wrapText="1"/>
    </xf>
    <xf numFmtId="10" fontId="79" fillId="0" borderId="26" xfId="51" applyNumberFormat="1" applyFont="1" applyBorder="1" applyAlignment="1">
      <alignment vertical="center" wrapText="1"/>
    </xf>
    <xf numFmtId="0" fontId="79" fillId="0" borderId="18" xfId="51" applyFont="1" applyFill="1" applyBorder="1" applyAlignment="1">
      <alignment vertical="center" wrapText="1"/>
    </xf>
    <xf numFmtId="0" fontId="79" fillId="0" borderId="15" xfId="51" applyFont="1" applyFill="1" applyBorder="1" applyAlignment="1">
      <alignment vertical="center" wrapText="1"/>
    </xf>
    <xf numFmtId="0" fontId="79" fillId="0" borderId="39" xfId="51" applyFont="1" applyFill="1" applyBorder="1" applyAlignment="1">
      <alignment vertical="center" wrapText="1"/>
    </xf>
    <xf numFmtId="0" fontId="79" fillId="0" borderId="30" xfId="51" applyFont="1" applyFill="1" applyBorder="1" applyAlignment="1">
      <alignment vertical="center" wrapText="1"/>
    </xf>
    <xf numFmtId="10" fontId="79" fillId="0" borderId="110" xfId="51" applyNumberFormat="1" applyFont="1" applyFill="1" applyBorder="1" applyAlignment="1">
      <alignment vertical="center" wrapText="1"/>
    </xf>
    <xf numFmtId="10" fontId="79" fillId="0" borderId="85" xfId="51" applyNumberFormat="1" applyFont="1" applyFill="1" applyBorder="1" applyAlignment="1">
      <alignment vertical="center" wrapText="1"/>
    </xf>
    <xf numFmtId="10" fontId="79" fillId="0" borderId="115" xfId="51" applyNumberFormat="1" applyFont="1" applyFill="1" applyBorder="1" applyAlignment="1">
      <alignment vertical="center" wrapText="1"/>
    </xf>
    <xf numFmtId="10" fontId="79" fillId="0" borderId="0" xfId="51" applyNumberFormat="1" applyFont="1" applyFill="1" applyBorder="1" applyAlignment="1">
      <alignment vertical="center" wrapText="1"/>
    </xf>
    <xf numFmtId="10" fontId="79" fillId="0" borderId="80" xfId="51" applyNumberFormat="1" applyFont="1" applyFill="1" applyBorder="1" applyAlignment="1">
      <alignment vertical="center" wrapText="1"/>
    </xf>
    <xf numFmtId="10" fontId="79" fillId="0" borderId="30" xfId="51" applyNumberFormat="1" applyFont="1" applyFill="1" applyBorder="1" applyAlignment="1">
      <alignment vertical="center" wrapText="1"/>
    </xf>
    <xf numFmtId="10" fontId="79" fillId="0" borderId="79" xfId="51" applyNumberFormat="1" applyFont="1" applyFill="1" applyBorder="1" applyAlignment="1">
      <alignment vertical="center" wrapText="1"/>
    </xf>
    <xf numFmtId="10" fontId="79" fillId="0" borderId="12" xfId="51" applyNumberFormat="1" applyFont="1" applyFill="1" applyBorder="1" applyAlignment="1">
      <alignment vertical="center" wrapText="1"/>
    </xf>
    <xf numFmtId="0" fontId="79" fillId="0" borderId="13" xfId="51" applyFont="1" applyFill="1" applyBorder="1" applyAlignment="1">
      <alignment vertical="center" wrapText="1"/>
    </xf>
    <xf numFmtId="0" fontId="79" fillId="0" borderId="16" xfId="51" applyFont="1" applyFill="1" applyBorder="1" applyAlignment="1">
      <alignment vertical="center" wrapText="1"/>
    </xf>
    <xf numFmtId="0" fontId="79" fillId="0" borderId="12" xfId="51" applyFont="1" applyFill="1" applyBorder="1" applyAlignment="1">
      <alignment vertical="center" wrapText="1"/>
    </xf>
    <xf numFmtId="0" fontId="80" fillId="0" borderId="78" xfId="51" applyFont="1" applyBorder="1" applyAlignment="1">
      <alignment vertical="center" wrapText="1"/>
    </xf>
    <xf numFmtId="0" fontId="80" fillId="0" borderId="27" xfId="51" applyFont="1" applyBorder="1" applyAlignment="1">
      <alignment vertical="center" wrapText="1"/>
    </xf>
    <xf numFmtId="0" fontId="80" fillId="0" borderId="28" xfId="51" applyFont="1" applyBorder="1" applyAlignment="1">
      <alignment vertical="center" wrapText="1"/>
    </xf>
    <xf numFmtId="0" fontId="9" fillId="0" borderId="0" xfId="0" applyFont="1" applyAlignment="1">
      <alignment vertical="center" wrapText="1"/>
    </xf>
    <xf numFmtId="0" fontId="9" fillId="0" borderId="0" xfId="0" applyFont="1" applyAlignment="1">
      <alignment horizontal="left" vertical="top"/>
    </xf>
    <xf numFmtId="0" fontId="12" fillId="0" borderId="0" xfId="0" applyFont="1" applyAlignment="1">
      <alignment vertical="center" wrapText="1"/>
    </xf>
    <xf numFmtId="0" fontId="0" fillId="28" borderId="10" xfId="0" applyFill="1" applyBorder="1" applyAlignment="1">
      <alignment vertical="top"/>
    </xf>
    <xf numFmtId="0" fontId="0" fillId="29" borderId="10" xfId="0" applyFill="1" applyBorder="1" applyAlignment="1">
      <alignment vertical="top"/>
    </xf>
    <xf numFmtId="165" fontId="0" fillId="29" borderId="10" xfId="29" applyNumberFormat="1" applyFont="1" applyFill="1" applyBorder="1" applyAlignment="1">
      <alignment vertical="top"/>
    </xf>
    <xf numFmtId="0" fontId="0" fillId="29" borderId="26" xfId="0" applyFill="1" applyBorder="1" applyAlignment="1">
      <alignment vertical="top"/>
    </xf>
    <xf numFmtId="165" fontId="0" fillId="29" borderId="26" xfId="29" applyNumberFormat="1" applyFont="1" applyFill="1" applyBorder="1" applyAlignment="1">
      <alignment vertical="top"/>
    </xf>
    <xf numFmtId="0" fontId="0" fillId="63" borderId="19" xfId="0" applyFill="1" applyBorder="1" applyAlignment="1">
      <alignment vertical="top"/>
    </xf>
    <xf numFmtId="0" fontId="0" fillId="63" borderId="36" xfId="0" applyFill="1" applyBorder="1" applyAlignment="1">
      <alignment vertical="top"/>
    </xf>
    <xf numFmtId="0" fontId="0" fillId="63" borderId="34" xfId="0" applyFill="1" applyBorder="1" applyAlignment="1">
      <alignment vertical="top"/>
    </xf>
    <xf numFmtId="0" fontId="12" fillId="0" borderId="24"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32" xfId="0" applyFont="1" applyBorder="1" applyAlignment="1">
      <alignment horizontal="center" vertical="top"/>
    </xf>
    <xf numFmtId="0" fontId="0" fillId="0" borderId="82" xfId="0" applyBorder="1" applyAlignment="1">
      <alignment vertical="top" wrapText="1"/>
    </xf>
    <xf numFmtId="0" fontId="0" fillId="29" borderId="32" xfId="0" applyFill="1" applyBorder="1" applyAlignment="1">
      <alignment horizontal="right" vertical="center"/>
    </xf>
    <xf numFmtId="0" fontId="43" fillId="29" borderId="0" xfId="0" applyFont="1" applyFill="1"/>
    <xf numFmtId="0" fontId="0" fillId="29" borderId="28" xfId="0" applyFill="1" applyBorder="1"/>
    <xf numFmtId="0" fontId="0" fillId="29" borderId="26" xfId="0" applyFill="1" applyBorder="1"/>
    <xf numFmtId="0" fontId="39" fillId="29" borderId="27" xfId="0" applyFont="1" applyFill="1" applyBorder="1"/>
    <xf numFmtId="0" fontId="39" fillId="29" borderId="10" xfId="0" applyFont="1" applyFill="1" applyBorder="1"/>
    <xf numFmtId="0" fontId="0" fillId="29" borderId="64" xfId="0" applyFill="1" applyBorder="1"/>
    <xf numFmtId="43" fontId="0" fillId="29" borderId="10" xfId="28" applyFont="1" applyFill="1" applyBorder="1"/>
    <xf numFmtId="0" fontId="12" fillId="0" borderId="0" xfId="0" applyFont="1" applyAlignment="1"/>
    <xf numFmtId="10" fontId="0" fillId="0" borderId="10" xfId="42" applyNumberFormat="1" applyFont="1" applyBorder="1"/>
    <xf numFmtId="165" fontId="0" fillId="0" borderId="86" xfId="29" applyNumberFormat="1" applyFont="1" applyBorder="1"/>
    <xf numFmtId="165" fontId="0" fillId="0" borderId="87" xfId="29" applyNumberFormat="1" applyFont="1" applyBorder="1"/>
    <xf numFmtId="43" fontId="0" fillId="0" borderId="10" xfId="28" applyFont="1" applyBorder="1"/>
    <xf numFmtId="43" fontId="0" fillId="0" borderId="26" xfId="28" applyFont="1" applyBorder="1"/>
    <xf numFmtId="0" fontId="12" fillId="0" borderId="50" xfId="0" applyFont="1" applyFill="1" applyBorder="1" applyAlignment="1">
      <alignment vertical="center" wrapText="1"/>
    </xf>
    <xf numFmtId="0" fontId="12" fillId="0" borderId="94" xfId="0" applyFont="1" applyBorder="1" applyAlignment="1"/>
    <xf numFmtId="0" fontId="0" fillId="0" borderId="55" xfId="0" applyBorder="1" applyAlignment="1">
      <alignment horizontal="left" vertical="center" wrapText="1"/>
    </xf>
    <xf numFmtId="0" fontId="0" fillId="29" borderId="55" xfId="0" applyFill="1" applyBorder="1" applyAlignment="1">
      <alignment horizontal="left" vertical="center" wrapText="1"/>
    </xf>
    <xf numFmtId="0" fontId="9" fillId="0" borderId="0" xfId="0" applyFont="1" applyFill="1" applyAlignment="1">
      <alignment vertical="top" wrapText="1"/>
    </xf>
    <xf numFmtId="0" fontId="12" fillId="0" borderId="0" xfId="0" applyFont="1" applyFill="1" applyAlignment="1">
      <alignment horizontal="center"/>
    </xf>
    <xf numFmtId="0" fontId="0" fillId="0" borderId="0" xfId="0" applyFill="1" applyAlignment="1">
      <alignment horizontal="left" vertical="top" wrapText="1"/>
    </xf>
    <xf numFmtId="165" fontId="0" fillId="29" borderId="70" xfId="29" applyNumberFormat="1" applyFont="1" applyFill="1" applyBorder="1"/>
    <xf numFmtId="0" fontId="41" fillId="0" borderId="0" xfId="0" applyFont="1" applyFill="1"/>
    <xf numFmtId="0" fontId="12" fillId="29" borderId="19" xfId="0" applyFont="1" applyFill="1" applyBorder="1" applyAlignment="1">
      <alignment horizontal="center" vertical="center"/>
    </xf>
    <xf numFmtId="43" fontId="0" fillId="29" borderId="26" xfId="28" applyFont="1" applyFill="1" applyBorder="1"/>
    <xf numFmtId="0" fontId="12" fillId="0" borderId="0" xfId="0" applyFont="1" applyAlignment="1">
      <alignment horizontal="left" vertical="center"/>
    </xf>
    <xf numFmtId="0" fontId="12" fillId="0" borderId="0" xfId="0" applyFont="1" applyFill="1" applyAlignment="1">
      <alignment horizontal="left" vertical="center"/>
    </xf>
    <xf numFmtId="0" fontId="0" fillId="0" borderId="0" xfId="0" applyFill="1" applyAlignment="1">
      <alignment horizontal="left" vertical="center"/>
    </xf>
    <xf numFmtId="168" fontId="0" fillId="0" borderId="0" xfId="0" applyNumberFormat="1" applyFill="1" applyAlignment="1">
      <alignment horizontal="left" vertical="center"/>
    </xf>
    <xf numFmtId="0" fontId="16" fillId="0" borderId="0" xfId="0" applyFont="1" applyFill="1" applyAlignment="1">
      <alignment horizontal="center" vertical="center"/>
    </xf>
    <xf numFmtId="44" fontId="9" fillId="29" borderId="40" xfId="29" applyFill="1" applyBorder="1"/>
    <xf numFmtId="0" fontId="9" fillId="0" borderId="0" xfId="0" applyFont="1" applyFill="1"/>
    <xf numFmtId="0" fontId="9" fillId="0" borderId="0" xfId="0" applyFont="1" applyFill="1" applyBorder="1" applyAlignment="1"/>
    <xf numFmtId="0" fontId="9" fillId="0" borderId="0" xfId="0" applyFont="1" applyBorder="1"/>
    <xf numFmtId="0" fontId="9" fillId="0" borderId="30" xfId="0" applyFont="1" applyBorder="1"/>
    <xf numFmtId="0" fontId="9" fillId="0" borderId="40" xfId="0" applyFont="1" applyBorder="1"/>
    <xf numFmtId="0" fontId="9" fillId="0" borderId="29" xfId="0" applyFont="1" applyBorder="1"/>
    <xf numFmtId="0" fontId="9" fillId="0" borderId="29" xfId="0" quotePrefix="1" applyFont="1" applyBorder="1" applyAlignment="1">
      <alignment horizontal="center"/>
    </xf>
    <xf numFmtId="0" fontId="9" fillId="0" borderId="41" xfId="0" applyFont="1" applyBorder="1" applyAlignment="1">
      <alignment horizontal="center"/>
    </xf>
    <xf numFmtId="0" fontId="9" fillId="0" borderId="43" xfId="0" applyFont="1" applyBorder="1"/>
    <xf numFmtId="0" fontId="9" fillId="0" borderId="41" xfId="0" applyFont="1" applyBorder="1"/>
    <xf numFmtId="0" fontId="9" fillId="0" borderId="31" xfId="0" applyFont="1" applyBorder="1"/>
    <xf numFmtId="0" fontId="9" fillId="0" borderId="44" xfId="0" applyFont="1" applyBorder="1"/>
    <xf numFmtId="10" fontId="9" fillId="0" borderId="44" xfId="42" applyNumberFormat="1" applyFont="1" applyBorder="1"/>
    <xf numFmtId="0" fontId="9" fillId="0" borderId="22" xfId="0" applyFont="1" applyBorder="1"/>
    <xf numFmtId="10" fontId="9" fillId="0" borderId="41" xfId="42" applyNumberFormat="1" applyFont="1" applyBorder="1"/>
    <xf numFmtId="0" fontId="9" fillId="0" borderId="0" xfId="0" applyFont="1" applyFill="1" applyAlignment="1"/>
    <xf numFmtId="0" fontId="12" fillId="0" borderId="10" xfId="0" quotePrefix="1" applyFont="1" applyBorder="1" applyAlignment="1">
      <alignment horizontal="center"/>
    </xf>
    <xf numFmtId="0" fontId="9" fillId="0" borderId="10" xfId="0" quotePrefix="1" applyFont="1" applyBorder="1" applyAlignment="1">
      <alignment horizontal="center"/>
    </xf>
    <xf numFmtId="10" fontId="9" fillId="0" borderId="10" xfId="42" applyNumberFormat="1" applyFont="1" applyBorder="1"/>
    <xf numFmtId="0" fontId="9" fillId="0" borderId="10" xfId="0" quotePrefix="1" applyFont="1" applyFill="1" applyBorder="1" applyAlignment="1">
      <alignment horizontal="center"/>
    </xf>
    <xf numFmtId="167" fontId="9" fillId="0" borderId="10" xfId="29" applyNumberFormat="1" applyFont="1" applyBorder="1"/>
    <xf numFmtId="44" fontId="9" fillId="0" borderId="10" xfId="0" applyNumberFormat="1" applyFont="1" applyBorder="1"/>
    <xf numFmtId="167" fontId="9" fillId="0" borderId="10" xfId="0" applyNumberFormat="1" applyFont="1" applyBorder="1"/>
    <xf numFmtId="0" fontId="9" fillId="0" borderId="115" xfId="0" applyFont="1" applyBorder="1"/>
    <xf numFmtId="0" fontId="9" fillId="0" borderId="10" xfId="0" applyFont="1" applyBorder="1" applyAlignment="1">
      <alignment horizontal="left" vertical="top" wrapText="1" indent="1"/>
    </xf>
    <xf numFmtId="0" fontId="9" fillId="0" borderId="10" xfId="0" applyFont="1" applyFill="1" applyBorder="1" applyAlignment="1">
      <alignment horizontal="left" vertical="top" wrapText="1" indent="1"/>
    </xf>
    <xf numFmtId="0" fontId="12" fillId="0" borderId="10" xfId="0" applyFont="1" applyBorder="1" applyAlignment="1">
      <alignment horizontal="center" vertical="center" wrapText="1"/>
    </xf>
    <xf numFmtId="0" fontId="9" fillId="0" borderId="10" xfId="0" quotePrefix="1" applyFont="1" applyBorder="1" applyAlignment="1">
      <alignment horizontal="center" vertical="center"/>
    </xf>
    <xf numFmtId="44" fontId="9" fillId="29" borderId="10" xfId="29" applyFont="1" applyFill="1" applyBorder="1" applyAlignment="1">
      <alignment vertical="center"/>
    </xf>
    <xf numFmtId="44" fontId="9" fillId="0" borderId="10" xfId="29" applyFont="1" applyBorder="1" applyAlignment="1">
      <alignment vertical="center"/>
    </xf>
    <xf numFmtId="43" fontId="9" fillId="29" borderId="10" xfId="28" applyFont="1" applyFill="1" applyBorder="1"/>
    <xf numFmtId="166" fontId="9" fillId="29" borderId="10" xfId="28" applyNumberFormat="1" applyFont="1" applyFill="1" applyBorder="1"/>
    <xf numFmtId="0" fontId="12" fillId="0" borderId="10" xfId="0" applyFont="1" applyFill="1" applyBorder="1" applyAlignment="1">
      <alignment horizontal="left" vertical="top" wrapText="1"/>
    </xf>
    <xf numFmtId="0" fontId="12" fillId="0" borderId="115" xfId="0" applyFont="1" applyBorder="1" applyAlignment="1">
      <alignment vertical="center"/>
    </xf>
    <xf numFmtId="0" fontId="12" fillId="0" borderId="0" xfId="0" applyFont="1" applyBorder="1" applyAlignment="1">
      <alignment vertical="center"/>
    </xf>
    <xf numFmtId="0" fontId="12" fillId="0" borderId="10" xfId="0" applyFont="1" applyBorder="1" applyAlignment="1">
      <alignment vertical="center"/>
    </xf>
    <xf numFmtId="0" fontId="12" fillId="0" borderId="10" xfId="0" applyFont="1" applyFill="1" applyBorder="1" applyAlignment="1">
      <alignment vertical="center"/>
    </xf>
    <xf numFmtId="0" fontId="12" fillId="0" borderId="10" xfId="0" applyFont="1" applyBorder="1" applyAlignment="1">
      <alignment horizontal="left" vertical="center"/>
    </xf>
    <xf numFmtId="44" fontId="12" fillId="0" borderId="10" xfId="0" applyNumberFormat="1" applyFont="1" applyBorder="1"/>
    <xf numFmtId="167" fontId="12" fillId="0" borderId="10" xfId="29" applyNumberFormat="1" applyFont="1" applyBorder="1"/>
    <xf numFmtId="167" fontId="12" fillId="0" borderId="10" xfId="0" applyNumberFormat="1" applyFont="1" applyBorder="1"/>
    <xf numFmtId="0" fontId="9" fillId="0" borderId="41" xfId="0" quotePrefix="1" applyFont="1" applyBorder="1" applyAlignment="1">
      <alignment horizontal="center"/>
    </xf>
    <xf numFmtId="10" fontId="9" fillId="29" borderId="42" xfId="42" applyNumberFormat="1" applyFont="1" applyFill="1" applyBorder="1"/>
    <xf numFmtId="10" fontId="9" fillId="29" borderId="41" xfId="42" applyNumberFormat="1" applyFont="1" applyFill="1" applyBorder="1"/>
    <xf numFmtId="10" fontId="9" fillId="29" borderId="31" xfId="42" applyNumberFormat="1" applyFont="1" applyFill="1" applyBorder="1"/>
    <xf numFmtId="9" fontId="9" fillId="29" borderId="22" xfId="42" applyFont="1" applyFill="1" applyBorder="1"/>
    <xf numFmtId="0" fontId="9" fillId="0" borderId="13" xfId="0" applyFont="1" applyBorder="1" applyAlignment="1">
      <alignment horizontal="left" vertical="top" wrapText="1" indent="1"/>
    </xf>
    <xf numFmtId="0" fontId="9" fillId="0" borderId="13" xfId="0" applyFont="1" applyBorder="1" applyAlignment="1">
      <alignment vertical="center"/>
    </xf>
    <xf numFmtId="0" fontId="81" fillId="0" borderId="0" xfId="0" applyFont="1" applyFill="1" applyAlignment="1">
      <alignment vertical="center"/>
    </xf>
    <xf numFmtId="0" fontId="12" fillId="29" borderId="10" xfId="0" applyFont="1" applyFill="1" applyBorder="1" applyAlignment="1">
      <alignment horizontal="center" vertical="center"/>
    </xf>
    <xf numFmtId="0" fontId="12" fillId="0" borderId="32" xfId="0" applyFont="1" applyFill="1" applyBorder="1" applyAlignment="1">
      <alignment horizontal="center" vertical="center"/>
    </xf>
    <xf numFmtId="0" fontId="12" fillId="0" borderId="24" xfId="0" applyFont="1" applyFill="1" applyBorder="1" applyAlignment="1">
      <alignment horizontal="center" vertical="center"/>
    </xf>
    <xf numFmtId="0" fontId="0" fillId="29" borderId="40" xfId="0" applyFill="1" applyBorder="1"/>
    <xf numFmtId="43" fontId="9" fillId="29" borderId="40" xfId="28" applyFill="1" applyBorder="1"/>
    <xf numFmtId="166" fontId="9" fillId="29" borderId="40" xfId="28" applyNumberFormat="1" applyFill="1" applyBorder="1"/>
    <xf numFmtId="166" fontId="9" fillId="29" borderId="29" xfId="28" applyNumberFormat="1" applyFill="1" applyBorder="1"/>
    <xf numFmtId="167" fontId="9" fillId="29" borderId="40" xfId="29" applyNumberFormat="1" applyFill="1" applyBorder="1"/>
    <xf numFmtId="165" fontId="9" fillId="29" borderId="40" xfId="29" applyNumberFormat="1" applyFill="1" applyBorder="1"/>
    <xf numFmtId="0" fontId="0" fillId="28" borderId="40" xfId="0" applyFill="1" applyBorder="1" applyAlignment="1">
      <alignment vertical="center"/>
    </xf>
    <xf numFmtId="0" fontId="12" fillId="0" borderId="0" xfId="0" applyFont="1" applyAlignment="1">
      <alignment horizontal="left" vertical="center" wrapText="1"/>
    </xf>
    <xf numFmtId="0" fontId="0" fillId="29" borderId="0" xfId="0" applyFill="1" applyAlignment="1" applyProtection="1">
      <alignment vertical="top"/>
      <protection locked="0"/>
    </xf>
    <xf numFmtId="167" fontId="9" fillId="29" borderId="11" xfId="29" applyNumberFormat="1" applyFill="1" applyBorder="1" applyAlignment="1" applyProtection="1">
      <alignment vertical="top"/>
      <protection locked="0"/>
    </xf>
    <xf numFmtId="10" fontId="9" fillId="29" borderId="10" xfId="42" applyNumberFormat="1" applyFill="1" applyBorder="1" applyProtection="1">
      <protection locked="0"/>
    </xf>
    <xf numFmtId="0" fontId="0" fillId="28" borderId="0" xfId="0" applyFill="1" applyAlignment="1" applyProtection="1">
      <alignment vertical="top"/>
      <protection locked="0"/>
    </xf>
    <xf numFmtId="0" fontId="0" fillId="28" borderId="0" xfId="0" applyFill="1" applyAlignment="1" applyProtection="1">
      <alignment vertical="center"/>
      <protection locked="0"/>
    </xf>
    <xf numFmtId="167" fontId="9" fillId="29" borderId="11" xfId="29" applyNumberFormat="1" applyFill="1" applyBorder="1" applyAlignment="1" applyProtection="1">
      <alignment vertical="center"/>
      <protection locked="0"/>
    </xf>
    <xf numFmtId="0" fontId="0" fillId="0" borderId="0" xfId="0" applyAlignment="1">
      <alignment wrapText="1"/>
    </xf>
    <xf numFmtId="0" fontId="12" fillId="28" borderId="21" xfId="0" applyFont="1" applyFill="1" applyBorder="1" applyAlignment="1">
      <alignment horizontal="center" vertical="top" wrapText="1"/>
    </xf>
    <xf numFmtId="0" fontId="12" fillId="28" borderId="68" xfId="0" applyFont="1" applyFill="1" applyBorder="1" applyAlignment="1">
      <alignment horizontal="center" vertical="top" wrapText="1"/>
    </xf>
    <xf numFmtId="0" fontId="83" fillId="0" borderId="20" xfId="46" applyFont="1" applyFill="1" applyBorder="1" applyAlignment="1">
      <alignment vertical="center" wrapText="1"/>
    </xf>
    <xf numFmtId="0" fontId="83" fillId="0" borderId="0" xfId="46" applyFont="1" applyFill="1" applyBorder="1" applyAlignment="1">
      <alignment vertical="center" wrapText="1"/>
    </xf>
    <xf numFmtId="0" fontId="58" fillId="0" borderId="0" xfId="47" applyFont="1" applyAlignment="1">
      <alignment vertical="center"/>
    </xf>
    <xf numFmtId="0" fontId="12" fillId="0" borderId="0" xfId="0" applyFont="1" applyAlignment="1">
      <alignment horizontal="left" indent="4"/>
    </xf>
    <xf numFmtId="0" fontId="0" fillId="0" borderId="74" xfId="0" applyBorder="1"/>
    <xf numFmtId="0" fontId="0" fillId="0" borderId="36" xfId="0" applyBorder="1"/>
    <xf numFmtId="0" fontId="0" fillId="0" borderId="17" xfId="0" applyBorder="1"/>
    <xf numFmtId="0" fontId="0" fillId="0" borderId="38" xfId="0" applyBorder="1"/>
    <xf numFmtId="0" fontId="0" fillId="0" borderId="58" xfId="0" applyBorder="1"/>
    <xf numFmtId="44" fontId="0" fillId="0" borderId="34" xfId="0" applyNumberFormat="1" applyBorder="1"/>
    <xf numFmtId="0" fontId="0" fillId="0" borderId="64" xfId="0" applyBorder="1"/>
    <xf numFmtId="170" fontId="0" fillId="29" borderId="10" xfId="0" applyNumberFormat="1" applyFill="1" applyBorder="1"/>
    <xf numFmtId="44" fontId="0" fillId="0" borderId="10" xfId="29" applyFont="1" applyFill="1" applyBorder="1"/>
    <xf numFmtId="0" fontId="0" fillId="28" borderId="10" xfId="0" applyFill="1" applyBorder="1"/>
    <xf numFmtId="0" fontId="12" fillId="0" borderId="24" xfId="0" applyFont="1" applyFill="1" applyBorder="1" applyAlignment="1">
      <alignment horizontal="center"/>
    </xf>
    <xf numFmtId="0" fontId="12" fillId="0" borderId="10" xfId="0" applyFont="1" applyFill="1" applyBorder="1" applyAlignment="1">
      <alignment horizontal="center" vertical="center" wrapText="1"/>
    </xf>
    <xf numFmtId="0" fontId="9" fillId="0" borderId="0" xfId="0" applyFont="1" applyFill="1" applyAlignment="1">
      <alignment horizontal="left" vertical="top"/>
    </xf>
    <xf numFmtId="0" fontId="9" fillId="0" borderId="0" xfId="0" applyFont="1" applyFill="1" applyAlignment="1">
      <alignment horizontal="left" vertical="top" wrapText="1"/>
    </xf>
    <xf numFmtId="0" fontId="9" fillId="0" borderId="0" xfId="0" applyFont="1" applyAlignment="1">
      <alignment vertical="top" wrapText="1"/>
    </xf>
    <xf numFmtId="0" fontId="12" fillId="0" borderId="32" xfId="0" applyFont="1" applyBorder="1" applyAlignment="1">
      <alignment vertical="center"/>
    </xf>
    <xf numFmtId="0" fontId="79" fillId="0" borderId="60" xfId="51" applyFont="1" applyFill="1" applyBorder="1" applyAlignment="1">
      <alignment vertical="center" wrapText="1"/>
    </xf>
    <xf numFmtId="0" fontId="79" fillId="0" borderId="29" xfId="51" applyFont="1" applyFill="1" applyBorder="1" applyAlignment="1">
      <alignment vertical="center" wrapText="1"/>
    </xf>
    <xf numFmtId="0" fontId="79" fillId="0" borderId="31" xfId="51" applyFont="1" applyFill="1" applyBorder="1" applyAlignment="1">
      <alignment vertical="center" wrapText="1"/>
    </xf>
    <xf numFmtId="0" fontId="79" fillId="0" borderId="85" xfId="51" applyFont="1" applyFill="1" applyBorder="1" applyAlignment="1">
      <alignment vertical="center" wrapText="1"/>
    </xf>
    <xf numFmtId="0" fontId="79" fillId="0" borderId="0" xfId="51" applyFont="1" applyFill="1" applyBorder="1" applyAlignment="1">
      <alignment vertical="center" wrapText="1"/>
    </xf>
    <xf numFmtId="0" fontId="79" fillId="0" borderId="110" xfId="51" applyFont="1" applyFill="1" applyBorder="1" applyAlignment="1">
      <alignment vertical="center" wrapText="1"/>
    </xf>
    <xf numFmtId="0" fontId="79" fillId="0" borderId="115" xfId="51" applyFont="1" applyFill="1" applyBorder="1" applyAlignment="1">
      <alignment vertical="center" wrapText="1"/>
    </xf>
    <xf numFmtId="0" fontId="79" fillId="0" borderId="80" xfId="51" applyFont="1" applyFill="1" applyBorder="1" applyAlignment="1">
      <alignment vertical="center" wrapText="1"/>
    </xf>
    <xf numFmtId="0" fontId="79" fillId="0" borderId="79" xfId="51" applyFont="1" applyFill="1" applyBorder="1" applyAlignment="1">
      <alignment vertical="center" wrapText="1"/>
    </xf>
    <xf numFmtId="0" fontId="79" fillId="0" borderId="56" xfId="51" applyFont="1" applyFill="1" applyBorder="1" applyAlignment="1">
      <alignment vertical="center" wrapText="1"/>
    </xf>
    <xf numFmtId="10" fontId="79" fillId="0" borderId="13" xfId="51" applyNumberFormat="1" applyFont="1" applyBorder="1" applyAlignment="1">
      <alignment vertical="center" wrapText="1"/>
    </xf>
    <xf numFmtId="9" fontId="79" fillId="0" borderId="25" xfId="42" applyFont="1" applyFill="1" applyBorder="1" applyAlignment="1">
      <alignment vertical="center" wrapText="1"/>
    </xf>
    <xf numFmtId="164" fontId="79" fillId="0" borderId="25" xfId="42" applyNumberFormat="1" applyFont="1" applyFill="1" applyBorder="1" applyAlignment="1">
      <alignment vertical="center" wrapText="1"/>
    </xf>
    <xf numFmtId="0" fontId="0" fillId="31" borderId="64" xfId="0" applyFill="1" applyBorder="1"/>
    <xf numFmtId="0" fontId="0" fillId="0" borderId="25" xfId="0" applyFill="1" applyBorder="1" applyAlignment="1">
      <alignment horizontal="center"/>
    </xf>
    <xf numFmtId="0" fontId="9" fillId="29" borderId="55" xfId="0" applyFont="1" applyFill="1" applyBorder="1" applyAlignment="1">
      <alignment horizontal="left" vertical="center" wrapText="1"/>
    </xf>
    <xf numFmtId="0" fontId="0" fillId="64" borderId="64" xfId="0" applyFill="1" applyBorder="1" applyAlignment="1">
      <alignment horizontal="center"/>
    </xf>
    <xf numFmtId="4" fontId="9" fillId="0" borderId="10" xfId="42" applyNumberFormat="1" applyFont="1" applyBorder="1"/>
    <xf numFmtId="4" fontId="9" fillId="0" borderId="10" xfId="0" applyNumberFormat="1" applyFont="1" applyBorder="1"/>
    <xf numFmtId="4" fontId="12" fillId="0" borderId="10" xfId="0" applyNumberFormat="1" applyFont="1" applyFill="1" applyBorder="1" applyAlignment="1">
      <alignment vertical="center"/>
    </xf>
    <xf numFmtId="0" fontId="12" fillId="29" borderId="10" xfId="0" applyFont="1" applyFill="1" applyBorder="1" applyAlignment="1">
      <alignment horizontal="left" vertical="top" wrapText="1" indent="1"/>
    </xf>
    <xf numFmtId="0" fontId="9" fillId="0" borderId="0" xfId="0" applyFont="1" applyAlignment="1">
      <alignment wrapText="1"/>
    </xf>
    <xf numFmtId="10" fontId="9" fillId="0" borderId="10" xfId="42" applyNumberFormat="1" applyBorder="1"/>
    <xf numFmtId="10" fontId="9" fillId="0" borderId="17" xfId="42" applyNumberFormat="1" applyBorder="1"/>
    <xf numFmtId="10" fontId="9" fillId="0" borderId="34" xfId="42" applyNumberFormat="1" applyBorder="1"/>
    <xf numFmtId="10" fontId="9" fillId="0" borderId="19" xfId="29" applyNumberFormat="1" applyBorder="1"/>
    <xf numFmtId="10" fontId="9" fillId="0" borderId="17" xfId="29" applyNumberFormat="1" applyBorder="1"/>
    <xf numFmtId="10" fontId="9" fillId="0" borderId="58" xfId="29" applyNumberFormat="1" applyBorder="1"/>
    <xf numFmtId="10" fontId="9" fillId="0" borderId="24" xfId="42" applyNumberFormat="1" applyBorder="1"/>
    <xf numFmtId="10" fontId="9" fillId="0" borderId="36" xfId="42" applyNumberFormat="1" applyBorder="1"/>
    <xf numFmtId="10" fontId="9" fillId="0" borderId="19" xfId="42" applyNumberFormat="1" applyBorder="1"/>
    <xf numFmtId="44" fontId="9" fillId="29" borderId="36" xfId="29" applyFill="1" applyBorder="1"/>
    <xf numFmtId="10" fontId="9" fillId="0" borderId="58" xfId="42" applyNumberFormat="1" applyBorder="1"/>
    <xf numFmtId="44" fontId="9" fillId="0" borderId="0" xfId="29"/>
    <xf numFmtId="165" fontId="60" fillId="0" borderId="19" xfId="29" applyNumberFormat="1" applyFont="1" applyBorder="1" applyAlignment="1">
      <alignment vertical="center" wrapText="1"/>
    </xf>
    <xf numFmtId="165" fontId="79" fillId="0" borderId="19" xfId="29" applyNumberFormat="1" applyFont="1" applyBorder="1" applyAlignment="1">
      <alignment vertical="center" wrapText="1"/>
    </xf>
    <xf numFmtId="165" fontId="79" fillId="0" borderId="65" xfId="29" applyNumberFormat="1" applyFont="1" applyBorder="1" applyAlignment="1">
      <alignment vertical="center" wrapText="1"/>
    </xf>
    <xf numFmtId="165" fontId="60" fillId="0" borderId="10" xfId="29" applyNumberFormat="1" applyFont="1" applyBorder="1" applyAlignment="1">
      <alignment vertical="center" wrapText="1"/>
    </xf>
    <xf numFmtId="165" fontId="79" fillId="0" borderId="10" xfId="29" applyNumberFormat="1" applyFont="1" applyBorder="1" applyAlignment="1">
      <alignment vertical="center" wrapText="1"/>
    </xf>
    <xf numFmtId="165" fontId="79" fillId="0" borderId="25" xfId="29" applyNumberFormat="1" applyFont="1" applyBorder="1" applyAlignment="1">
      <alignment vertical="center" wrapText="1"/>
    </xf>
    <xf numFmtId="165" fontId="60" fillId="0" borderId="25" xfId="29" applyNumberFormat="1" applyFont="1" applyBorder="1" applyAlignment="1">
      <alignment vertical="center" wrapText="1"/>
    </xf>
    <xf numFmtId="165" fontId="61" fillId="0" borderId="10" xfId="29" applyNumberFormat="1" applyFont="1" applyBorder="1" applyAlignment="1">
      <alignment vertical="center" wrapText="1"/>
    </xf>
    <xf numFmtId="165" fontId="61" fillId="0" borderId="25" xfId="29" applyNumberFormat="1" applyFont="1" applyBorder="1" applyAlignment="1">
      <alignment vertical="center" wrapText="1"/>
    </xf>
    <xf numFmtId="165" fontId="60" fillId="29" borderId="10" xfId="29" applyNumberFormat="1" applyFont="1" applyFill="1" applyBorder="1" applyAlignment="1">
      <alignment vertical="center" wrapText="1"/>
    </xf>
    <xf numFmtId="165" fontId="60" fillId="29" borderId="25" xfId="29" applyNumberFormat="1" applyFont="1" applyFill="1" applyBorder="1" applyAlignment="1">
      <alignment vertical="center" wrapText="1"/>
    </xf>
    <xf numFmtId="165" fontId="60" fillId="29" borderId="24" xfId="29" applyNumberFormat="1" applyFont="1" applyFill="1" applyBorder="1" applyAlignment="1">
      <alignment vertical="center" wrapText="1"/>
    </xf>
    <xf numFmtId="165" fontId="60" fillId="29" borderId="63" xfId="29" applyNumberFormat="1" applyFont="1" applyFill="1" applyBorder="1" applyAlignment="1">
      <alignment vertical="center" wrapText="1"/>
    </xf>
    <xf numFmtId="0" fontId="9" fillId="0" borderId="0" xfId="0" applyFont="1" applyProtection="1"/>
    <xf numFmtId="0" fontId="10" fillId="0" borderId="0" xfId="36" applyAlignment="1" applyProtection="1"/>
    <xf numFmtId="0" fontId="40" fillId="0" borderId="0" xfId="0" applyFont="1" applyFill="1" applyBorder="1"/>
    <xf numFmtId="0" fontId="9" fillId="0" borderId="0" xfId="36" applyFont="1" applyAlignment="1" applyProtection="1"/>
    <xf numFmtId="44" fontId="0" fillId="0" borderId="0" xfId="0" applyNumberFormat="1" applyProtection="1"/>
    <xf numFmtId="0" fontId="14" fillId="0" borderId="0" xfId="0" applyFont="1" applyAlignment="1">
      <alignment horizontal="center" vertical="center"/>
    </xf>
    <xf numFmtId="0" fontId="9" fillId="0" borderId="0" xfId="46" applyProtection="1"/>
    <xf numFmtId="0" fontId="9" fillId="0" borderId="0" xfId="46" applyBorder="1" applyProtection="1"/>
    <xf numFmtId="0" fontId="12" fillId="0" borderId="12" xfId="46" applyFont="1" applyBorder="1" applyAlignment="1" applyProtection="1">
      <alignment horizontal="center" vertical="center"/>
    </xf>
    <xf numFmtId="0" fontId="12" fillId="0" borderId="0" xfId="46" applyFont="1" applyBorder="1" applyAlignment="1" applyProtection="1">
      <alignment vertical="center"/>
    </xf>
    <xf numFmtId="0" fontId="12" fillId="0" borderId="0" xfId="46" applyFont="1" applyBorder="1" applyAlignment="1" applyProtection="1">
      <alignment horizontal="center" vertical="center"/>
    </xf>
    <xf numFmtId="0" fontId="12" fillId="0" borderId="0" xfId="46" applyFont="1" applyProtection="1"/>
    <xf numFmtId="0" fontId="9" fillId="0" borderId="0" xfId="46" applyBorder="1" applyAlignment="1" applyProtection="1">
      <alignment horizontal="center"/>
    </xf>
    <xf numFmtId="0" fontId="12" fillId="0" borderId="0" xfId="46" applyFont="1" applyBorder="1" applyProtection="1"/>
    <xf numFmtId="0" fontId="9" fillId="0" borderId="0" xfId="46" quotePrefix="1" applyBorder="1" applyAlignment="1" applyProtection="1">
      <alignment horizontal="center"/>
    </xf>
    <xf numFmtId="0" fontId="9" fillId="0" borderId="0" xfId="46" quotePrefix="1" applyBorder="1" applyAlignment="1" applyProtection="1">
      <alignment horizontal="right"/>
    </xf>
    <xf numFmtId="0" fontId="12" fillId="0" borderId="12" xfId="46" applyFont="1" applyBorder="1" applyProtection="1"/>
    <xf numFmtId="0" fontId="9" fillId="0" borderId="0" xfId="46" quotePrefix="1" applyBorder="1" applyProtection="1"/>
    <xf numFmtId="10" fontId="9" fillId="0" borderId="0" xfId="42" applyNumberFormat="1" applyFont="1" applyFill="1" applyBorder="1" applyProtection="1"/>
    <xf numFmtId="171" fontId="9" fillId="0" borderId="0" xfId="46" applyNumberFormat="1" applyFill="1" applyBorder="1" applyProtection="1">
      <protection locked="0"/>
    </xf>
    <xf numFmtId="172" fontId="9" fillId="0" borderId="0" xfId="29" applyNumberFormat="1" applyFont="1" applyBorder="1" applyProtection="1"/>
    <xf numFmtId="171" fontId="9" fillId="0" borderId="0" xfId="46" quotePrefix="1" applyNumberFormat="1" applyFill="1" applyBorder="1" applyProtection="1">
      <protection locked="0"/>
    </xf>
    <xf numFmtId="172" fontId="9" fillId="0" borderId="12" xfId="29" applyNumberFormat="1" applyFont="1" applyBorder="1" applyProtection="1"/>
    <xf numFmtId="164" fontId="9" fillId="0" borderId="14" xfId="42" applyNumberFormat="1" applyFont="1" applyBorder="1" applyProtection="1"/>
    <xf numFmtId="164" fontId="9" fillId="0" borderId="14" xfId="42" applyNumberFormat="1" applyFont="1" applyFill="1" applyBorder="1" applyProtection="1"/>
    <xf numFmtId="172" fontId="9" fillId="0" borderId="14" xfId="29" applyNumberFormat="1" applyFont="1" applyBorder="1" applyProtection="1"/>
    <xf numFmtId="10" fontId="9" fillId="0" borderId="14" xfId="42" applyNumberFormat="1" applyFont="1" applyBorder="1" applyProtection="1"/>
    <xf numFmtId="0" fontId="9" fillId="0" borderId="0" xfId="46" applyFill="1" applyBorder="1" applyProtection="1"/>
    <xf numFmtId="164" fontId="9" fillId="0" borderId="0" xfId="42" applyNumberFormat="1" applyFont="1" applyBorder="1" applyProtection="1"/>
    <xf numFmtId="164" fontId="9" fillId="0" borderId="0" xfId="42" applyNumberFormat="1" applyFont="1" applyFill="1" applyBorder="1" applyProtection="1"/>
    <xf numFmtId="172" fontId="9" fillId="0" borderId="0" xfId="46" applyNumberFormat="1" applyBorder="1" applyProtection="1"/>
    <xf numFmtId="10" fontId="9" fillId="0" borderId="0" xfId="42" applyNumberFormat="1" applyFont="1" applyBorder="1" applyProtection="1"/>
    <xf numFmtId="0" fontId="12" fillId="0" borderId="0" xfId="46" applyFont="1" applyBorder="1" applyAlignment="1" applyProtection="1"/>
    <xf numFmtId="0" fontId="9" fillId="0" borderId="0" xfId="46" applyBorder="1" applyAlignment="1" applyProtection="1"/>
    <xf numFmtId="0" fontId="9" fillId="0" borderId="0" xfId="46" quotePrefix="1" applyBorder="1" applyAlignment="1" applyProtection="1"/>
    <xf numFmtId="10" fontId="9" fillId="0" borderId="0" xfId="42" applyNumberFormat="1" applyFont="1" applyFill="1" applyBorder="1" applyAlignment="1" applyProtection="1"/>
    <xf numFmtId="172" fontId="9" fillId="0" borderId="0" xfId="29" applyNumberFormat="1" applyFont="1" applyBorder="1" applyAlignment="1" applyProtection="1"/>
    <xf numFmtId="172" fontId="9" fillId="0" borderId="12" xfId="29" applyNumberFormat="1" applyFont="1" applyBorder="1" applyAlignment="1" applyProtection="1"/>
    <xf numFmtId="164" fontId="9" fillId="0" borderId="125" xfId="46" applyNumberFormat="1" applyBorder="1" applyProtection="1"/>
    <xf numFmtId="9" fontId="9" fillId="0" borderId="125" xfId="46" applyNumberFormat="1" applyBorder="1" applyProtection="1"/>
    <xf numFmtId="10" fontId="9" fillId="0" borderId="125" xfId="42" applyNumberFormat="1" applyFont="1" applyBorder="1" applyProtection="1"/>
    <xf numFmtId="172" fontId="9" fillId="0" borderId="125" xfId="29" applyNumberFormat="1" applyFont="1" applyBorder="1" applyProtection="1"/>
    <xf numFmtId="0" fontId="87" fillId="0" borderId="0" xfId="46" applyFont="1"/>
    <xf numFmtId="10" fontId="9" fillId="29" borderId="0" xfId="42" applyNumberFormat="1" applyFont="1" applyFill="1" applyBorder="1" applyProtection="1"/>
    <xf numFmtId="10" fontId="9" fillId="29" borderId="12" xfId="42" applyNumberFormat="1" applyFont="1" applyFill="1" applyBorder="1" applyProtection="1"/>
    <xf numFmtId="10" fontId="9" fillId="29" borderId="0" xfId="42" applyNumberFormat="1" applyFont="1" applyFill="1" applyBorder="1" applyAlignment="1" applyProtection="1"/>
    <xf numFmtId="10" fontId="9" fillId="29" borderId="12" xfId="42" applyNumberFormat="1" applyFont="1" applyFill="1" applyBorder="1" applyAlignment="1" applyProtection="1"/>
    <xf numFmtId="171" fontId="9" fillId="29" borderId="0" xfId="46" applyNumberFormat="1" applyFill="1" applyBorder="1" applyProtection="1">
      <protection locked="0"/>
    </xf>
    <xf numFmtId="0" fontId="9" fillId="67" borderId="0" xfId="46" applyFill="1" applyBorder="1" applyProtection="1"/>
    <xf numFmtId="0" fontId="12" fillId="0" borderId="0" xfId="46" quotePrefix="1" applyFont="1" applyAlignment="1" applyProtection="1">
      <alignment horizontal="center" vertical="center"/>
    </xf>
    <xf numFmtId="171" fontId="9" fillId="29" borderId="0" xfId="46" applyNumberFormat="1" applyFill="1" applyAlignment="1" applyProtection="1">
      <alignment horizontal="center" vertical="center"/>
      <protection locked="0"/>
    </xf>
    <xf numFmtId="0" fontId="9" fillId="29" borderId="0" xfId="0" applyFont="1" applyFill="1" applyAlignment="1" applyProtection="1">
      <alignment vertical="top" wrapText="1"/>
    </xf>
    <xf numFmtId="0" fontId="88" fillId="0" borderId="0" xfId="0" applyFont="1"/>
    <xf numFmtId="169" fontId="14" fillId="0" borderId="0" xfId="29" applyNumberFormat="1" applyFont="1" applyFill="1" applyBorder="1" applyAlignment="1">
      <alignment horizontal="center" vertical="center"/>
    </xf>
    <xf numFmtId="0" fontId="14" fillId="0" borderId="0" xfId="46" applyFont="1" applyAlignment="1">
      <alignment horizontal="center" vertical="center"/>
    </xf>
    <xf numFmtId="0" fontId="54" fillId="0" borderId="0" xfId="0" applyFont="1" applyAlignment="1" applyProtection="1">
      <alignment horizontal="center" vertical="center" wrapText="1"/>
    </xf>
    <xf numFmtId="0" fontId="54" fillId="0" borderId="0" xfId="0" applyFont="1" applyAlignment="1" applyProtection="1">
      <alignment horizontal="right" vertical="center" wrapText="1" indent="1"/>
    </xf>
    <xf numFmtId="0" fontId="7" fillId="0" borderId="0" xfId="90"/>
    <xf numFmtId="0" fontId="0" fillId="0" borderId="0" xfId="0" applyAlignment="1">
      <alignment horizontal="left"/>
    </xf>
    <xf numFmtId="0" fontId="12" fillId="0" borderId="0" xfId="46" applyFont="1" applyAlignment="1">
      <alignment horizontal="center" vertical="center"/>
    </xf>
    <xf numFmtId="0" fontId="16" fillId="0" borderId="0" xfId="46" applyFont="1" applyAlignment="1">
      <alignment horizontal="center"/>
    </xf>
    <xf numFmtId="0" fontId="9" fillId="0" borderId="0" xfId="46" applyFont="1" applyAlignment="1">
      <alignment horizontal="left" vertical="top" wrapText="1"/>
    </xf>
    <xf numFmtId="0" fontId="9" fillId="0" borderId="0" xfId="46" applyFont="1" applyAlignment="1">
      <alignment vertical="top" wrapText="1"/>
    </xf>
    <xf numFmtId="0" fontId="9" fillId="0" borderId="0" xfId="46" applyFont="1" applyAlignment="1">
      <alignment horizontal="left" vertical="center" wrapText="1"/>
    </xf>
    <xf numFmtId="0" fontId="12" fillId="0" borderId="0" xfId="46" applyFont="1" applyAlignment="1">
      <alignment vertical="top" wrapText="1"/>
    </xf>
    <xf numFmtId="0" fontId="14" fillId="0" borderId="0" xfId="46" applyFont="1" applyAlignment="1">
      <alignment horizontal="center"/>
    </xf>
    <xf numFmtId="0" fontId="9" fillId="0" borderId="0" xfId="46" applyFont="1" applyAlignment="1">
      <alignment wrapText="1"/>
    </xf>
    <xf numFmtId="0" fontId="9" fillId="0" borderId="0" xfId="46" applyAlignment="1">
      <alignment wrapText="1"/>
    </xf>
    <xf numFmtId="0" fontId="9" fillId="0" borderId="0" xfId="46" applyAlignment="1">
      <alignment horizontal="center"/>
    </xf>
    <xf numFmtId="0" fontId="9" fillId="0" borderId="0" xfId="46" applyAlignment="1"/>
    <xf numFmtId="0" fontId="12" fillId="0" borderId="0" xfId="46" applyFont="1" applyAlignment="1">
      <alignment horizontal="center" vertical="center"/>
    </xf>
    <xf numFmtId="0" fontId="16" fillId="0" borderId="0" xfId="46" applyFont="1" applyAlignment="1">
      <alignment horizontal="center"/>
    </xf>
    <xf numFmtId="0" fontId="9" fillId="0" borderId="0" xfId="46" applyFont="1" applyAlignment="1">
      <alignment horizontal="left" vertical="top" wrapText="1"/>
    </xf>
    <xf numFmtId="0" fontId="9" fillId="0" borderId="0" xfId="46" applyFont="1" applyAlignment="1">
      <alignment vertical="top" wrapText="1"/>
    </xf>
    <xf numFmtId="0" fontId="9" fillId="0" borderId="0" xfId="46" applyFont="1" applyAlignment="1">
      <alignment horizontal="left" vertical="center" wrapText="1"/>
    </xf>
    <xf numFmtId="0" fontId="12" fillId="0" borderId="0" xfId="46" applyFont="1" applyAlignment="1">
      <alignment vertical="top" wrapText="1"/>
    </xf>
    <xf numFmtId="0" fontId="9" fillId="0" borderId="0" xfId="46" applyAlignment="1">
      <alignment wrapText="1"/>
    </xf>
    <xf numFmtId="0" fontId="12" fillId="0" borderId="0" xfId="46" applyFont="1" applyAlignment="1">
      <alignment horizontal="center" vertical="top"/>
    </xf>
    <xf numFmtId="0" fontId="9" fillId="0" borderId="0" xfId="46" applyFont="1" applyAlignment="1">
      <alignment wrapText="1"/>
    </xf>
    <xf numFmtId="0" fontId="9" fillId="0" borderId="0" xfId="46" applyAlignment="1">
      <alignment horizontal="center"/>
    </xf>
    <xf numFmtId="0" fontId="9" fillId="0" borderId="0" xfId="46" applyAlignment="1"/>
    <xf numFmtId="0" fontId="6" fillId="0" borderId="0" xfId="93"/>
    <xf numFmtId="9" fontId="0" fillId="68" borderId="0" xfId="95" applyFont="1" applyFill="1"/>
    <xf numFmtId="9" fontId="6" fillId="68" borderId="0" xfId="93" applyNumberFormat="1" applyFill="1"/>
    <xf numFmtId="9" fontId="6" fillId="0" borderId="0" xfId="93" applyNumberFormat="1"/>
    <xf numFmtId="0" fontId="76" fillId="0" borderId="49" xfId="93" applyFont="1" applyBorder="1"/>
    <xf numFmtId="10" fontId="76" fillId="0" borderId="0" xfId="93" applyNumberFormat="1" applyFont="1" applyBorder="1"/>
    <xf numFmtId="10" fontId="76" fillId="0" borderId="128" xfId="93" applyNumberFormat="1" applyFont="1" applyBorder="1"/>
    <xf numFmtId="10" fontId="76" fillId="0" borderId="29" xfId="93" applyNumberFormat="1" applyFont="1" applyBorder="1"/>
    <xf numFmtId="0" fontId="76" fillId="0" borderId="46" xfId="93" applyFont="1" applyBorder="1"/>
    <xf numFmtId="43" fontId="76" fillId="0" borderId="30" xfId="94" applyNumberFormat="1" applyFont="1" applyBorder="1"/>
    <xf numFmtId="43" fontId="76" fillId="0" borderId="130" xfId="94" applyNumberFormat="1" applyFont="1" applyBorder="1"/>
    <xf numFmtId="43" fontId="76" fillId="0" borderId="31" xfId="94" applyNumberFormat="1" applyFont="1" applyBorder="1"/>
    <xf numFmtId="0" fontId="76" fillId="0" borderId="0" xfId="93" applyFont="1" applyBorder="1"/>
    <xf numFmtId="43" fontId="76" fillId="0" borderId="0" xfId="94" applyNumberFormat="1" applyFont="1" applyBorder="1"/>
    <xf numFmtId="0" fontId="77" fillId="0" borderId="0" xfId="93" applyFont="1"/>
    <xf numFmtId="166" fontId="77" fillId="0" borderId="0" xfId="93" applyNumberFormat="1" applyFont="1"/>
    <xf numFmtId="0" fontId="76" fillId="0" borderId="0" xfId="93" applyFont="1" applyFill="1" applyBorder="1" applyAlignment="1">
      <alignment vertical="top"/>
    </xf>
    <xf numFmtId="0" fontId="76" fillId="0" borderId="29" xfId="93" applyFont="1" applyFill="1" applyBorder="1" applyAlignment="1">
      <alignment horizontal="center" vertical="top" wrapText="1"/>
    </xf>
    <xf numFmtId="0" fontId="76" fillId="0" borderId="0" xfId="93" applyFont="1" applyBorder="1" applyAlignment="1">
      <alignment vertical="top" wrapText="1"/>
    </xf>
    <xf numFmtId="0" fontId="76" fillId="0" borderId="0" xfId="93" applyFont="1" applyFill="1" applyBorder="1" applyAlignment="1">
      <alignment vertical="top" wrapText="1"/>
    </xf>
    <xf numFmtId="0" fontId="76" fillId="0" borderId="49" xfId="93" applyFont="1" applyBorder="1" applyAlignment="1">
      <alignment vertical="top" wrapText="1"/>
    </xf>
    <xf numFmtId="0" fontId="90" fillId="0" borderId="30" xfId="93" applyFont="1" applyBorder="1" applyAlignment="1">
      <alignment vertical="top" wrapText="1"/>
    </xf>
    <xf numFmtId="0" fontId="89" fillId="0" borderId="0" xfId="93" applyFont="1" applyBorder="1" applyAlignment="1">
      <alignment vertical="top" wrapText="1"/>
    </xf>
    <xf numFmtId="0" fontId="90" fillId="0" borderId="0" xfId="93" applyFont="1" applyBorder="1" applyAlignment="1">
      <alignment vertical="top" wrapText="1"/>
    </xf>
    <xf numFmtId="0" fontId="76" fillId="0" borderId="0" xfId="93" applyFont="1"/>
    <xf numFmtId="0" fontId="76" fillId="66" borderId="49" xfId="93" applyFont="1" applyFill="1" applyBorder="1" applyAlignment="1">
      <alignment horizontal="right"/>
    </xf>
    <xf numFmtId="0" fontId="76" fillId="66" borderId="0" xfId="93" applyFont="1" applyFill="1" applyBorder="1" applyAlignment="1">
      <alignment horizontal="right"/>
    </xf>
    <xf numFmtId="0" fontId="76" fillId="66" borderId="29" xfId="93" applyFont="1" applyFill="1" applyBorder="1" applyAlignment="1">
      <alignment horizontal="right"/>
    </xf>
    <xf numFmtId="0" fontId="6" fillId="0" borderId="49" xfId="93" applyFont="1" applyBorder="1"/>
    <xf numFmtId="0" fontId="6" fillId="0" borderId="0" xfId="93" applyFont="1" applyBorder="1"/>
    <xf numFmtId="0" fontId="6" fillId="0" borderId="53" xfId="93" applyFont="1" applyBorder="1"/>
    <xf numFmtId="0" fontId="6" fillId="0" borderId="125" xfId="93" applyFont="1" applyBorder="1"/>
    <xf numFmtId="10" fontId="93" fillId="0" borderId="0" xfId="95" applyNumberFormat="1" applyFont="1" applyBorder="1"/>
    <xf numFmtId="10" fontId="93" fillId="0" borderId="29" xfId="95" applyNumberFormat="1" applyFont="1" applyBorder="1"/>
    <xf numFmtId="10" fontId="94" fillId="0" borderId="0" xfId="95" applyNumberFormat="1" applyFont="1" applyBorder="1"/>
    <xf numFmtId="10" fontId="94" fillId="0" borderId="128" xfId="95" applyNumberFormat="1" applyFont="1" applyBorder="1"/>
    <xf numFmtId="10" fontId="94" fillId="0" borderId="29" xfId="95" applyNumberFormat="1" applyFont="1" applyBorder="1"/>
    <xf numFmtId="10" fontId="94" fillId="0" borderId="129" xfId="95" applyNumberFormat="1" applyFont="1" applyBorder="1"/>
    <xf numFmtId="10" fontId="94" fillId="0" borderId="57" xfId="95" applyNumberFormat="1" applyFont="1" applyBorder="1"/>
    <xf numFmtId="43" fontId="94" fillId="29" borderId="0" xfId="94" applyNumberFormat="1" applyFont="1" applyFill="1" applyBorder="1"/>
    <xf numFmtId="43" fontId="94" fillId="29" borderId="128" xfId="94" applyNumberFormat="1" applyFont="1" applyFill="1" applyBorder="1"/>
    <xf numFmtId="43" fontId="94" fillId="0" borderId="29" xfId="94" applyNumberFormat="1" applyFont="1" applyBorder="1"/>
    <xf numFmtId="43" fontId="94" fillId="0" borderId="0" xfId="94" applyNumberFormat="1" applyFont="1" applyBorder="1"/>
    <xf numFmtId="43" fontId="94" fillId="0" borderId="128" xfId="94" applyNumberFormat="1" applyFont="1" applyBorder="1"/>
    <xf numFmtId="43" fontId="94" fillId="0" borderId="125" xfId="94" applyNumberFormat="1" applyFont="1" applyBorder="1"/>
    <xf numFmtId="43" fontId="94" fillId="0" borderId="129" xfId="94" applyNumberFormat="1" applyFont="1" applyBorder="1"/>
    <xf numFmtId="43" fontId="94" fillId="0" borderId="57" xfId="94" applyNumberFormat="1" applyFont="1" applyBorder="1"/>
    <xf numFmtId="0" fontId="6" fillId="0" borderId="0" xfId="93" applyFont="1" applyBorder="1" applyAlignment="1">
      <alignment vertical="top" wrapText="1"/>
    </xf>
    <xf numFmtId="0" fontId="6" fillId="0" borderId="0" xfId="93" applyFont="1" applyAlignment="1">
      <alignment vertical="top" wrapText="1"/>
    </xf>
    <xf numFmtId="0" fontId="76" fillId="66" borderId="0" xfId="93" applyFont="1" applyFill="1" applyBorder="1" applyAlignment="1">
      <alignment horizontal="center" vertical="center"/>
    </xf>
    <xf numFmtId="0" fontId="76" fillId="66" borderId="29" xfId="93" applyFont="1" applyFill="1" applyBorder="1" applyAlignment="1">
      <alignment horizontal="center" vertical="center" wrapText="1"/>
    </xf>
    <xf numFmtId="0" fontId="76" fillId="66" borderId="0" xfId="93" applyFont="1" applyFill="1" applyBorder="1" applyAlignment="1">
      <alignment horizontal="center"/>
    </xf>
    <xf numFmtId="0" fontId="76" fillId="66" borderId="29" xfId="93" applyFont="1" applyFill="1" applyBorder="1" applyAlignment="1">
      <alignment horizontal="center" wrapText="1"/>
    </xf>
    <xf numFmtId="0" fontId="76" fillId="29" borderId="125" xfId="93" applyFont="1" applyFill="1" applyBorder="1" applyAlignment="1">
      <alignment vertical="top"/>
    </xf>
    <xf numFmtId="0" fontId="76" fillId="29" borderId="131" xfId="93" applyFont="1" applyFill="1" applyBorder="1" applyAlignment="1">
      <alignment vertical="top"/>
    </xf>
    <xf numFmtId="43" fontId="94" fillId="29" borderId="133" xfId="94" applyNumberFormat="1" applyFont="1" applyFill="1" applyBorder="1"/>
    <xf numFmtId="43" fontId="94" fillId="29" borderId="132" xfId="94" applyNumberFormat="1" applyFont="1" applyFill="1" applyBorder="1"/>
    <xf numFmtId="0" fontId="76" fillId="28" borderId="0" xfId="93" applyFont="1" applyFill="1" applyBorder="1" applyAlignment="1">
      <alignment horizontal="center" vertical="center" wrapText="1"/>
    </xf>
    <xf numFmtId="0" fontId="6" fillId="0" borderId="0" xfId="93" applyFont="1"/>
    <xf numFmtId="49" fontId="6" fillId="0" borderId="0" xfId="93" applyNumberFormat="1" applyFont="1" applyAlignment="1">
      <alignment vertical="top" wrapText="1"/>
    </xf>
    <xf numFmtId="0" fontId="6" fillId="66" borderId="49" xfId="93" applyFont="1" applyFill="1" applyBorder="1" applyAlignment="1">
      <alignment vertical="top"/>
    </xf>
    <xf numFmtId="0" fontId="6" fillId="66" borderId="0" xfId="93" applyFont="1" applyFill="1" applyBorder="1" applyAlignment="1">
      <alignment vertical="top"/>
    </xf>
    <xf numFmtId="0" fontId="6" fillId="0" borderId="49" xfId="93" applyFont="1" applyFill="1" applyBorder="1" applyAlignment="1">
      <alignment vertical="top"/>
    </xf>
    <xf numFmtId="0" fontId="6" fillId="0" borderId="0" xfId="93" applyFont="1" applyFill="1" applyBorder="1" applyAlignment="1">
      <alignment vertical="top"/>
    </xf>
    <xf numFmtId="0" fontId="6" fillId="0" borderId="53" xfId="93" applyFont="1" applyFill="1" applyBorder="1" applyAlignment="1">
      <alignment vertical="top"/>
    </xf>
    <xf numFmtId="0" fontId="6" fillId="0" borderId="125" xfId="93" applyFont="1" applyFill="1" applyBorder="1" applyAlignment="1">
      <alignment vertical="top"/>
    </xf>
    <xf numFmtId="0" fontId="6" fillId="0" borderId="0" xfId="93" applyFont="1" applyFill="1" applyBorder="1"/>
    <xf numFmtId="0" fontId="6" fillId="0" borderId="72" xfId="93" applyFont="1" applyBorder="1"/>
    <xf numFmtId="0" fontId="6" fillId="0" borderId="49" xfId="93" applyFont="1" applyBorder="1" applyAlignment="1">
      <alignment wrapText="1"/>
    </xf>
    <xf numFmtId="49" fontId="93" fillId="0" borderId="0" xfId="94" applyNumberFormat="1" applyFont="1" applyBorder="1" applyAlignment="1">
      <alignment vertical="top" wrapText="1"/>
    </xf>
    <xf numFmtId="10" fontId="93" fillId="0" borderId="31" xfId="95" applyNumberFormat="1" applyFont="1" applyBorder="1"/>
    <xf numFmtId="10" fontId="93" fillId="0" borderId="29" xfId="95" applyNumberFormat="1" applyFont="1" applyBorder="1" applyAlignment="1">
      <alignment horizontal="center" vertical="center" wrapText="1"/>
    </xf>
    <xf numFmtId="0" fontId="76" fillId="0" borderId="49" xfId="93" applyFont="1" applyBorder="1" applyAlignment="1">
      <alignment horizontal="left" vertical="center" wrapText="1"/>
    </xf>
    <xf numFmtId="0" fontId="89" fillId="0" borderId="46" xfId="93" applyFont="1" applyBorder="1" applyAlignment="1">
      <alignment horizontal="left" vertical="top" wrapText="1"/>
    </xf>
    <xf numFmtId="0" fontId="11" fillId="0" borderId="0" xfId="46" applyFont="1" applyAlignment="1">
      <alignment horizontal="right" vertical="top"/>
    </xf>
    <xf numFmtId="0" fontId="11" fillId="29" borderId="104" xfId="46" applyFont="1" applyFill="1" applyBorder="1" applyAlignment="1">
      <alignment horizontal="right" vertical="top"/>
    </xf>
    <xf numFmtId="0" fontId="11" fillId="29" borderId="0" xfId="46" applyFont="1" applyFill="1" applyAlignment="1">
      <alignment horizontal="right" vertical="top"/>
    </xf>
    <xf numFmtId="0" fontId="12" fillId="0" borderId="0" xfId="46" applyFont="1" applyAlignment="1">
      <alignment horizontal="right"/>
    </xf>
    <xf numFmtId="0" fontId="46" fillId="29" borderId="0" xfId="46" applyFont="1" applyFill="1" applyAlignment="1"/>
    <xf numFmtId="0" fontId="13" fillId="0" borderId="0" xfId="46" applyFont="1" applyAlignment="1">
      <alignment horizontal="center"/>
    </xf>
    <xf numFmtId="0" fontId="9" fillId="25" borderId="77" xfId="46" applyFill="1" applyBorder="1"/>
    <xf numFmtId="0" fontId="12" fillId="25" borderId="13" xfId="46" applyFont="1" applyFill="1" applyBorder="1" applyAlignment="1"/>
    <xf numFmtId="0" fontId="12" fillId="25" borderId="33" xfId="46" applyFont="1" applyFill="1" applyBorder="1" applyAlignment="1"/>
    <xf numFmtId="0" fontId="12" fillId="25" borderId="10" xfId="46" applyFont="1" applyFill="1" applyBorder="1" applyAlignment="1">
      <alignment horizontal="center" wrapText="1"/>
    </xf>
    <xf numFmtId="0" fontId="12" fillId="25" borderId="10" xfId="46" applyFont="1" applyFill="1" applyBorder="1" applyAlignment="1">
      <alignment horizontal="center"/>
    </xf>
    <xf numFmtId="0" fontId="12" fillId="25" borderId="10" xfId="46" applyFont="1" applyFill="1" applyBorder="1"/>
    <xf numFmtId="0" fontId="9" fillId="25" borderId="11" xfId="46" applyFill="1" applyBorder="1"/>
    <xf numFmtId="0" fontId="12" fillId="25" borderId="16" xfId="46" applyFont="1" applyFill="1" applyBorder="1" applyAlignment="1">
      <alignment horizontal="center" wrapText="1"/>
    </xf>
    <xf numFmtId="0" fontId="12" fillId="25" borderId="19" xfId="46" applyFont="1" applyFill="1" applyBorder="1" applyAlignment="1">
      <alignment horizontal="center"/>
    </xf>
    <xf numFmtId="0" fontId="12" fillId="25" borderId="19" xfId="46" applyFont="1" applyFill="1" applyBorder="1" applyAlignment="1">
      <alignment horizontal="center" wrapText="1"/>
    </xf>
    <xf numFmtId="0" fontId="9" fillId="0" borderId="10" xfId="46" applyBorder="1" applyAlignment="1">
      <alignment horizontal="center" vertical="center"/>
    </xf>
    <xf numFmtId="0" fontId="9" fillId="0" borderId="10" xfId="46" applyFont="1" applyBorder="1" applyAlignment="1">
      <alignment vertical="center" wrapText="1"/>
    </xf>
    <xf numFmtId="165" fontId="9" fillId="0" borderId="10" xfId="46" applyNumberFormat="1" applyBorder="1"/>
    <xf numFmtId="0" fontId="9" fillId="0" borderId="10" xfId="46" applyFill="1" applyBorder="1" applyAlignment="1">
      <alignment horizontal="center" vertical="center"/>
    </xf>
    <xf numFmtId="0" fontId="9" fillId="0" borderId="10" xfId="46" applyFill="1" applyBorder="1" applyAlignment="1">
      <alignment vertical="center" wrapText="1"/>
    </xf>
    <xf numFmtId="0" fontId="9" fillId="0" borderId="10" xfId="46" applyBorder="1" applyAlignment="1">
      <alignment vertical="center" wrapText="1"/>
    </xf>
    <xf numFmtId="0" fontId="9" fillId="0" borderId="10" xfId="46" applyFont="1" applyBorder="1" applyAlignment="1">
      <alignment horizontal="center" vertical="center"/>
    </xf>
    <xf numFmtId="0" fontId="9" fillId="0" borderId="10" xfId="46" applyFont="1" applyFill="1" applyBorder="1" applyAlignment="1">
      <alignment horizontal="center" vertical="center"/>
    </xf>
    <xf numFmtId="0" fontId="9" fillId="0" borderId="10" xfId="46" applyFont="1" applyFill="1" applyBorder="1" applyAlignment="1">
      <alignment vertical="center" wrapText="1"/>
    </xf>
    <xf numFmtId="0" fontId="9" fillId="0" borderId="10" xfId="46" applyBorder="1" applyAlignment="1">
      <alignment horizontal="left" vertical="center"/>
    </xf>
    <xf numFmtId="0" fontId="9" fillId="0" borderId="10" xfId="46" applyBorder="1" applyAlignment="1">
      <alignment horizontal="center"/>
    </xf>
    <xf numFmtId="0" fontId="9" fillId="0" borderId="10" xfId="46" applyBorder="1"/>
    <xf numFmtId="0" fontId="9" fillId="29" borderId="10" xfId="46" applyFill="1" applyBorder="1"/>
    <xf numFmtId="0" fontId="12" fillId="0" borderId="10" xfId="46" applyFont="1" applyBorder="1"/>
    <xf numFmtId="165" fontId="12" fillId="0" borderId="10" xfId="46" applyNumberFormat="1" applyFont="1" applyBorder="1"/>
    <xf numFmtId="0" fontId="12" fillId="0" borderId="0" xfId="46" applyFont="1" applyFill="1" applyBorder="1" applyAlignment="1"/>
    <xf numFmtId="0" fontId="40" fillId="0" borderId="0" xfId="46" applyFont="1" applyAlignment="1">
      <alignment horizontal="center"/>
    </xf>
    <xf numFmtId="0" fontId="9" fillId="0" borderId="0" xfId="46" applyAlignment="1">
      <alignment horizontal="left" wrapText="1"/>
    </xf>
    <xf numFmtId="0" fontId="9" fillId="0" borderId="0" xfId="46" applyFont="1" applyAlignment="1">
      <alignment horizontal="left"/>
    </xf>
    <xf numFmtId="0" fontId="9" fillId="0" borderId="0" xfId="46" applyBorder="1" applyAlignment="1">
      <alignment horizontal="center"/>
    </xf>
    <xf numFmtId="0" fontId="16" fillId="0" borderId="0" xfId="46" applyFont="1" applyAlignment="1">
      <alignment vertical="top"/>
    </xf>
    <xf numFmtId="0" fontId="9" fillId="0" borderId="0" xfId="46" applyFont="1" applyBorder="1"/>
    <xf numFmtId="0" fontId="9" fillId="0" borderId="0" xfId="46" applyFill="1" applyBorder="1"/>
    <xf numFmtId="165" fontId="0" fillId="0" borderId="0" xfId="29" applyNumberFormat="1" applyFont="1" applyFill="1" applyBorder="1"/>
    <xf numFmtId="165" fontId="9" fillId="0" borderId="0" xfId="46" applyNumberFormat="1" applyFill="1" applyBorder="1"/>
    <xf numFmtId="15" fontId="9" fillId="0" borderId="0" xfId="46" applyNumberFormat="1"/>
    <xf numFmtId="0" fontId="96" fillId="0" borderId="0" xfId="90" applyFont="1"/>
    <xf numFmtId="0" fontId="91" fillId="0" borderId="0" xfId="47" applyFont="1"/>
    <xf numFmtId="175" fontId="9" fillId="0" borderId="0" xfId="46" applyNumberFormat="1"/>
    <xf numFmtId="175" fontId="9" fillId="0" borderId="0" xfId="46" applyNumberFormat="1" applyFill="1"/>
    <xf numFmtId="3" fontId="12" fillId="0" borderId="0" xfId="46" applyNumberFormat="1" applyFont="1" applyFill="1"/>
    <xf numFmtId="175" fontId="12" fillId="0" borderId="0" xfId="46" applyNumberFormat="1" applyFont="1"/>
    <xf numFmtId="175" fontId="11" fillId="0" borderId="0" xfId="46" applyNumberFormat="1" applyFont="1" applyAlignment="1">
      <alignment horizontal="right" vertical="top"/>
    </xf>
    <xf numFmtId="175" fontId="11" fillId="29" borderId="104" xfId="46" applyNumberFormat="1" applyFont="1" applyFill="1" applyBorder="1" applyAlignment="1">
      <alignment horizontal="right" vertical="top"/>
    </xf>
    <xf numFmtId="175" fontId="11" fillId="29" borderId="0" xfId="46" applyNumberFormat="1" applyFont="1" applyFill="1" applyAlignment="1">
      <alignment horizontal="right" vertical="top"/>
    </xf>
    <xf numFmtId="175" fontId="14" fillId="0" borderId="0" xfId="46" applyNumberFormat="1" applyFont="1" applyAlignment="1">
      <alignment horizontal="center"/>
    </xf>
    <xf numFmtId="3" fontId="16" fillId="0" borderId="0" xfId="46" applyNumberFormat="1" applyFont="1" applyAlignment="1">
      <alignment horizontal="center"/>
    </xf>
    <xf numFmtId="175" fontId="16" fillId="0" borderId="0" xfId="46" applyNumberFormat="1" applyFont="1" applyAlignment="1">
      <alignment horizontal="center"/>
    </xf>
    <xf numFmtId="3" fontId="9" fillId="0" borderId="0" xfId="46" applyNumberFormat="1"/>
    <xf numFmtId="175" fontId="12" fillId="25" borderId="75" xfId="46" applyNumberFormat="1" applyFont="1" applyFill="1" applyBorder="1" applyAlignment="1">
      <alignment horizontal="center" vertical="center" wrapText="1"/>
    </xf>
    <xf numFmtId="3" fontId="12" fillId="25" borderId="75" xfId="46" applyNumberFormat="1" applyFont="1" applyFill="1" applyBorder="1" applyAlignment="1">
      <alignment horizontal="center" vertical="center" wrapText="1"/>
    </xf>
    <xf numFmtId="175" fontId="12" fillId="25" borderId="76" xfId="46" applyNumberFormat="1" applyFont="1" applyFill="1" applyBorder="1" applyAlignment="1">
      <alignment horizontal="center" vertical="center" wrapText="1"/>
    </xf>
    <xf numFmtId="175" fontId="12" fillId="25" borderId="19" xfId="46" quotePrefix="1" applyNumberFormat="1" applyFont="1" applyFill="1" applyBorder="1" applyAlignment="1">
      <alignment horizontal="center"/>
    </xf>
    <xf numFmtId="175" fontId="12" fillId="25" borderId="19" xfId="46" quotePrefix="1" applyNumberFormat="1" applyFont="1" applyFill="1" applyBorder="1" applyAlignment="1">
      <alignment horizontal="center" wrapText="1"/>
    </xf>
    <xf numFmtId="3" fontId="12" fillId="25" borderId="19" xfId="46" quotePrefix="1" applyNumberFormat="1" applyFont="1" applyFill="1" applyBorder="1" applyAlignment="1">
      <alignment horizontal="center"/>
    </xf>
    <xf numFmtId="175" fontId="12" fillId="25" borderId="65" xfId="46" quotePrefix="1" applyNumberFormat="1" applyFont="1" applyFill="1" applyBorder="1" applyAlignment="1">
      <alignment horizontal="center"/>
    </xf>
    <xf numFmtId="0" fontId="9" fillId="0" borderId="27" xfId="46" applyBorder="1" applyAlignment="1">
      <alignment horizontal="center" vertical="center"/>
    </xf>
    <xf numFmtId="0" fontId="9" fillId="0" borderId="27" xfId="46" applyFill="1" applyBorder="1" applyAlignment="1">
      <alignment horizontal="center" vertical="center"/>
    </xf>
    <xf numFmtId="0" fontId="9" fillId="0" borderId="27" xfId="46" applyFont="1" applyBorder="1" applyAlignment="1">
      <alignment horizontal="center" vertical="center"/>
    </xf>
    <xf numFmtId="0" fontId="9" fillId="0" borderId="27" xfId="46" applyFont="1" applyFill="1" applyBorder="1" applyAlignment="1">
      <alignment horizontal="center" vertical="center"/>
    </xf>
    <xf numFmtId="0" fontId="9" fillId="0" borderId="10" xfId="46" applyFont="1" applyFill="1" applyBorder="1" applyAlignment="1">
      <alignment vertical="center"/>
    </xf>
    <xf numFmtId="3" fontId="9" fillId="0" borderId="34" xfId="42" applyNumberFormat="1" applyBorder="1"/>
    <xf numFmtId="175" fontId="9" fillId="0" borderId="0" xfId="46" applyNumberFormat="1" applyFont="1"/>
    <xf numFmtId="3" fontId="9" fillId="0" borderId="0" xfId="46" applyNumberFormat="1" applyFont="1"/>
    <xf numFmtId="175" fontId="12" fillId="0" borderId="0" xfId="46" applyNumberFormat="1" applyFont="1" applyAlignment="1">
      <alignment vertical="top" wrapText="1"/>
    </xf>
    <xf numFmtId="3" fontId="12" fillId="0" borderId="0" xfId="46" applyNumberFormat="1" applyFont="1" applyAlignment="1">
      <alignment vertical="top" wrapText="1"/>
    </xf>
    <xf numFmtId="0" fontId="9" fillId="0" borderId="19" xfId="46" applyBorder="1" applyAlignment="1">
      <alignment horizontal="center" vertical="center"/>
    </xf>
    <xf numFmtId="0" fontId="9" fillId="0" borderId="19" xfId="46" applyFont="1" applyBorder="1" applyAlignment="1">
      <alignment vertical="center" wrapText="1"/>
    </xf>
    <xf numFmtId="10" fontId="9" fillId="0" borderId="0" xfId="42" applyNumberFormat="1" applyBorder="1"/>
    <xf numFmtId="0" fontId="9" fillId="0" borderId="32" xfId="46" applyBorder="1" applyAlignment="1">
      <alignment horizontal="center" vertical="center"/>
    </xf>
    <xf numFmtId="0" fontId="9" fillId="0" borderId="24" xfId="46" applyFont="1" applyBorder="1" applyAlignment="1">
      <alignment vertical="center" wrapText="1"/>
    </xf>
    <xf numFmtId="0" fontId="9" fillId="0" borderId="78" xfId="46" applyBorder="1" applyAlignment="1">
      <alignment horizontal="center" vertical="center"/>
    </xf>
    <xf numFmtId="0" fontId="59" fillId="31" borderId="17" xfId="47" applyFont="1" applyFill="1" applyBorder="1"/>
    <xf numFmtId="3" fontId="52" fillId="0" borderId="17" xfId="47" applyNumberFormat="1" applyFont="1" applyBorder="1" applyAlignment="1"/>
    <xf numFmtId="0" fontId="52" fillId="31" borderId="19" xfId="47" applyFont="1" applyFill="1" applyBorder="1"/>
    <xf numFmtId="3" fontId="9" fillId="29" borderId="19" xfId="47" applyNumberFormat="1" applyFont="1" applyFill="1" applyBorder="1" applyAlignment="1"/>
    <xf numFmtId="3" fontId="52" fillId="0" borderId="19" xfId="47" applyNumberFormat="1" applyFont="1" applyBorder="1" applyAlignment="1"/>
    <xf numFmtId="166" fontId="52" fillId="0" borderId="12" xfId="28" applyNumberFormat="1" applyFont="1" applyBorder="1"/>
    <xf numFmtId="166" fontId="52" fillId="0" borderId="13" xfId="28" applyNumberFormat="1" applyFont="1" applyBorder="1"/>
    <xf numFmtId="0" fontId="56" fillId="0" borderId="10" xfId="47" applyFont="1" applyBorder="1" applyAlignment="1">
      <alignment horizontal="center" vertical="center" wrapText="1"/>
    </xf>
    <xf numFmtId="166" fontId="52" fillId="0" borderId="0" xfId="28" applyNumberFormat="1" applyFont="1"/>
    <xf numFmtId="0" fontId="9" fillId="0" borderId="0" xfId="46" applyFont="1" applyAlignment="1">
      <alignment vertical="center"/>
    </xf>
    <xf numFmtId="0" fontId="9" fillId="0" borderId="0" xfId="46" applyFont="1" applyAlignment="1">
      <alignment horizontal="left" vertical="center" indent="2"/>
    </xf>
    <xf numFmtId="0" fontId="98" fillId="0" borderId="0" xfId="46" applyFont="1" applyAlignment="1">
      <alignment vertical="center" wrapText="1"/>
    </xf>
    <xf numFmtId="15" fontId="12" fillId="69" borderId="28" xfId="46" quotePrefix="1" applyNumberFormat="1" applyFont="1" applyFill="1" applyBorder="1" applyAlignment="1">
      <alignment horizontal="center"/>
    </xf>
    <xf numFmtId="15" fontId="12" fillId="69" borderId="26" xfId="46" quotePrefix="1" applyNumberFormat="1" applyFont="1" applyFill="1" applyBorder="1" applyAlignment="1">
      <alignment horizontal="center"/>
    </xf>
    <xf numFmtId="15" fontId="12" fillId="69" borderId="84" xfId="46" quotePrefix="1" applyNumberFormat="1" applyFont="1" applyFill="1" applyBorder="1" applyAlignment="1">
      <alignment horizontal="center"/>
    </xf>
    <xf numFmtId="0" fontId="12" fillId="69" borderId="72" xfId="46" applyFont="1" applyFill="1" applyBorder="1" applyAlignment="1">
      <alignment vertical="center"/>
    </xf>
    <xf numFmtId="0" fontId="9" fillId="69" borderId="73" xfId="46" applyFont="1" applyFill="1" applyBorder="1" applyAlignment="1">
      <alignment vertical="center"/>
    </xf>
    <xf numFmtId="0" fontId="9" fillId="69" borderId="45" xfId="46" applyFont="1" applyFill="1" applyBorder="1"/>
    <xf numFmtId="0" fontId="9" fillId="0" borderId="44" xfId="46" applyBorder="1" applyAlignment="1">
      <alignment horizontal="center"/>
    </xf>
    <xf numFmtId="0" fontId="12" fillId="69" borderId="49" xfId="46" applyFont="1" applyFill="1" applyBorder="1" applyAlignment="1">
      <alignment vertical="center"/>
    </xf>
    <xf numFmtId="0" fontId="9" fillId="69" borderId="0" xfId="46" applyFont="1" applyFill="1" applyBorder="1" applyAlignment="1">
      <alignment vertical="center"/>
    </xf>
    <xf numFmtId="0" fontId="9" fillId="69" borderId="29" xfId="46" applyFill="1" applyBorder="1"/>
    <xf numFmtId="0" fontId="24" fillId="4" borderId="44" xfId="31" applyBorder="1" applyAlignment="1">
      <alignment horizontal="center"/>
    </xf>
    <xf numFmtId="0" fontId="9" fillId="69" borderId="46" xfId="46" applyFont="1" applyFill="1" applyBorder="1" applyAlignment="1">
      <alignment vertical="center"/>
    </xf>
    <xf numFmtId="0" fontId="9" fillId="69" borderId="30" xfId="46" applyFont="1" applyFill="1" applyBorder="1" applyAlignment="1">
      <alignment vertical="center"/>
    </xf>
    <xf numFmtId="0" fontId="9" fillId="69" borderId="31" xfId="46" applyFill="1" applyBorder="1"/>
    <xf numFmtId="0" fontId="9" fillId="0" borderId="0" xfId="46" applyFont="1" applyBorder="1" applyAlignment="1">
      <alignment vertical="center"/>
    </xf>
    <xf numFmtId="0" fontId="12" fillId="69" borderId="90" xfId="46" applyFont="1" applyFill="1" applyBorder="1" applyAlignment="1">
      <alignment vertical="center"/>
    </xf>
    <xf numFmtId="0" fontId="9" fillId="69" borderId="66" xfId="46" applyFont="1" applyFill="1" applyBorder="1" applyAlignment="1">
      <alignment vertical="center"/>
    </xf>
    <xf numFmtId="0" fontId="9" fillId="69" borderId="22" xfId="46" applyFont="1" applyFill="1" applyBorder="1"/>
    <xf numFmtId="15" fontId="9" fillId="0" borderId="44" xfId="46" quotePrefix="1" applyNumberFormat="1" applyBorder="1" applyAlignment="1">
      <alignment horizontal="center"/>
    </xf>
    <xf numFmtId="0" fontId="60" fillId="0" borderId="0" xfId="46" applyFont="1" applyAlignment="1">
      <alignment vertical="center"/>
    </xf>
    <xf numFmtId="0" fontId="24" fillId="4" borderId="44" xfId="31" applyBorder="1" applyAlignment="1">
      <alignment vertical="center"/>
    </xf>
    <xf numFmtId="0" fontId="9" fillId="0" borderId="0" xfId="46" applyFont="1" applyAlignment="1">
      <alignment vertical="center" wrapText="1"/>
    </xf>
    <xf numFmtId="0" fontId="40" fillId="0" borderId="0" xfId="46" applyFont="1"/>
    <xf numFmtId="0" fontId="98" fillId="0" borderId="0" xfId="46" applyFont="1" applyAlignment="1">
      <alignment horizontal="left" vertical="center" indent="4"/>
    </xf>
    <xf numFmtId="0" fontId="12" fillId="0" borderId="0" xfId="46" applyFont="1" applyAlignment="1">
      <alignment horizontal="left"/>
    </xf>
    <xf numFmtId="0" fontId="54" fillId="0" borderId="0" xfId="0" applyFont="1" applyAlignment="1" applyProtection="1">
      <alignment horizontal="right" vertical="center" wrapText="1" indent="1"/>
    </xf>
    <xf numFmtId="0" fontId="16" fillId="0" borderId="0" xfId="46" applyFont="1" applyAlignment="1">
      <alignment horizontal="center"/>
    </xf>
    <xf numFmtId="0" fontId="9" fillId="0" borderId="0" xfId="46" applyFont="1" applyAlignment="1">
      <alignment vertical="top" wrapText="1"/>
    </xf>
    <xf numFmtId="0" fontId="12" fillId="0" borderId="0" xfId="46" applyFont="1" applyAlignment="1">
      <alignment vertical="top" wrapText="1"/>
    </xf>
    <xf numFmtId="0" fontId="16" fillId="0" borderId="0" xfId="46" applyFont="1" applyAlignment="1">
      <alignment horizontal="center" wrapText="1"/>
    </xf>
    <xf numFmtId="0" fontId="9" fillId="0" borderId="0" xfId="46" applyFont="1" applyAlignment="1">
      <alignment horizontal="right" wrapText="1"/>
    </xf>
    <xf numFmtId="0" fontId="52" fillId="70" borderId="0" xfId="46" applyFont="1" applyFill="1" applyAlignment="1">
      <alignment horizontal="left" vertical="top"/>
    </xf>
    <xf numFmtId="0" fontId="100" fillId="70" borderId="0" xfId="46" applyFont="1" applyFill="1" applyAlignment="1">
      <alignment horizontal="left" vertical="top"/>
    </xf>
    <xf numFmtId="165" fontId="9" fillId="0" borderId="61" xfId="29" applyNumberFormat="1" applyFont="1" applyBorder="1"/>
    <xf numFmtId="165" fontId="9" fillId="0" borderId="0" xfId="29" applyNumberFormat="1" applyFont="1" applyBorder="1"/>
    <xf numFmtId="0" fontId="12" fillId="0" borderId="0" xfId="46" applyFont="1" applyAlignment="1">
      <alignment horizontal="center" wrapText="1"/>
    </xf>
    <xf numFmtId="165" fontId="9" fillId="0" borderId="134" xfId="29" applyNumberFormat="1" applyFill="1" applyBorder="1"/>
    <xf numFmtId="165" fontId="9" fillId="0" borderId="64" xfId="29" applyNumberFormat="1" applyFill="1" applyBorder="1"/>
    <xf numFmtId="165" fontId="9" fillId="0" borderId="37" xfId="29" applyNumberFormat="1" applyFill="1" applyBorder="1"/>
    <xf numFmtId="0" fontId="12" fillId="0" borderId="115" xfId="46" applyFont="1" applyFill="1" applyBorder="1" applyAlignment="1">
      <alignment horizontal="center"/>
    </xf>
    <xf numFmtId="0" fontId="12" fillId="0" borderId="46" xfId="46" applyFont="1" applyFill="1" applyBorder="1" applyAlignment="1"/>
    <xf numFmtId="0" fontId="12" fillId="0" borderId="30" xfId="46" applyFont="1" applyFill="1" applyBorder="1" applyAlignment="1"/>
    <xf numFmtId="0" fontId="12" fillId="0" borderId="31" xfId="46" applyFont="1" applyFill="1" applyBorder="1" applyAlignment="1"/>
    <xf numFmtId="0" fontId="14" fillId="0" borderId="0" xfId="46" applyFont="1" applyAlignment="1">
      <alignment horizontal="left"/>
    </xf>
    <xf numFmtId="0" fontId="9" fillId="0" borderId="10" xfId="46" applyFont="1" applyBorder="1" applyAlignment="1">
      <alignment horizontal="left" vertical="center"/>
    </xf>
    <xf numFmtId="0" fontId="14" fillId="0" borderId="0" xfId="46" applyFont="1" applyAlignment="1"/>
    <xf numFmtId="0" fontId="14" fillId="0" borderId="0" xfId="0" applyFont="1" applyAlignment="1">
      <alignment vertical="center"/>
    </xf>
    <xf numFmtId="0" fontId="16" fillId="0" borderId="0" xfId="46" applyFont="1" applyAlignment="1"/>
    <xf numFmtId="0" fontId="76" fillId="66" borderId="73" xfId="93" applyFont="1" applyFill="1" applyBorder="1" applyAlignment="1">
      <alignment horizontal="center"/>
    </xf>
    <xf numFmtId="0" fontId="14" fillId="0" borderId="0" xfId="46" applyFont="1" applyAlignment="1">
      <alignment horizontal="right" indent="1"/>
    </xf>
    <xf numFmtId="0" fontId="46" fillId="29" borderId="0" xfId="0" applyFont="1" applyFill="1" applyAlignment="1"/>
    <xf numFmtId="0" fontId="0" fillId="0" borderId="78" xfId="0" applyBorder="1" applyAlignment="1">
      <alignment horizontal="center" vertical="center"/>
    </xf>
    <xf numFmtId="0" fontId="9" fillId="0" borderId="19" xfId="0" applyFont="1" applyBorder="1" applyAlignment="1">
      <alignment vertical="center" wrapText="1"/>
    </xf>
    <xf numFmtId="0" fontId="0" fillId="0" borderId="27" xfId="0" applyBorder="1" applyAlignment="1">
      <alignment horizontal="center" vertical="center"/>
    </xf>
    <xf numFmtId="0" fontId="0" fillId="0" borderId="27" xfId="0" applyFill="1" applyBorder="1" applyAlignment="1">
      <alignment horizontal="center" vertical="center"/>
    </xf>
    <xf numFmtId="0" fontId="0" fillId="0" borderId="10" xfId="0" applyFill="1" applyBorder="1" applyAlignment="1">
      <alignment vertical="center" wrapText="1"/>
    </xf>
    <xf numFmtId="0" fontId="0" fillId="0" borderId="10" xfId="0" applyBorder="1" applyAlignment="1">
      <alignment vertical="center" wrapText="1"/>
    </xf>
    <xf numFmtId="0" fontId="9" fillId="0" borderId="27" xfId="0" applyFont="1" applyBorder="1" applyAlignment="1">
      <alignment horizontal="center" vertical="center"/>
    </xf>
    <xf numFmtId="0" fontId="9" fillId="0" borderId="27" xfId="0" applyFont="1" applyFill="1" applyBorder="1" applyAlignment="1">
      <alignment horizontal="center" vertical="center"/>
    </xf>
    <xf numFmtId="0" fontId="9" fillId="0" borderId="10" xfId="0" applyFont="1" applyBorder="1" applyAlignment="1">
      <alignment horizontal="left" vertical="center"/>
    </xf>
    <xf numFmtId="0" fontId="0" fillId="0" borderId="10" xfId="0" applyBorder="1" applyAlignment="1">
      <alignment horizontal="left" vertical="center"/>
    </xf>
    <xf numFmtId="0" fontId="39" fillId="0" borderId="0" xfId="0" applyFont="1" applyFill="1"/>
    <xf numFmtId="0" fontId="40" fillId="0" borderId="10" xfId="46" applyFont="1" applyBorder="1" applyAlignment="1">
      <alignment vertical="top" wrapText="1"/>
    </xf>
    <xf numFmtId="0" fontId="12" fillId="0" borderId="138" xfId="0" applyFont="1" applyFill="1" applyBorder="1"/>
    <xf numFmtId="0" fontId="12" fillId="0" borderId="10" xfId="0" applyFont="1" applyBorder="1" applyAlignment="1">
      <alignment vertical="top" wrapText="1"/>
    </xf>
    <xf numFmtId="0" fontId="12" fillId="0" borderId="58" xfId="0" applyFont="1" applyFill="1" applyBorder="1"/>
    <xf numFmtId="0" fontId="12" fillId="0" borderId="0" xfId="46" applyFont="1" applyAlignment="1">
      <alignment vertical="center"/>
    </xf>
    <xf numFmtId="0" fontId="46" fillId="0" borderId="0" xfId="46" applyFont="1" applyAlignment="1">
      <alignment horizontal="center" vertical="center"/>
    </xf>
    <xf numFmtId="0" fontId="0" fillId="29" borderId="99" xfId="0" applyNumberFormat="1" applyFill="1" applyBorder="1" applyAlignment="1" applyProtection="1">
      <alignment vertical="center"/>
      <protection locked="0"/>
    </xf>
    <xf numFmtId="0" fontId="0" fillId="29" borderId="100" xfId="0" applyNumberFormat="1" applyFill="1" applyBorder="1" applyAlignment="1" applyProtection="1">
      <alignment vertical="center"/>
      <protection locked="0"/>
    </xf>
    <xf numFmtId="0" fontId="54" fillId="0" borderId="0" xfId="0" applyFont="1" applyAlignment="1" applyProtection="1">
      <alignment horizontal="right" vertical="center" wrapText="1" indent="1"/>
    </xf>
    <xf numFmtId="0" fontId="12" fillId="0" borderId="45" xfId="46" applyFont="1" applyFill="1" applyBorder="1" applyAlignment="1">
      <alignment horizontal="center"/>
    </xf>
    <xf numFmtId="0" fontId="12" fillId="0" borderId="29" xfId="46" applyFont="1" applyFill="1" applyBorder="1" applyAlignment="1">
      <alignment horizontal="center"/>
    </xf>
    <xf numFmtId="0" fontId="16" fillId="0" borderId="0" xfId="46" applyFont="1"/>
    <xf numFmtId="0" fontId="12" fillId="0" borderId="10" xfId="46" applyFont="1" applyBorder="1" applyAlignment="1">
      <alignment vertical="center" wrapText="1"/>
    </xf>
    <xf numFmtId="0" fontId="76" fillId="0" borderId="0" xfId="93" applyFont="1" applyFill="1" applyBorder="1" applyAlignment="1">
      <alignment horizontal="center" vertical="center" wrapText="1"/>
    </xf>
    <xf numFmtId="0" fontId="76" fillId="66" borderId="45" xfId="93" applyFont="1" applyFill="1" applyBorder="1" applyAlignment="1">
      <alignment horizontal="center" vertical="center"/>
    </xf>
    <xf numFmtId="43" fontId="6" fillId="0" borderId="0" xfId="93" applyNumberFormat="1" applyFont="1" applyBorder="1" applyAlignment="1">
      <alignment horizontal="center" vertical="center"/>
    </xf>
    <xf numFmtId="43" fontId="6" fillId="0" borderId="29" xfId="93" applyNumberFormat="1" applyFont="1" applyBorder="1" applyAlignment="1">
      <alignment horizontal="center" vertical="center"/>
    </xf>
    <xf numFmtId="0" fontId="6" fillId="0" borderId="0" xfId="93" applyFont="1" applyBorder="1" applyAlignment="1">
      <alignment horizontal="center" vertical="center"/>
    </xf>
    <xf numFmtId="0" fontId="6" fillId="0" borderId="29" xfId="93" applyFont="1" applyBorder="1" applyAlignment="1">
      <alignment horizontal="center" vertical="center"/>
    </xf>
    <xf numFmtId="43" fontId="93" fillId="0" borderId="0" xfId="94" applyNumberFormat="1" applyFont="1" applyBorder="1" applyAlignment="1">
      <alignment horizontal="center" vertical="center"/>
    </xf>
    <xf numFmtId="43" fontId="93" fillId="0" borderId="29" xfId="94" applyNumberFormat="1" applyFont="1" applyBorder="1" applyAlignment="1">
      <alignment horizontal="center" vertical="center"/>
    </xf>
    <xf numFmtId="10" fontId="93" fillId="29" borderId="0" xfId="95" applyNumberFormat="1" applyFont="1" applyFill="1" applyBorder="1" applyAlignment="1">
      <alignment horizontal="center" vertical="center"/>
    </xf>
    <xf numFmtId="43" fontId="74" fillId="0" borderId="0" xfId="94" applyNumberFormat="1" applyFont="1" applyBorder="1" applyAlignment="1">
      <alignment horizontal="center" vertical="center"/>
    </xf>
    <xf numFmtId="0" fontId="82" fillId="0" borderId="0" xfId="46" applyFont="1" applyAlignment="1" applyProtection="1">
      <alignment horizontal="center" vertical="center"/>
    </xf>
    <xf numFmtId="0" fontId="12" fillId="0" borderId="56" xfId="46" applyFont="1" applyFill="1" applyBorder="1" applyAlignment="1">
      <alignment horizontal="center"/>
    </xf>
    <xf numFmtId="0" fontId="0" fillId="0" borderId="93" xfId="0" applyBorder="1" applyAlignment="1">
      <alignment horizontal="center"/>
    </xf>
    <xf numFmtId="0" fontId="0" fillId="0" borderId="17" xfId="0" applyBorder="1" applyAlignment="1">
      <alignment horizontal="center"/>
    </xf>
    <xf numFmtId="0" fontId="9" fillId="0" borderId="32" xfId="0" applyFont="1" applyBorder="1" applyAlignment="1">
      <alignment horizontal="center" vertical="center"/>
    </xf>
    <xf numFmtId="0" fontId="0" fillId="0" borderId="24" xfId="0" applyBorder="1" applyAlignment="1">
      <alignment horizontal="center" vertical="center"/>
    </xf>
    <xf numFmtId="0" fontId="0" fillId="0" borderId="24" xfId="0" applyBorder="1" applyAlignment="1">
      <alignment horizontal="center" vertical="center" wrapText="1"/>
    </xf>
    <xf numFmtId="0" fontId="9" fillId="0" borderId="24" xfId="0" applyFont="1" applyBorder="1" applyAlignment="1">
      <alignment horizontal="center" vertical="center" wrapText="1"/>
    </xf>
    <xf numFmtId="0" fontId="9" fillId="0" borderId="0" xfId="46" applyFont="1" applyAlignment="1">
      <alignment horizontal="left" vertical="center" wrapText="1"/>
    </xf>
    <xf numFmtId="0" fontId="9" fillId="0" borderId="0" xfId="46" applyAlignment="1">
      <alignment horizontal="center"/>
    </xf>
    <xf numFmtId="0" fontId="9" fillId="0" borderId="0" xfId="46" applyAlignment="1"/>
    <xf numFmtId="0" fontId="9" fillId="0" borderId="77" xfId="0" applyFont="1" applyBorder="1" applyAlignment="1">
      <alignment vertical="top" wrapText="1"/>
    </xf>
    <xf numFmtId="0" fontId="9" fillId="0" borderId="81" xfId="0" applyFont="1" applyBorder="1" applyAlignment="1">
      <alignment vertical="top" wrapText="1"/>
    </xf>
    <xf numFmtId="0" fontId="9" fillId="0" borderId="10" xfId="0" applyFont="1" applyBorder="1" applyAlignment="1">
      <alignment vertical="top" wrapText="1"/>
    </xf>
    <xf numFmtId="0" fontId="104" fillId="0" borderId="0" xfId="0" applyFont="1" applyAlignment="1">
      <alignment horizontal="left" vertical="center" indent="4"/>
    </xf>
    <xf numFmtId="0" fontId="103" fillId="0" borderId="0" xfId="0" applyFont="1" applyAlignment="1">
      <alignment horizontal="left" vertical="center" indent="4"/>
    </xf>
    <xf numFmtId="0" fontId="103" fillId="0" borderId="0" xfId="0" applyFont="1" applyAlignment="1">
      <alignment horizontal="left" vertical="center" indent="2"/>
    </xf>
    <xf numFmtId="0" fontId="103" fillId="0" borderId="0" xfId="0" applyFont="1" applyAlignment="1">
      <alignment vertical="center"/>
    </xf>
    <xf numFmtId="0" fontId="9" fillId="0" borderId="63" xfId="0" applyFont="1" applyBorder="1" applyAlignment="1">
      <alignment horizontal="center" vertical="center" wrapText="1"/>
    </xf>
    <xf numFmtId="0" fontId="76" fillId="66" borderId="0" xfId="93" applyFont="1" applyFill="1" applyBorder="1" applyAlignment="1">
      <alignment horizontal="center"/>
    </xf>
    <xf numFmtId="0" fontId="76" fillId="66" borderId="29" xfId="93" applyFont="1" applyFill="1" applyBorder="1" applyAlignment="1">
      <alignment horizontal="center"/>
    </xf>
    <xf numFmtId="0" fontId="76" fillId="66" borderId="49" xfId="93" applyFont="1" applyFill="1" applyBorder="1" applyAlignment="1">
      <alignment horizontal="center"/>
    </xf>
    <xf numFmtId="0" fontId="76" fillId="28" borderId="29" xfId="93" applyFont="1" applyFill="1" applyBorder="1" applyAlignment="1">
      <alignment horizontal="center"/>
    </xf>
    <xf numFmtId="0" fontId="94" fillId="0" borderId="0" xfId="93" applyFont="1"/>
    <xf numFmtId="0" fontId="16" fillId="0" borderId="0" xfId="0" applyFont="1" applyAlignment="1">
      <alignment horizontal="center"/>
    </xf>
    <xf numFmtId="0" fontId="107" fillId="0" borderId="0" xfId="0" applyFont="1" applyAlignment="1">
      <alignment vertical="center"/>
    </xf>
    <xf numFmtId="0" fontId="108" fillId="0" borderId="0" xfId="0" applyFont="1" applyAlignment="1">
      <alignment vertical="center"/>
    </xf>
    <xf numFmtId="0" fontId="103" fillId="0" borderId="0" xfId="0" applyFont="1" applyAlignment="1">
      <alignment horizontal="left" vertical="center" indent="1"/>
    </xf>
    <xf numFmtId="0" fontId="105" fillId="0" borderId="0" xfId="0" applyFont="1" applyAlignment="1">
      <alignment horizontal="left" vertical="center" indent="1"/>
    </xf>
    <xf numFmtId="0" fontId="10" fillId="0" borderId="0" xfId="36" applyAlignment="1" applyProtection="1">
      <alignment horizontal="left" vertical="center" indent="1"/>
    </xf>
    <xf numFmtId="0" fontId="103" fillId="0" borderId="0" xfId="0" applyFont="1"/>
    <xf numFmtId="0" fontId="105" fillId="0" borderId="0" xfId="0" applyFont="1" applyAlignment="1">
      <alignment vertical="center"/>
    </xf>
    <xf numFmtId="0" fontId="10" fillId="0" borderId="0" xfId="36" applyAlignment="1" applyProtection="1">
      <alignment horizontal="left" vertical="center" indent="4"/>
    </xf>
    <xf numFmtId="0" fontId="109" fillId="0" borderId="0" xfId="0" applyFont="1" applyAlignment="1">
      <alignment vertical="center"/>
    </xf>
    <xf numFmtId="0" fontId="0" fillId="0" borderId="0" xfId="0" applyAlignment="1"/>
    <xf numFmtId="0" fontId="12" fillId="0" borderId="0" xfId="0" applyFont="1" applyAlignment="1">
      <alignment horizontal="left" vertical="center" indent="4"/>
    </xf>
    <xf numFmtId="0" fontId="109" fillId="0" borderId="0" xfId="0" applyFont="1" applyAlignment="1">
      <alignment horizontal="left" indent="4"/>
    </xf>
    <xf numFmtId="0" fontId="110" fillId="0" borderId="0" xfId="36" applyFont="1" applyAlignment="1" applyProtection="1">
      <alignment horizontal="left" vertical="center" indent="1"/>
    </xf>
    <xf numFmtId="0" fontId="111" fillId="0" borderId="0" xfId="36" applyFont="1" applyAlignment="1" applyProtection="1"/>
    <xf numFmtId="0" fontId="112" fillId="0" borderId="0" xfId="36" applyFont="1" applyAlignment="1" applyProtection="1"/>
    <xf numFmtId="0" fontId="113" fillId="0" borderId="0" xfId="36" applyFont="1" applyAlignment="1" applyProtection="1"/>
    <xf numFmtId="0" fontId="0" fillId="71" borderId="0" xfId="0" applyFill="1"/>
    <xf numFmtId="0" fontId="107" fillId="0" borderId="0" xfId="0" applyFont="1"/>
    <xf numFmtId="0" fontId="0" fillId="72" borderId="0" xfId="0" applyFill="1"/>
    <xf numFmtId="0" fontId="0" fillId="73" borderId="0" xfId="0" applyFill="1"/>
    <xf numFmtId="0" fontId="0" fillId="74" borderId="0" xfId="0" applyFill="1"/>
    <xf numFmtId="0" fontId="46" fillId="0" borderId="54" xfId="93" applyFont="1" applyBorder="1" applyAlignment="1">
      <alignment horizontal="center" vertical="center"/>
    </xf>
    <xf numFmtId="0" fontId="46" fillId="0" borderId="42" xfId="93" applyFont="1" applyBorder="1" applyAlignment="1">
      <alignment horizontal="center" vertical="center"/>
    </xf>
    <xf numFmtId="0" fontId="46" fillId="0" borderId="42" xfId="96" applyFont="1" applyBorder="1" applyAlignment="1">
      <alignment horizontal="center"/>
    </xf>
    <xf numFmtId="0" fontId="46" fillId="0" borderId="140" xfId="96" applyFont="1" applyBorder="1" applyAlignment="1">
      <alignment horizontal="center"/>
    </xf>
    <xf numFmtId="0" fontId="46" fillId="0" borderId="12" xfId="93" applyFont="1" applyBorder="1" applyAlignment="1">
      <alignment horizontal="center" vertical="center"/>
    </xf>
    <xf numFmtId="0" fontId="46" fillId="0" borderId="134" xfId="93" applyFont="1" applyBorder="1"/>
    <xf numFmtId="174" fontId="9" fillId="29" borderId="55" xfId="93" applyNumberFormat="1" applyFont="1" applyFill="1" applyBorder="1"/>
    <xf numFmtId="174" fontId="9" fillId="29" borderId="134" xfId="93" applyNumberFormat="1" applyFont="1" applyFill="1" applyBorder="1" applyAlignment="1">
      <alignment horizontal="center"/>
    </xf>
    <xf numFmtId="174" fontId="9" fillId="29" borderId="141" xfId="93" applyNumberFormat="1" applyFont="1" applyFill="1" applyBorder="1" applyAlignment="1">
      <alignment horizontal="center"/>
    </xf>
    <xf numFmtId="174" fontId="9" fillId="29" borderId="13" xfId="93" applyNumberFormat="1" applyFont="1" applyFill="1" applyBorder="1"/>
    <xf numFmtId="0" fontId="46" fillId="0" borderId="106" xfId="93" applyFont="1" applyBorder="1"/>
    <xf numFmtId="174" fontId="9" fillId="29" borderId="94" xfId="93" applyNumberFormat="1" applyFont="1" applyFill="1" applyBorder="1"/>
    <xf numFmtId="174" fontId="9" fillId="29" borderId="106" xfId="93" applyNumberFormat="1" applyFont="1" applyFill="1" applyBorder="1" applyAlignment="1">
      <alignment horizontal="center"/>
    </xf>
    <xf numFmtId="174" fontId="9" fillId="29" borderId="142" xfId="93" applyNumberFormat="1" applyFont="1" applyFill="1" applyBorder="1" applyAlignment="1">
      <alignment horizontal="center"/>
    </xf>
    <xf numFmtId="174" fontId="9" fillId="29" borderId="107" xfId="93" applyNumberFormat="1" applyFont="1" applyFill="1" applyBorder="1"/>
    <xf numFmtId="0" fontId="46" fillId="0" borderId="31" xfId="93" applyFont="1" applyBorder="1"/>
    <xf numFmtId="174" fontId="6" fillId="0" borderId="144" xfId="93" applyNumberFormat="1" applyBorder="1"/>
    <xf numFmtId="0" fontId="46" fillId="0" borderId="22" xfId="93" applyFont="1" applyBorder="1"/>
    <xf numFmtId="0" fontId="16" fillId="0" borderId="0" xfId="46" applyFont="1" applyAlignment="1">
      <alignment horizontal="center"/>
    </xf>
    <xf numFmtId="0" fontId="9" fillId="0" borderId="0" xfId="46" applyFont="1" applyAlignment="1">
      <alignment vertical="top" wrapText="1"/>
    </xf>
    <xf numFmtId="0" fontId="12" fillId="0" borderId="0" xfId="46" applyFont="1" applyAlignment="1">
      <alignment vertical="top" wrapText="1"/>
    </xf>
    <xf numFmtId="0" fontId="14" fillId="0" borderId="0" xfId="46" applyFont="1" applyAlignment="1">
      <alignment horizontal="center"/>
    </xf>
    <xf numFmtId="0" fontId="52" fillId="0" borderId="0" xfId="47" applyFont="1" applyAlignment="1">
      <alignment horizontal="left" vertical="center" wrapText="1"/>
    </xf>
    <xf numFmtId="0" fontId="52" fillId="0" borderId="77" xfId="47" applyFont="1" applyBorder="1" applyAlignment="1">
      <alignment horizontal="center"/>
    </xf>
    <xf numFmtId="0" fontId="52" fillId="0" borderId="0" xfId="47" applyFont="1" applyBorder="1" applyAlignment="1">
      <alignment horizontal="center"/>
    </xf>
    <xf numFmtId="0" fontId="52" fillId="0" borderId="12" xfId="47" applyFont="1" applyBorder="1"/>
    <xf numFmtId="0" fontId="103" fillId="0" borderId="0" xfId="0" applyFont="1" applyAlignment="1"/>
    <xf numFmtId="0" fontId="12" fillId="0" borderId="10" xfId="0" applyFont="1" applyBorder="1" applyAlignment="1">
      <alignment horizontal="center"/>
    </xf>
    <xf numFmtId="165" fontId="9" fillId="0" borderId="0" xfId="29" applyNumberFormat="1" applyFont="1"/>
    <xf numFmtId="175" fontId="9" fillId="0" borderId="0" xfId="28" applyNumberFormat="1" applyFont="1" applyFill="1" applyBorder="1" applyAlignment="1" applyProtection="1">
      <alignment horizontal="center"/>
    </xf>
    <xf numFmtId="0" fontId="9" fillId="0" borderId="0" xfId="0" applyFont="1" applyFill="1" applyBorder="1"/>
    <xf numFmtId="165" fontId="9" fillId="0" borderId="0" xfId="0" applyNumberFormat="1" applyFont="1" applyFill="1" applyBorder="1"/>
    <xf numFmtId="0" fontId="0" fillId="75" borderId="0" xfId="0" applyFill="1" applyBorder="1"/>
    <xf numFmtId="0" fontId="114" fillId="75" borderId="0" xfId="0" applyFont="1" applyFill="1" applyBorder="1" applyAlignment="1">
      <alignment horizontal="center"/>
    </xf>
    <xf numFmtId="165" fontId="103" fillId="75" borderId="0" xfId="0" applyNumberFormat="1" applyFont="1" applyFill="1" applyBorder="1"/>
    <xf numFmtId="165" fontId="103" fillId="75" borderId="0" xfId="0" applyNumberFormat="1" applyFont="1" applyFill="1" applyBorder="1" applyAlignment="1">
      <alignment horizontal="center"/>
    </xf>
    <xf numFmtId="0" fontId="114" fillId="0" borderId="0" xfId="0" applyFont="1" applyFill="1" applyBorder="1" applyAlignment="1">
      <alignment horizontal="center"/>
    </xf>
    <xf numFmtId="9" fontId="9" fillId="0" borderId="0" xfId="0" applyNumberFormat="1" applyFont="1" applyFill="1" applyBorder="1" applyAlignment="1">
      <alignment horizontal="center"/>
    </xf>
    <xf numFmtId="165" fontId="9" fillId="0" borderId="0" xfId="29" applyNumberFormat="1" applyFont="1" applyFill="1" applyBorder="1"/>
    <xf numFmtId="165" fontId="9" fillId="0" borderId="0" xfId="29" applyNumberFormat="1" applyFont="1" applyFill="1" applyBorder="1" applyAlignment="1">
      <alignment horizontal="center"/>
    </xf>
    <xf numFmtId="9" fontId="9" fillId="0" borderId="0" xfId="28" applyNumberFormat="1" applyFont="1" applyFill="1" applyBorder="1" applyAlignment="1" applyProtection="1">
      <alignment horizontal="center"/>
    </xf>
    <xf numFmtId="9" fontId="9" fillId="0" borderId="0" xfId="42" applyFont="1" applyFill="1" applyBorder="1" applyAlignment="1">
      <alignment horizontal="center"/>
    </xf>
    <xf numFmtId="0" fontId="39" fillId="0" borderId="0" xfId="0" applyFont="1" applyFill="1" applyBorder="1" applyAlignment="1">
      <alignment horizontal="center"/>
    </xf>
    <xf numFmtId="165" fontId="9" fillId="0" borderId="0" xfId="0" applyNumberFormat="1" applyFont="1" applyFill="1" applyBorder="1" applyAlignment="1">
      <alignment horizontal="center"/>
    </xf>
    <xf numFmtId="0" fontId="9" fillId="75" borderId="0" xfId="0" applyFont="1" applyFill="1" applyBorder="1"/>
    <xf numFmtId="0" fontId="39" fillId="75" borderId="0" xfId="0" applyFont="1" applyFill="1" applyBorder="1" applyAlignment="1">
      <alignment horizontal="center"/>
    </xf>
    <xf numFmtId="165" fontId="9" fillId="75" borderId="0" xfId="0" applyNumberFormat="1" applyFont="1" applyFill="1" applyBorder="1"/>
    <xf numFmtId="165" fontId="9" fillId="75" borderId="0" xfId="0" applyNumberFormat="1" applyFont="1" applyFill="1" applyBorder="1" applyAlignment="1">
      <alignment horizontal="center"/>
    </xf>
    <xf numFmtId="175" fontId="9" fillId="29" borderId="0" xfId="28" applyNumberFormat="1" applyFont="1" applyFill="1" applyBorder="1" applyAlignment="1" applyProtection="1">
      <alignment horizontal="center"/>
    </xf>
    <xf numFmtId="0" fontId="16" fillId="0" borderId="0" xfId="0" applyFont="1"/>
    <xf numFmtId="0" fontId="12" fillId="0" borderId="0" xfId="0" applyFont="1" applyBorder="1" applyAlignment="1"/>
    <xf numFmtId="0" fontId="9" fillId="0" borderId="0" xfId="0" applyFont="1" applyAlignment="1">
      <alignment horizontal="right"/>
    </xf>
    <xf numFmtId="0" fontId="12" fillId="0" borderId="0" xfId="97" applyFont="1" applyFill="1" applyBorder="1" applyAlignment="1" applyProtection="1">
      <alignment horizontal="center"/>
    </xf>
    <xf numFmtId="9" fontId="12" fillId="0" borderId="0" xfId="97" applyNumberFormat="1" applyFont="1" applyFill="1" applyBorder="1" applyAlignment="1" applyProtection="1">
      <alignment horizontal="center"/>
    </xf>
    <xf numFmtId="9" fontId="9" fillId="0" borderId="0" xfId="0" applyNumberFormat="1" applyFont="1" applyAlignment="1">
      <alignment horizontal="center"/>
    </xf>
    <xf numFmtId="165" fontId="9" fillId="67" borderId="0" xfId="29" applyNumberFormat="1" applyFont="1" applyFill="1"/>
    <xf numFmtId="165" fontId="9" fillId="0" borderId="0" xfId="29" applyNumberFormat="1" applyFont="1" applyAlignment="1">
      <alignment horizontal="center"/>
    </xf>
    <xf numFmtId="165" fontId="9" fillId="0" borderId="0" xfId="29" applyNumberFormat="1" applyFont="1" applyFill="1"/>
    <xf numFmtId="42" fontId="9" fillId="0" borderId="0" xfId="0" applyNumberFormat="1" applyFont="1" applyAlignment="1">
      <alignment horizontal="center"/>
    </xf>
    <xf numFmtId="165" fontId="9" fillId="0" borderId="0" xfId="0" applyNumberFormat="1" applyFont="1" applyFill="1"/>
    <xf numFmtId="165" fontId="9" fillId="0" borderId="0" xfId="0" applyNumberFormat="1" applyFont="1"/>
    <xf numFmtId="165" fontId="9" fillId="0" borderId="0" xfId="0" applyNumberFormat="1" applyFont="1" applyBorder="1"/>
    <xf numFmtId="164" fontId="9" fillId="0" borderId="0" xfId="0" applyNumberFormat="1" applyFont="1" applyAlignment="1">
      <alignment horizontal="center"/>
    </xf>
    <xf numFmtId="165" fontId="9" fillId="0" borderId="12" xfId="0" applyNumberFormat="1" applyFont="1" applyBorder="1"/>
    <xf numFmtId="165" fontId="9" fillId="0" borderId="12" xfId="29" applyNumberFormat="1" applyFont="1" applyBorder="1" applyAlignment="1">
      <alignment horizontal="center"/>
    </xf>
    <xf numFmtId="9" fontId="9" fillId="0" borderId="0" xfId="42" applyFont="1" applyBorder="1" applyAlignment="1">
      <alignment horizontal="center"/>
    </xf>
    <xf numFmtId="9" fontId="9" fillId="0" borderId="0" xfId="42" applyFont="1" applyAlignment="1">
      <alignment horizontal="center"/>
    </xf>
    <xf numFmtId="44" fontId="9" fillId="0" borderId="0" xfId="29" applyFont="1" applyBorder="1"/>
    <xf numFmtId="44" fontId="9" fillId="0" borderId="0" xfId="29" applyFont="1"/>
    <xf numFmtId="10" fontId="9" fillId="0" borderId="0" xfId="42" applyNumberFormat="1" applyFont="1" applyAlignment="1">
      <alignment horizontal="center"/>
    </xf>
    <xf numFmtId="165" fontId="9" fillId="0" borderId="13" xfId="0" applyNumberFormat="1" applyFont="1" applyBorder="1"/>
    <xf numFmtId="165" fontId="12" fillId="67" borderId="0" xfId="0" applyNumberFormat="1" applyFont="1" applyFill="1" applyBorder="1"/>
    <xf numFmtId="165" fontId="9" fillId="67" borderId="0" xfId="0" applyNumberFormat="1" applyFont="1" applyFill="1"/>
    <xf numFmtId="0" fontId="39" fillId="0" borderId="0" xfId="0" applyFont="1" applyAlignment="1">
      <alignment horizontal="center"/>
    </xf>
    <xf numFmtId="165" fontId="9" fillId="0" borderId="0" xfId="0" applyNumberFormat="1" applyFont="1" applyAlignment="1">
      <alignment horizontal="center"/>
    </xf>
    <xf numFmtId="165" fontId="9" fillId="0" borderId="107" xfId="0" applyNumberFormat="1" applyFont="1" applyBorder="1"/>
    <xf numFmtId="165" fontId="9" fillId="0" borderId="13" xfId="0" applyNumberFormat="1" applyFont="1" applyFill="1" applyBorder="1"/>
    <xf numFmtId="167" fontId="9" fillId="0" borderId="0" xfId="0" applyNumberFormat="1" applyFont="1"/>
    <xf numFmtId="44" fontId="9" fillId="0" borderId="0" xfId="0" applyNumberFormat="1" applyFont="1" applyFill="1" applyBorder="1"/>
    <xf numFmtId="0" fontId="9" fillId="0" borderId="0" xfId="0" applyFont="1" applyFill="1" applyBorder="1" applyAlignment="1">
      <alignment horizontal="right"/>
    </xf>
    <xf numFmtId="0" fontId="107" fillId="0" borderId="0" xfId="97" applyFont="1" applyFill="1" applyProtection="1"/>
    <xf numFmtId="0" fontId="9" fillId="0" borderId="0" xfId="97" applyFont="1" applyFill="1" applyProtection="1"/>
    <xf numFmtId="0" fontId="15" fillId="0" borderId="0" xfId="97" applyFont="1" applyFill="1" applyProtection="1"/>
    <xf numFmtId="0" fontId="12" fillId="0" borderId="0" xfId="97" applyFont="1" applyFill="1" applyProtection="1"/>
    <xf numFmtId="165" fontId="9" fillId="0" borderId="0" xfId="29" applyNumberFormat="1" applyFont="1" applyFill="1" applyBorder="1" applyAlignment="1" applyProtection="1">
      <alignment horizontal="center"/>
    </xf>
    <xf numFmtId="165" fontId="9" fillId="0" borderId="0" xfId="97" applyNumberFormat="1" applyFont="1" applyFill="1" applyBorder="1" applyAlignment="1" applyProtection="1">
      <alignment horizontal="center"/>
    </xf>
    <xf numFmtId="165" fontId="9" fillId="0" borderId="0" xfId="29" applyNumberFormat="1" applyFont="1" applyFill="1" applyBorder="1" applyProtection="1"/>
    <xf numFmtId="165" fontId="9" fillId="0" borderId="0" xfId="29" applyNumberFormat="1" applyFont="1" applyFill="1" applyProtection="1"/>
    <xf numFmtId="165" fontId="9" fillId="0" borderId="13" xfId="29" applyNumberFormat="1" applyFont="1" applyFill="1" applyBorder="1" applyProtection="1"/>
    <xf numFmtId="10" fontId="115" fillId="0" borderId="0" xfId="97" applyNumberFormat="1" applyFont="1" applyFill="1" applyBorder="1" applyAlignment="1" applyProtection="1">
      <alignment horizontal="center"/>
    </xf>
    <xf numFmtId="44" fontId="9" fillId="0" borderId="13" xfId="29" applyNumberFormat="1" applyFont="1" applyFill="1" applyBorder="1" applyProtection="1"/>
    <xf numFmtId="0" fontId="12" fillId="0" borderId="0" xfId="97" applyFont="1" applyFill="1" applyAlignment="1" applyProtection="1">
      <alignment horizontal="left"/>
    </xf>
    <xf numFmtId="0" fontId="9" fillId="0" borderId="0" xfId="97" applyFont="1" applyFill="1" applyBorder="1" applyProtection="1"/>
    <xf numFmtId="44" fontId="9" fillId="0" borderId="0" xfId="29" applyFont="1" applyFill="1" applyBorder="1" applyProtection="1"/>
    <xf numFmtId="44" fontId="9" fillId="0" borderId="0" xfId="29" applyFont="1" applyFill="1" applyProtection="1"/>
    <xf numFmtId="44" fontId="48" fillId="0" borderId="0" xfId="29" applyFont="1" applyFill="1" applyBorder="1" applyProtection="1"/>
    <xf numFmtId="165" fontId="48" fillId="0" borderId="13" xfId="29" applyNumberFormat="1" applyFont="1" applyFill="1" applyBorder="1" applyProtection="1"/>
    <xf numFmtId="176" fontId="52" fillId="0" borderId="0" xfId="0" applyNumberFormat="1" applyFont="1" applyBorder="1" applyAlignment="1">
      <alignment horizontal="right"/>
    </xf>
    <xf numFmtId="0" fontId="9" fillId="0" borderId="0" xfId="98" applyFont="1" applyFill="1" applyProtection="1"/>
    <xf numFmtId="0" fontId="9" fillId="0" borderId="0" xfId="29" applyNumberFormat="1" applyFont="1" applyFill="1" applyAlignment="1" applyProtection="1">
      <alignment horizontal="center"/>
    </xf>
    <xf numFmtId="0" fontId="12" fillId="0" borderId="90" xfId="29" applyNumberFormat="1" applyFont="1" applyFill="1" applyBorder="1" applyAlignment="1" applyProtection="1">
      <alignment horizontal="center"/>
    </xf>
    <xf numFmtId="0" fontId="12" fillId="0" borderId="44" xfId="29" applyNumberFormat="1" applyFont="1" applyFill="1" applyBorder="1" applyAlignment="1" applyProtection="1">
      <alignment horizontal="center"/>
    </xf>
    <xf numFmtId="0" fontId="12" fillId="0" borderId="22" xfId="29" applyNumberFormat="1" applyFont="1" applyFill="1" applyBorder="1" applyAlignment="1" applyProtection="1">
      <alignment horizontal="center"/>
    </xf>
    <xf numFmtId="0" fontId="103" fillId="0" borderId="0" xfId="0" applyFont="1" applyFill="1"/>
    <xf numFmtId="0" fontId="15" fillId="0" borderId="0" xfId="98" applyFont="1" applyFill="1" applyProtection="1"/>
    <xf numFmtId="0" fontId="12" fillId="0" borderId="0" xfId="98" applyFont="1" applyFill="1" applyProtection="1"/>
    <xf numFmtId="165" fontId="9" fillId="0" borderId="0" xfId="29" applyNumberFormat="1" applyFont="1" applyFill="1" applyAlignment="1" applyProtection="1">
      <alignment horizontal="center"/>
    </xf>
    <xf numFmtId="0" fontId="43" fillId="0" borderId="0" xfId="0" applyFont="1" applyFill="1"/>
    <xf numFmtId="0" fontId="86" fillId="0" borderId="0" xfId="0" applyFont="1" applyFill="1"/>
    <xf numFmtId="9" fontId="9" fillId="67" borderId="0" xfId="42" applyFont="1" applyFill="1" applyBorder="1" applyAlignment="1" applyProtection="1">
      <alignment horizontal="right"/>
    </xf>
    <xf numFmtId="165" fontId="115" fillId="0" borderId="0" xfId="29" applyNumberFormat="1" applyFont="1" applyFill="1" applyBorder="1" applyProtection="1"/>
    <xf numFmtId="6" fontId="9" fillId="0" borderId="0" xfId="0" applyNumberFormat="1" applyFont="1" applyFill="1"/>
    <xf numFmtId="177" fontId="9" fillId="0" borderId="0" xfId="29" applyNumberFormat="1" applyFont="1" applyFill="1" applyBorder="1" applyAlignment="1" applyProtection="1">
      <alignment horizontal="center"/>
    </xf>
    <xf numFmtId="165" fontId="9" fillId="0" borderId="107" xfId="29" applyNumberFormat="1" applyFont="1" applyFill="1" applyBorder="1" applyProtection="1"/>
    <xf numFmtId="0" fontId="7" fillId="0" borderId="0" xfId="90" applyBorder="1"/>
    <xf numFmtId="0" fontId="9" fillId="29" borderId="0" xfId="29" applyNumberFormat="1" applyFont="1" applyFill="1" applyAlignment="1" applyProtection="1">
      <alignment horizontal="center"/>
    </xf>
    <xf numFmtId="9" fontId="9" fillId="29" borderId="0" xfId="42" applyFont="1" applyFill="1" applyAlignment="1" applyProtection="1">
      <alignment horizontal="center"/>
    </xf>
    <xf numFmtId="0" fontId="9" fillId="29" borderId="0" xfId="42" applyNumberFormat="1" applyFont="1" applyFill="1" applyAlignment="1" applyProtection="1">
      <alignment horizontal="center"/>
    </xf>
    <xf numFmtId="10" fontId="9" fillId="29" borderId="0" xfId="42" applyNumberFormat="1" applyFont="1" applyFill="1" applyAlignment="1" applyProtection="1">
      <alignment horizontal="center"/>
    </xf>
    <xf numFmtId="10" fontId="9" fillId="29" borderId="0" xfId="28" applyNumberFormat="1" applyFont="1" applyFill="1" applyBorder="1" applyAlignment="1" applyProtection="1">
      <alignment horizontal="center"/>
    </xf>
    <xf numFmtId="9" fontId="9" fillId="29" borderId="0" xfId="28" applyNumberFormat="1" applyFont="1" applyFill="1" applyBorder="1" applyAlignment="1" applyProtection="1">
      <alignment horizontal="center"/>
    </xf>
    <xf numFmtId="175" fontId="103" fillId="0" borderId="0" xfId="28" applyNumberFormat="1" applyFont="1" applyFill="1" applyBorder="1" applyAlignment="1" applyProtection="1">
      <alignment horizontal="center"/>
    </xf>
    <xf numFmtId="0" fontId="12" fillId="0" borderId="0" xfId="0" applyFont="1" applyFill="1" applyBorder="1" applyAlignment="1"/>
    <xf numFmtId="0" fontId="39" fillId="0" borderId="0" xfId="0" applyFont="1" applyFill="1" applyAlignment="1">
      <alignment horizontal="center"/>
    </xf>
    <xf numFmtId="0" fontId="103" fillId="0" borderId="0" xfId="0" applyFont="1" applyFill="1" applyBorder="1" applyAlignment="1">
      <alignment horizontal="right"/>
    </xf>
    <xf numFmtId="0" fontId="9" fillId="0" borderId="0" xfId="0" applyFont="1" applyFill="1" applyAlignment="1">
      <alignment horizontal="right"/>
    </xf>
    <xf numFmtId="42" fontId="9" fillId="0" borderId="0" xfId="0" applyNumberFormat="1" applyFont="1" applyFill="1" applyAlignment="1">
      <alignment horizontal="center"/>
    </xf>
    <xf numFmtId="0" fontId="116" fillId="0" borderId="0" xfId="0" applyFont="1" applyAlignment="1">
      <alignment horizontal="center" vertical="center"/>
    </xf>
    <xf numFmtId="0" fontId="76" fillId="0" borderId="0" xfId="0" applyFont="1"/>
    <xf numFmtId="0" fontId="117" fillId="0" borderId="110" xfId="0" applyFont="1" applyBorder="1"/>
    <xf numFmtId="0" fontId="0" fillId="0" borderId="85" xfId="0" applyBorder="1"/>
    <xf numFmtId="0" fontId="0" fillId="0" borderId="18" xfId="0" applyBorder="1"/>
    <xf numFmtId="0" fontId="76" fillId="0" borderId="110" xfId="0" applyFont="1" applyBorder="1"/>
    <xf numFmtId="0" fontId="76" fillId="0" borderId="115" xfId="0" applyFont="1" applyBorder="1"/>
    <xf numFmtId="0" fontId="61" fillId="0" borderId="31" xfId="0" applyFont="1" applyFill="1" applyBorder="1" applyAlignment="1">
      <alignment horizontal="center" vertical="center" wrapText="1"/>
    </xf>
    <xf numFmtId="0" fontId="61" fillId="0" borderId="44"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4" fillId="0" borderId="151" xfId="0" applyFont="1" applyFill="1" applyBorder="1" applyAlignment="1">
      <alignment horizontal="right" vertical="center" wrapText="1" indent="1"/>
    </xf>
    <xf numFmtId="164" fontId="9" fillId="0" borderId="31" xfId="0" applyNumberFormat="1" applyFont="1" applyFill="1" applyBorder="1" applyAlignment="1">
      <alignment horizontal="center" vertical="center" wrapText="1"/>
    </xf>
    <xf numFmtId="0" fontId="14" fillId="0" borderId="154" xfId="0" applyFont="1" applyFill="1" applyBorder="1" applyAlignment="1">
      <alignment horizontal="right" vertical="center" wrapText="1" indent="1"/>
    </xf>
    <xf numFmtId="41" fontId="9" fillId="0" borderId="57" xfId="0" applyNumberFormat="1" applyFont="1" applyFill="1" applyBorder="1" applyAlignment="1">
      <alignment horizontal="center" vertical="center" wrapText="1"/>
    </xf>
    <xf numFmtId="0" fontId="14" fillId="0" borderId="155" xfId="0" applyFont="1" applyFill="1" applyBorder="1" applyAlignment="1">
      <alignment horizontal="right" vertical="center" wrapText="1" indent="1"/>
    </xf>
    <xf numFmtId="42" fontId="9" fillId="0" borderId="156" xfId="0" applyNumberFormat="1" applyFont="1" applyFill="1" applyBorder="1" applyAlignment="1">
      <alignment horizontal="center" vertical="center" wrapText="1"/>
    </xf>
    <xf numFmtId="42" fontId="9" fillId="0" borderId="157" xfId="0" applyNumberFormat="1" applyFont="1" applyFill="1" applyBorder="1" applyAlignment="1">
      <alignment horizontal="center" vertical="center" wrapText="1"/>
    </xf>
    <xf numFmtId="42" fontId="9" fillId="0" borderId="158" xfId="0" applyNumberFormat="1" applyFont="1" applyFill="1" applyBorder="1" applyAlignment="1">
      <alignment horizontal="center" vertical="center" wrapText="1"/>
    </xf>
    <xf numFmtId="41" fontId="9" fillId="29" borderId="31" xfId="0" applyNumberFormat="1" applyFont="1" applyFill="1" applyBorder="1" applyAlignment="1">
      <alignment horizontal="center" vertical="center" wrapText="1"/>
    </xf>
    <xf numFmtId="41" fontId="9" fillId="29" borderId="44" xfId="0" applyNumberFormat="1" applyFont="1" applyFill="1" applyBorder="1" applyAlignment="1">
      <alignment horizontal="center" vertical="center" wrapText="1"/>
    </xf>
    <xf numFmtId="41" fontId="9" fillId="29" borderId="41" xfId="0" applyNumberFormat="1" applyFont="1" applyFill="1" applyBorder="1" applyAlignment="1">
      <alignment horizontal="center" vertical="center" wrapText="1"/>
    </xf>
    <xf numFmtId="41" fontId="9" fillId="29" borderId="153" xfId="0" applyNumberFormat="1" applyFont="1" applyFill="1" applyBorder="1" applyAlignment="1">
      <alignment horizontal="center" vertical="center" wrapText="1"/>
    </xf>
    <xf numFmtId="0" fontId="12" fillId="0" borderId="0" xfId="0" applyFont="1" applyAlignment="1">
      <alignment horizontal="right" vertical="center"/>
    </xf>
    <xf numFmtId="0" fontId="0" fillId="0" borderId="0" xfId="0" applyAlignment="1">
      <alignment horizontal="left" vertical="top"/>
    </xf>
    <xf numFmtId="1" fontId="9" fillId="67" borderId="11" xfId="0" applyNumberFormat="1" applyFont="1" applyFill="1" applyBorder="1" applyAlignment="1" applyProtection="1">
      <alignment vertical="center"/>
    </xf>
    <xf numFmtId="0" fontId="0" fillId="0" borderId="10" xfId="0" applyBorder="1"/>
    <xf numFmtId="166" fontId="9" fillId="29" borderId="10" xfId="28" applyNumberFormat="1" applyFill="1" applyBorder="1"/>
    <xf numFmtId="0" fontId="12" fillId="0" borderId="0" xfId="0" applyFont="1" applyAlignment="1">
      <alignment horizontal="center" vertical="center"/>
    </xf>
    <xf numFmtId="0" fontId="0" fillId="0" borderId="10" xfId="0" applyBorder="1" applyAlignment="1">
      <alignment horizontal="center" vertical="center"/>
    </xf>
    <xf numFmtId="0" fontId="0" fillId="67" borderId="0" xfId="0" applyFont="1" applyFill="1" applyBorder="1" applyAlignment="1" applyProtection="1">
      <alignment horizontal="left"/>
      <protection locked="0"/>
    </xf>
    <xf numFmtId="0" fontId="121" fillId="67" borderId="0" xfId="0" applyFont="1" applyFill="1" applyBorder="1" applyAlignment="1" applyProtection="1">
      <alignment horizontal="left" vertical="top"/>
      <protection locked="0"/>
    </xf>
    <xf numFmtId="178" fontId="0" fillId="67" borderId="0" xfId="0" applyNumberFormat="1" applyFont="1" applyFill="1" applyBorder="1" applyAlignment="1" applyProtection="1">
      <alignment horizontal="left"/>
      <protection locked="0"/>
    </xf>
    <xf numFmtId="15" fontId="16" fillId="0" borderId="0" xfId="99" applyNumberFormat="1" applyFont="1" applyProtection="1"/>
    <xf numFmtId="0" fontId="9" fillId="0" borderId="0" xfId="99" applyProtection="1"/>
    <xf numFmtId="15" fontId="12" fillId="0" borderId="0" xfId="99" applyNumberFormat="1" applyFont="1" applyProtection="1"/>
    <xf numFmtId="0" fontId="9" fillId="0" borderId="0" xfId="99" applyProtection="1">
      <protection locked="0"/>
    </xf>
    <xf numFmtId="0" fontId="9" fillId="0" borderId="0" xfId="99" applyAlignment="1" applyProtection="1">
      <alignment horizontal="left" indent="2"/>
    </xf>
    <xf numFmtId="15" fontId="12" fillId="0" borderId="0" xfId="99" applyNumberFormat="1" applyFont="1" applyProtection="1">
      <protection locked="0"/>
    </xf>
    <xf numFmtId="0" fontId="9" fillId="0" borderId="0" xfId="99" applyAlignment="1" applyProtection="1">
      <alignment horizontal="left" indent="2"/>
      <protection locked="0"/>
    </xf>
    <xf numFmtId="15" fontId="123" fillId="0" borderId="0" xfId="99" applyNumberFormat="1" applyFont="1" applyProtection="1">
      <protection locked="0"/>
    </xf>
    <xf numFmtId="0" fontId="11" fillId="0" borderId="0" xfId="99" applyFont="1" applyProtection="1">
      <protection locked="0"/>
    </xf>
    <xf numFmtId="0" fontId="11" fillId="0" borderId="0" xfId="99" applyFont="1" applyAlignment="1" applyProtection="1">
      <alignment horizontal="left" indent="2"/>
      <protection locked="0"/>
    </xf>
    <xf numFmtId="0" fontId="9" fillId="0" borderId="0" xfId="99" applyAlignment="1" applyProtection="1">
      <alignment horizontal="center"/>
    </xf>
    <xf numFmtId="0" fontId="12" fillId="0" borderId="0" xfId="99" applyFont="1" applyProtection="1"/>
    <xf numFmtId="15" fontId="124" fillId="0" borderId="0" xfId="99" applyNumberFormat="1" applyFont="1" applyProtection="1"/>
    <xf numFmtId="178" fontId="122" fillId="29" borderId="104" xfId="0" applyNumberFormat="1" applyFont="1" applyFill="1" applyBorder="1" applyAlignment="1" applyProtection="1">
      <alignment horizontal="right"/>
      <protection locked="0"/>
    </xf>
    <xf numFmtId="178" fontId="122" fillId="29" borderId="131" xfId="0" applyNumberFormat="1" applyFont="1" applyFill="1" applyBorder="1" applyAlignment="1" applyProtection="1">
      <alignment horizontal="right"/>
      <protection locked="0"/>
    </xf>
    <xf numFmtId="178" fontId="122" fillId="29" borderId="133" xfId="0" applyNumberFormat="1" applyFont="1" applyFill="1" applyBorder="1" applyAlignment="1" applyProtection="1">
      <alignment horizontal="right"/>
      <protection locked="0"/>
    </xf>
    <xf numFmtId="0" fontId="127" fillId="0" borderId="0" xfId="0" applyFont="1" applyAlignment="1">
      <alignment vertical="center" wrapText="1"/>
    </xf>
    <xf numFmtId="0" fontId="125" fillId="0" borderId="0" xfId="0" applyFont="1" applyAlignment="1">
      <alignment vertical="center" wrapText="1"/>
    </xf>
    <xf numFmtId="0" fontId="120" fillId="0" borderId="0" xfId="0" applyFont="1" applyAlignment="1">
      <alignment vertical="center" wrapText="1"/>
    </xf>
    <xf numFmtId="0" fontId="126" fillId="0" borderId="0" xfId="0" applyFont="1" applyAlignment="1">
      <alignment vertical="center" wrapText="1"/>
    </xf>
    <xf numFmtId="0" fontId="54" fillId="0" borderId="0" xfId="0" applyFont="1" applyAlignment="1">
      <alignment vertical="center" wrapText="1"/>
    </xf>
    <xf numFmtId="0" fontId="121" fillId="0" borderId="0" xfId="0" applyFont="1" applyAlignment="1">
      <alignment vertical="center" wrapText="1"/>
    </xf>
    <xf numFmtId="0" fontId="0" fillId="0" borderId="0" xfId="0" applyFill="1" applyAlignment="1">
      <alignment vertical="center"/>
    </xf>
    <xf numFmtId="0" fontId="76" fillId="0" borderId="0" xfId="0" applyFont="1" applyFill="1" applyBorder="1" applyAlignment="1">
      <alignment horizontal="right" vertical="center"/>
    </xf>
    <xf numFmtId="0" fontId="0" fillId="0" borderId="0" xfId="0" applyFill="1" applyBorder="1" applyAlignment="1">
      <alignment horizontal="left" vertical="center"/>
    </xf>
    <xf numFmtId="49" fontId="0" fillId="0" borderId="0" xfId="0" applyNumberFormat="1" applyAlignment="1">
      <alignment vertical="center" wrapText="1"/>
    </xf>
    <xf numFmtId="0" fontId="0" fillId="0" borderId="0" xfId="0" applyFill="1" applyAlignment="1">
      <alignment vertical="top"/>
    </xf>
    <xf numFmtId="0" fontId="0" fillId="0" borderId="0" xfId="0" applyFill="1" applyAlignment="1"/>
    <xf numFmtId="0" fontId="4" fillId="0" borderId="0" xfId="101"/>
    <xf numFmtId="0" fontId="4" fillId="0" borderId="0" xfId="101" applyAlignment="1">
      <alignment horizontal="left" vertical="top"/>
    </xf>
    <xf numFmtId="0" fontId="128" fillId="0" borderId="0" xfId="101" applyFont="1"/>
    <xf numFmtId="0" fontId="9" fillId="67" borderId="0" xfId="102" applyFill="1" applyProtection="1">
      <protection locked="0"/>
    </xf>
    <xf numFmtId="0" fontId="9" fillId="0" borderId="0" xfId="100"/>
    <xf numFmtId="0" fontId="9" fillId="0" borderId="0" xfId="100" applyFill="1" applyBorder="1"/>
    <xf numFmtId="0" fontId="4" fillId="0" borderId="10" xfId="101" applyFill="1" applyBorder="1"/>
    <xf numFmtId="0" fontId="94" fillId="0" borderId="0" xfId="101" applyFont="1" applyAlignment="1">
      <alignment horizontal="left" vertical="top"/>
    </xf>
    <xf numFmtId="183" fontId="12" fillId="65" borderId="27" xfId="103" applyNumberFormat="1" applyFont="1" applyFill="1" applyBorder="1" applyAlignment="1" applyProtection="1">
      <alignment horizontal="left" vertical="top" wrapText="1"/>
    </xf>
    <xf numFmtId="183" fontId="12" fillId="65" borderId="10" xfId="103" applyNumberFormat="1" applyFont="1" applyFill="1" applyBorder="1" applyAlignment="1" applyProtection="1">
      <alignment horizontal="left" vertical="center"/>
    </xf>
    <xf numFmtId="184" fontId="12" fillId="65" borderId="10" xfId="104" applyNumberFormat="1" applyFont="1" applyFill="1" applyBorder="1" applyAlignment="1" applyProtection="1">
      <alignment horizontal="center" vertical="center"/>
    </xf>
    <xf numFmtId="185" fontId="12" fillId="65" borderId="10" xfId="105" applyNumberFormat="1" applyFont="1" applyFill="1" applyBorder="1" applyAlignment="1" applyProtection="1">
      <alignment horizontal="center" vertical="center"/>
    </xf>
    <xf numFmtId="185" fontId="12" fillId="65" borderId="52" xfId="105" applyNumberFormat="1" applyFont="1" applyFill="1" applyBorder="1" applyAlignment="1" applyProtection="1">
      <alignment horizontal="center" vertical="center"/>
    </xf>
    <xf numFmtId="0" fontId="9" fillId="0" borderId="0" xfId="106" applyFont="1" applyFill="1" applyBorder="1" applyAlignment="1">
      <alignment horizontal="right" vertical="center" wrapText="1"/>
    </xf>
    <xf numFmtId="0" fontId="9" fillId="0" borderId="0" xfId="107"/>
    <xf numFmtId="0" fontId="4" fillId="0" borderId="0" xfId="101" applyFill="1"/>
    <xf numFmtId="0" fontId="129" fillId="0" borderId="0" xfId="106" applyFont="1" applyFill="1" applyBorder="1" applyAlignment="1">
      <alignment horizontal="center" vertical="center" wrapText="1"/>
    </xf>
    <xf numFmtId="0" fontId="9" fillId="0" borderId="0" xfId="106" applyFont="1" applyFill="1" applyBorder="1" applyAlignment="1">
      <alignment horizontal="left" vertical="top"/>
    </xf>
    <xf numFmtId="0" fontId="9" fillId="0" borderId="27" xfId="103" applyFont="1" applyFill="1" applyBorder="1" applyAlignment="1" applyProtection="1">
      <alignment horizontal="left" vertical="top" wrapText="1"/>
    </xf>
    <xf numFmtId="4" fontId="9" fillId="0" borderId="10" xfId="103" applyNumberFormat="1" applyFont="1" applyFill="1" applyBorder="1" applyAlignment="1" applyProtection="1">
      <alignment horizontal="center" vertical="center"/>
    </xf>
    <xf numFmtId="183" fontId="9" fillId="0" borderId="10" xfId="103" applyNumberFormat="1" applyFont="1" applyFill="1" applyBorder="1" applyAlignment="1" applyProtection="1">
      <alignment horizontal="center" vertical="center"/>
    </xf>
    <xf numFmtId="184" fontId="9" fillId="0" borderId="10" xfId="103" applyNumberFormat="1" applyFont="1" applyFill="1" applyBorder="1" applyAlignment="1" applyProtection="1">
      <alignment horizontal="center" vertical="center"/>
    </xf>
    <xf numFmtId="183" fontId="9" fillId="0" borderId="10" xfId="108" applyNumberFormat="1" applyFont="1" applyFill="1" applyBorder="1" applyAlignment="1" applyProtection="1">
      <alignment horizontal="center" vertical="center"/>
    </xf>
    <xf numFmtId="184" fontId="9" fillId="0" borderId="10" xfId="104" applyNumberFormat="1" applyFont="1" applyFill="1" applyBorder="1" applyAlignment="1" applyProtection="1">
      <alignment horizontal="center" vertical="center"/>
    </xf>
    <xf numFmtId="185" fontId="9" fillId="0" borderId="10" xfId="105" applyNumberFormat="1" applyFont="1" applyFill="1" applyBorder="1" applyAlignment="1" applyProtection="1">
      <alignment horizontal="center" vertical="center"/>
    </xf>
    <xf numFmtId="185" fontId="9" fillId="0" borderId="52" xfId="105" applyNumberFormat="1" applyFont="1" applyFill="1" applyBorder="1" applyAlignment="1" applyProtection="1">
      <alignment horizontal="center" vertical="center"/>
    </xf>
    <xf numFmtId="3" fontId="9" fillId="0" borderId="10" xfId="103" applyNumberFormat="1" applyFont="1" applyFill="1" applyBorder="1" applyAlignment="1" applyProtection="1">
      <alignment horizontal="center" vertical="center"/>
    </xf>
    <xf numFmtId="4" fontId="9" fillId="0" borderId="10" xfId="109" applyNumberFormat="1" applyFont="1" applyFill="1" applyBorder="1" applyAlignment="1" applyProtection="1">
      <alignment horizontal="center" vertical="center"/>
    </xf>
    <xf numFmtId="185" fontId="9" fillId="65" borderId="10" xfId="105" applyNumberFormat="1" applyFont="1" applyFill="1" applyBorder="1" applyAlignment="1" applyProtection="1">
      <alignment horizontal="center" vertical="center"/>
    </xf>
    <xf numFmtId="183" fontId="12" fillId="0" borderId="27" xfId="103" applyNumberFormat="1" applyFont="1" applyFill="1" applyBorder="1" applyAlignment="1" applyProtection="1">
      <alignment horizontal="left" vertical="top" wrapText="1"/>
    </xf>
    <xf numFmtId="186" fontId="9" fillId="0" borderId="10" xfId="108" applyNumberFormat="1" applyFont="1" applyFill="1" applyBorder="1" applyAlignment="1" applyProtection="1">
      <alignment horizontal="center" vertical="center"/>
    </xf>
    <xf numFmtId="185" fontId="12" fillId="0" borderId="10" xfId="105" applyNumberFormat="1" applyFont="1" applyFill="1" applyBorder="1" applyAlignment="1" applyProtection="1">
      <alignment horizontal="center" vertical="center"/>
    </xf>
    <xf numFmtId="185" fontId="12" fillId="0" borderId="52" xfId="105" applyNumberFormat="1" applyFont="1" applyFill="1" applyBorder="1" applyAlignment="1" applyProtection="1">
      <alignment horizontal="center" vertical="center"/>
    </xf>
    <xf numFmtId="0" fontId="9" fillId="0" borderId="0" xfId="102"/>
    <xf numFmtId="183" fontId="12" fillId="76" borderId="93" xfId="103" applyNumberFormat="1" applyFont="1" applyFill="1" applyBorder="1" applyAlignment="1" applyProtection="1">
      <alignment horizontal="left" vertical="top" wrapText="1"/>
    </xf>
    <xf numFmtId="0" fontId="9" fillId="76" borderId="17" xfId="103" applyFont="1" applyFill="1" applyBorder="1" applyProtection="1"/>
    <xf numFmtId="184" fontId="12" fillId="76" borderId="17" xfId="104" applyNumberFormat="1" applyFont="1" applyFill="1" applyBorder="1" applyAlignment="1" applyProtection="1">
      <alignment horizontal="center" vertical="center"/>
    </xf>
    <xf numFmtId="187" fontId="12" fillId="76" borderId="17" xfId="104" applyNumberFormat="1" applyFont="1" applyFill="1" applyBorder="1" applyAlignment="1" applyProtection="1">
      <alignment horizontal="center" vertical="center"/>
    </xf>
    <xf numFmtId="185" fontId="9" fillId="76" borderId="17" xfId="105" applyNumberFormat="1" applyFont="1" applyFill="1" applyBorder="1" applyAlignment="1" applyProtection="1">
      <alignment horizontal="center" vertical="center"/>
    </xf>
    <xf numFmtId="185" fontId="12" fillId="76" borderId="17" xfId="105" applyNumberFormat="1" applyFont="1" applyFill="1" applyBorder="1" applyAlignment="1" applyProtection="1">
      <alignment horizontal="center" vertical="center"/>
    </xf>
    <xf numFmtId="185" fontId="12" fillId="76" borderId="60" xfId="105" applyNumberFormat="1" applyFont="1" applyFill="1" applyBorder="1" applyAlignment="1" applyProtection="1">
      <alignment horizontal="center" vertical="center"/>
    </xf>
    <xf numFmtId="183" fontId="12" fillId="0" borderId="10" xfId="103" applyNumberFormat="1" applyFont="1" applyFill="1" applyBorder="1" applyAlignment="1" applyProtection="1">
      <alignment horizontal="left" vertical="center"/>
    </xf>
    <xf numFmtId="183" fontId="9" fillId="0" borderId="10" xfId="103" applyNumberFormat="1" applyFont="1" applyFill="1" applyBorder="1" applyAlignment="1" applyProtection="1">
      <alignment horizontal="left" vertical="center"/>
    </xf>
    <xf numFmtId="183" fontId="12" fillId="0" borderId="27" xfId="103" applyNumberFormat="1" applyFont="1" applyFill="1" applyBorder="1" applyAlignment="1" applyProtection="1">
      <alignment horizontal="left" vertical="top" wrapText="1" indent="1"/>
    </xf>
    <xf numFmtId="184" fontId="9" fillId="0" borderId="10" xfId="108" applyNumberFormat="1" applyFont="1" applyFill="1" applyBorder="1" applyAlignment="1" applyProtection="1">
      <alignment horizontal="center" vertical="center"/>
    </xf>
    <xf numFmtId="9" fontId="9" fillId="0" borderId="10" xfId="105" applyFont="1" applyFill="1" applyBorder="1" applyAlignment="1" applyProtection="1">
      <alignment horizontal="center" vertical="center"/>
    </xf>
    <xf numFmtId="0" fontId="9" fillId="0" borderId="10" xfId="103" applyFont="1" applyFill="1" applyBorder="1" applyProtection="1"/>
    <xf numFmtId="188" fontId="82" fillId="0" borderId="10" xfId="105" applyNumberFormat="1" applyFont="1" applyFill="1" applyBorder="1" applyAlignment="1" applyProtection="1">
      <alignment horizontal="center" vertical="center"/>
    </xf>
    <xf numFmtId="184" fontId="41" fillId="0" borderId="10" xfId="104" applyNumberFormat="1" applyFont="1" applyFill="1" applyBorder="1" applyAlignment="1" applyProtection="1">
      <alignment horizontal="center" vertical="center"/>
    </xf>
    <xf numFmtId="188" fontId="41" fillId="0" borderId="10" xfId="105" applyNumberFormat="1" applyFont="1" applyFill="1" applyBorder="1" applyAlignment="1" applyProtection="1">
      <alignment horizontal="center" vertical="center"/>
    </xf>
    <xf numFmtId="183" fontId="12" fillId="65" borderId="28" xfId="103" applyNumberFormat="1" applyFont="1" applyFill="1" applyBorder="1" applyAlignment="1" applyProtection="1">
      <alignment horizontal="left" vertical="top" wrapText="1"/>
    </xf>
    <xf numFmtId="0" fontId="9" fillId="65" borderId="26" xfId="103" applyFont="1" applyFill="1" applyBorder="1" applyProtection="1"/>
    <xf numFmtId="184" fontId="12" fillId="65" borderId="26" xfId="104" applyNumberFormat="1" applyFont="1" applyFill="1" applyBorder="1" applyAlignment="1" applyProtection="1">
      <alignment horizontal="center" vertical="center"/>
    </xf>
    <xf numFmtId="187" fontId="12" fillId="65" borderId="26" xfId="104" applyNumberFormat="1" applyFont="1" applyFill="1" applyBorder="1" applyAlignment="1" applyProtection="1">
      <alignment horizontal="center" vertical="center"/>
    </xf>
    <xf numFmtId="185" fontId="9" fillId="65" borderId="26" xfId="105" applyNumberFormat="1" applyFont="1" applyFill="1" applyBorder="1" applyAlignment="1" applyProtection="1">
      <alignment horizontal="center" vertical="center"/>
    </xf>
    <xf numFmtId="185" fontId="12" fillId="65" borderId="26" xfId="105" applyNumberFormat="1" applyFont="1" applyFill="1" applyBorder="1" applyAlignment="1" applyProtection="1">
      <alignment horizontal="center" vertical="center"/>
    </xf>
    <xf numFmtId="185" fontId="12" fillId="65" borderId="84" xfId="105" applyNumberFormat="1" applyFont="1" applyFill="1" applyBorder="1" applyAlignment="1" applyProtection="1">
      <alignment horizontal="center" vertical="center"/>
    </xf>
    <xf numFmtId="0" fontId="18" fillId="0" borderId="10" xfId="110" applyFont="1" applyFill="1" applyBorder="1"/>
    <xf numFmtId="0" fontId="9" fillId="0" borderId="0" xfId="100" applyFill="1" applyAlignment="1"/>
    <xf numFmtId="0" fontId="4" fillId="0" borderId="10" xfId="101" applyBorder="1"/>
    <xf numFmtId="0" fontId="9" fillId="0" borderId="10" xfId="101" applyFont="1" applyFill="1" applyBorder="1"/>
    <xf numFmtId="0" fontId="9" fillId="0" borderId="0" xfId="107" applyFill="1"/>
    <xf numFmtId="0" fontId="9" fillId="67" borderId="0" xfId="102" applyFill="1" applyAlignment="1" applyProtection="1">
      <alignment wrapText="1"/>
      <protection locked="0"/>
    </xf>
    <xf numFmtId="0" fontId="12" fillId="67" borderId="0" xfId="102" applyFont="1" applyFill="1" applyProtection="1">
      <protection locked="0"/>
    </xf>
    <xf numFmtId="189" fontId="12" fillId="67" borderId="0" xfId="102" applyNumberFormat="1" applyFont="1" applyFill="1" applyProtection="1">
      <protection locked="0"/>
    </xf>
    <xf numFmtId="0" fontId="4" fillId="67" borderId="0" xfId="101" applyFill="1" applyAlignment="1">
      <alignment horizontal="left" vertical="top"/>
    </xf>
    <xf numFmtId="0" fontId="130" fillId="67" borderId="0" xfId="101" applyFont="1" applyFill="1"/>
    <xf numFmtId="0" fontId="9" fillId="67" borderId="0" xfId="102" applyFont="1" applyFill="1"/>
    <xf numFmtId="0" fontId="9" fillId="0" borderId="0" xfId="102" applyFont="1"/>
    <xf numFmtId="0" fontId="4" fillId="67" borderId="0" xfId="101" applyFill="1"/>
    <xf numFmtId="0" fontId="130" fillId="0" borderId="0" xfId="101" applyFont="1"/>
    <xf numFmtId="0" fontId="9" fillId="0" borderId="0" xfId="102" applyFont="1" applyFill="1"/>
    <xf numFmtId="0" fontId="0" fillId="0" borderId="167" xfId="0" applyFill="1" applyBorder="1" applyAlignment="1">
      <alignment vertical="top"/>
    </xf>
    <xf numFmtId="0" fontId="0" fillId="0" borderId="131" xfId="0" applyFill="1" applyBorder="1" applyAlignment="1">
      <alignment vertical="top"/>
    </xf>
    <xf numFmtId="0" fontId="0" fillId="0" borderId="169" xfId="0" applyFill="1" applyBorder="1" applyAlignment="1">
      <alignment vertical="top"/>
    </xf>
    <xf numFmtId="0" fontId="0" fillId="0" borderId="166" xfId="0" applyFill="1" applyBorder="1" applyAlignment="1">
      <alignment vertical="top"/>
    </xf>
    <xf numFmtId="0" fontId="0" fillId="0" borderId="104" xfId="0" applyFill="1" applyBorder="1" applyAlignment="1">
      <alignment vertical="top"/>
    </xf>
    <xf numFmtId="0" fontId="0" fillId="0" borderId="168" xfId="0" applyFill="1" applyBorder="1" applyAlignment="1">
      <alignment vertical="top"/>
    </xf>
    <xf numFmtId="0" fontId="131" fillId="0" borderId="0" xfId="0" applyFont="1" applyAlignment="1">
      <alignment vertical="center"/>
    </xf>
    <xf numFmtId="0" fontId="0" fillId="0" borderId="0" xfId="0" applyProtection="1">
      <protection locked="0"/>
    </xf>
    <xf numFmtId="0" fontId="0" fillId="0" borderId="0" xfId="0" applyAlignment="1">
      <alignment vertical="top" wrapText="1"/>
    </xf>
    <xf numFmtId="0" fontId="9" fillId="0" borderId="0" xfId="0" applyFont="1" applyAlignment="1">
      <alignment vertical="top" wrapText="1"/>
    </xf>
    <xf numFmtId="0" fontId="0" fillId="0" borderId="0" xfId="0" applyAlignment="1" applyProtection="1">
      <alignment horizontal="center"/>
    </xf>
    <xf numFmtId="0" fontId="79" fillId="0" borderId="0" xfId="0" applyFont="1" applyFill="1" applyAlignment="1">
      <alignment horizontal="left" vertical="top" wrapText="1"/>
    </xf>
    <xf numFmtId="0" fontId="79" fillId="0" borderId="0" xfId="0" applyFont="1" applyFill="1" applyAlignment="1">
      <alignment vertical="top" wrapText="1"/>
    </xf>
    <xf numFmtId="0" fontId="0" fillId="0" borderId="0" xfId="0" applyAlignment="1" applyProtection="1">
      <alignment vertical="top"/>
      <protection locked="0"/>
    </xf>
    <xf numFmtId="15" fontId="60" fillId="0" borderId="0" xfId="99" applyNumberFormat="1" applyFont="1" applyAlignment="1" applyProtection="1">
      <alignment vertical="top"/>
    </xf>
    <xf numFmtId="0" fontId="9" fillId="0" borderId="0" xfId="99" applyAlignment="1" applyProtection="1">
      <alignment vertical="top"/>
    </xf>
    <xf numFmtId="0" fontId="9" fillId="0" borderId="0" xfId="99" applyAlignment="1" applyProtection="1">
      <alignment horizontal="left" vertical="top"/>
    </xf>
    <xf numFmtId="15" fontId="11" fillId="29" borderId="131" xfId="99" applyNumberFormat="1" applyFont="1" applyFill="1" applyBorder="1" applyAlignment="1" applyProtection="1">
      <alignment horizontal="left" vertical="top" wrapText="1"/>
      <protection locked="0"/>
    </xf>
    <xf numFmtId="0" fontId="0" fillId="0" borderId="0" xfId="0" applyAlignment="1" applyProtection="1">
      <alignment horizontal="right"/>
      <protection locked="0"/>
    </xf>
    <xf numFmtId="178" fontId="11" fillId="78" borderId="159" xfId="0" applyNumberFormat="1" applyFont="1" applyFill="1" applyBorder="1" applyAlignment="1" applyProtection="1">
      <alignment horizontal="right" vertical="top"/>
      <protection locked="0"/>
    </xf>
    <xf numFmtId="178" fontId="11" fillId="78" borderId="161" xfId="0" applyNumberFormat="1" applyFont="1" applyFill="1" applyBorder="1" applyAlignment="1" applyProtection="1">
      <alignment horizontal="right" vertical="top"/>
      <protection locked="0"/>
    </xf>
    <xf numFmtId="179" fontId="11" fillId="78" borderId="163" xfId="0" applyNumberFormat="1" applyFont="1" applyFill="1" applyBorder="1" applyAlignment="1" applyProtection="1">
      <alignment horizontal="right" vertical="top"/>
      <protection locked="0"/>
    </xf>
    <xf numFmtId="0" fontId="9" fillId="67" borderId="0" xfId="0" applyFont="1" applyFill="1" applyBorder="1" applyAlignment="1" applyProtection="1">
      <alignment horizontal="left"/>
      <protection locked="0"/>
    </xf>
    <xf numFmtId="0" fontId="0" fillId="0" borderId="0" xfId="0" applyFill="1" applyBorder="1" applyAlignment="1" applyProtection="1">
      <alignment horizontal="left" vertical="top" wrapText="1"/>
      <protection locked="0"/>
    </xf>
    <xf numFmtId="0" fontId="0" fillId="0" borderId="160" xfId="0" applyFill="1" applyBorder="1" applyAlignment="1" applyProtection="1">
      <alignment horizontal="left" vertical="top" wrapText="1"/>
      <protection locked="0"/>
    </xf>
    <xf numFmtId="0" fontId="0" fillId="0" borderId="162" xfId="0" applyFill="1" applyBorder="1" applyAlignment="1" applyProtection="1">
      <alignment horizontal="left" vertical="top" wrapText="1"/>
      <protection locked="0"/>
    </xf>
    <xf numFmtId="0" fontId="0" fillId="0" borderId="0" xfId="0" applyFont="1" applyFill="1" applyBorder="1" applyAlignment="1" applyProtection="1">
      <alignment horizontal="left"/>
      <protection locked="0"/>
    </xf>
    <xf numFmtId="0" fontId="122" fillId="0" borderId="0" xfId="0" applyFont="1" applyFill="1" applyBorder="1" applyAlignment="1" applyProtection="1">
      <alignment horizontal="left" vertical="top"/>
      <protection locked="0"/>
    </xf>
    <xf numFmtId="0" fontId="122" fillId="0" borderId="0" xfId="0" applyFont="1" applyFill="1" applyAlignment="1" applyProtection="1">
      <alignment horizontal="left" vertical="top"/>
      <protection locked="0"/>
    </xf>
    <xf numFmtId="178" fontId="0" fillId="67" borderId="0" xfId="0" applyNumberFormat="1" applyFont="1" applyFill="1" applyBorder="1" applyAlignment="1" applyProtection="1">
      <alignment horizontal="right"/>
      <protection locked="0"/>
    </xf>
    <xf numFmtId="0" fontId="4" fillId="0" borderId="0" xfId="101" applyAlignment="1">
      <alignment horizontal="right"/>
    </xf>
    <xf numFmtId="0" fontId="0" fillId="67" borderId="0" xfId="0" applyFont="1" applyFill="1" applyBorder="1" applyAlignment="1" applyProtection="1">
      <alignment horizontal="center"/>
      <protection locked="0"/>
    </xf>
    <xf numFmtId="0" fontId="4" fillId="0" borderId="0" xfId="101" applyAlignment="1">
      <alignment horizontal="center"/>
    </xf>
    <xf numFmtId="15" fontId="12" fillId="0" borderId="0" xfId="99" applyNumberFormat="1" applyFont="1" applyAlignment="1" applyProtection="1"/>
    <xf numFmtId="0" fontId="9" fillId="0" borderId="0" xfId="99" applyAlignment="1" applyProtection="1"/>
    <xf numFmtId="0" fontId="0" fillId="0" borderId="0" xfId="0" applyAlignment="1" applyProtection="1"/>
    <xf numFmtId="0" fontId="9" fillId="0" borderId="0" xfId="0" applyFont="1" applyAlignment="1">
      <alignment horizontal="left" vertical="top" wrapText="1"/>
    </xf>
    <xf numFmtId="0" fontId="16" fillId="0" borderId="0" xfId="46" applyFont="1" applyAlignment="1">
      <alignment horizontal="center" vertical="top"/>
    </xf>
    <xf numFmtId="0" fontId="9" fillId="0" borderId="0" xfId="46" applyAlignment="1">
      <alignment horizontal="center"/>
    </xf>
    <xf numFmtId="3" fontId="0" fillId="67" borderId="10" xfId="29" applyNumberFormat="1" applyFont="1" applyFill="1" applyBorder="1"/>
    <xf numFmtId="3" fontId="0" fillId="67" borderId="17" xfId="29" applyNumberFormat="1" applyFont="1" applyFill="1" applyBorder="1"/>
    <xf numFmtId="0" fontId="11" fillId="77" borderId="159" xfId="0" applyFont="1" applyFill="1" applyBorder="1" applyAlignment="1" applyProtection="1">
      <alignment horizontal="left" vertical="top"/>
      <protection locked="0"/>
    </xf>
    <xf numFmtId="0" fontId="11" fillId="77" borderId="161" xfId="0" applyFont="1" applyFill="1" applyBorder="1" applyAlignment="1" applyProtection="1">
      <alignment horizontal="left" vertical="top"/>
      <protection locked="0"/>
    </xf>
    <xf numFmtId="0" fontId="11" fillId="77" borderId="163" xfId="0" applyFont="1" applyFill="1" applyBorder="1" applyAlignment="1" applyProtection="1">
      <alignment horizontal="left" vertical="top"/>
      <protection locked="0"/>
    </xf>
    <xf numFmtId="0" fontId="0" fillId="0" borderId="0" xfId="0" applyAlignment="1" applyProtection="1">
      <alignment horizontal="left"/>
    </xf>
    <xf numFmtId="15" fontId="11" fillId="0" borderId="0" xfId="99" applyNumberFormat="1" applyFont="1" applyFill="1" applyAlignment="1" applyProtection="1">
      <alignment horizontal="left" vertical="top" indent="2"/>
      <protection locked="0"/>
    </xf>
    <xf numFmtId="181" fontId="11" fillId="29" borderId="165" xfId="99" applyNumberFormat="1" applyFont="1" applyFill="1" applyBorder="1" applyAlignment="1" applyProtection="1">
      <alignment horizontal="right" vertical="center" indent="2"/>
      <protection locked="0"/>
    </xf>
    <xf numFmtId="0" fontId="11" fillId="0" borderId="0" xfId="0" applyFont="1" applyProtection="1"/>
    <xf numFmtId="0" fontId="11" fillId="0" borderId="0" xfId="0" applyFont="1" applyFill="1" applyProtection="1"/>
    <xf numFmtId="182" fontId="11" fillId="29" borderId="165" xfId="99" applyNumberFormat="1" applyFont="1" applyFill="1" applyBorder="1" applyAlignment="1" applyProtection="1">
      <alignment horizontal="right" vertical="center" indent="2"/>
      <protection locked="0"/>
    </xf>
    <xf numFmtId="181" fontId="11" fillId="29" borderId="0" xfId="99" applyNumberFormat="1" applyFont="1" applyFill="1" applyAlignment="1" applyProtection="1">
      <alignment horizontal="right" vertical="center" indent="2"/>
      <protection locked="0"/>
    </xf>
    <xf numFmtId="0" fontId="0" fillId="0" borderId="0" xfId="0" applyAlignment="1" applyProtection="1">
      <alignment horizontal="left" vertical="center"/>
    </xf>
    <xf numFmtId="2" fontId="0" fillId="29" borderId="168" xfId="0" applyNumberFormat="1" applyFill="1" applyBorder="1" applyAlignment="1" applyProtection="1">
      <alignment horizontal="right" vertical="center"/>
    </xf>
    <xf numFmtId="2" fontId="0" fillId="0" borderId="0" xfId="0" applyNumberFormat="1" applyAlignment="1" applyProtection="1">
      <alignment horizontal="right" vertical="center"/>
      <protection locked="0"/>
    </xf>
    <xf numFmtId="15" fontId="11" fillId="0" borderId="0" xfId="99" applyNumberFormat="1" applyFont="1" applyFill="1" applyAlignment="1" applyProtection="1">
      <alignment horizontal="left" vertical="top" wrapText="1"/>
      <protection locked="0"/>
    </xf>
    <xf numFmtId="0" fontId="11" fillId="0" borderId="0" xfId="99" applyFont="1" applyFill="1" applyAlignment="1" applyProtection="1">
      <alignment horizontal="left" vertical="top"/>
      <protection locked="0"/>
    </xf>
    <xf numFmtId="181" fontId="11" fillId="0" borderId="0" xfId="99" applyNumberFormat="1" applyFont="1" applyFill="1" applyAlignment="1" applyProtection="1">
      <alignment horizontal="right" vertical="top"/>
      <protection locked="0"/>
    </xf>
    <xf numFmtId="0" fontId="11" fillId="0" borderId="0" xfId="0" applyFont="1" applyProtection="1">
      <protection locked="0"/>
    </xf>
    <xf numFmtId="15" fontId="11" fillId="0" borderId="0" xfId="99" applyNumberFormat="1" applyFont="1" applyFill="1" applyAlignment="1" applyProtection="1">
      <alignment horizontal="left" vertical="top" wrapText="1" indent="5"/>
      <protection locked="0"/>
    </xf>
    <xf numFmtId="15" fontId="11" fillId="0" borderId="0" xfId="99" applyNumberFormat="1" applyFont="1" applyFill="1" applyAlignment="1" applyProtection="1">
      <alignment horizontal="left" vertical="top" wrapText="1" indent="2"/>
      <protection locked="0"/>
    </xf>
    <xf numFmtId="0" fontId="11" fillId="0" borderId="0" xfId="99" applyFont="1" applyFill="1" applyAlignment="1" applyProtection="1">
      <alignment horizontal="right" vertical="top"/>
      <protection locked="0"/>
    </xf>
    <xf numFmtId="0" fontId="122" fillId="0" borderId="0" xfId="0" applyFont="1" applyProtection="1"/>
    <xf numFmtId="0" fontId="11" fillId="0" borderId="0" xfId="46" applyFont="1" applyAlignment="1">
      <alignment horizontal="right" vertical="top"/>
    </xf>
    <xf numFmtId="0" fontId="11" fillId="29" borderId="0" xfId="46" applyFont="1" applyFill="1" applyAlignment="1">
      <alignment horizontal="right" vertical="top"/>
    </xf>
    <xf numFmtId="0" fontId="0" fillId="28" borderId="0" xfId="0" applyFill="1" applyBorder="1" applyAlignment="1" applyProtection="1">
      <alignment horizontal="center" vertical="center"/>
      <protection locked="0"/>
    </xf>
    <xf numFmtId="0" fontId="9" fillId="0" borderId="0" xfId="0" applyFont="1" applyFill="1" applyBorder="1" applyAlignment="1">
      <alignment horizontal="left" vertical="center"/>
    </xf>
    <xf numFmtId="0" fontId="0" fillId="67" borderId="0" xfId="0" applyFill="1"/>
    <xf numFmtId="0" fontId="0" fillId="67" borderId="104" xfId="0" applyFill="1" applyBorder="1" applyAlignment="1">
      <alignment vertical="top"/>
    </xf>
    <xf numFmtId="0" fontId="0" fillId="67" borderId="168" xfId="0" applyFill="1" applyBorder="1" applyAlignment="1">
      <alignment vertical="top"/>
    </xf>
    <xf numFmtId="0" fontId="0" fillId="67" borderId="131" xfId="0" applyFill="1" applyBorder="1" applyAlignment="1">
      <alignment vertical="top"/>
    </xf>
    <xf numFmtId="0" fontId="0" fillId="67" borderId="169" xfId="0" applyFill="1" applyBorder="1" applyAlignment="1">
      <alignment vertical="top"/>
    </xf>
    <xf numFmtId="0" fontId="12" fillId="0" borderId="0" xfId="0" applyFont="1" applyFill="1" applyAlignment="1">
      <alignment vertical="center"/>
    </xf>
    <xf numFmtId="0" fontId="12" fillId="0" borderId="167" xfId="0" applyFont="1" applyFill="1" applyBorder="1" applyAlignment="1">
      <alignment vertical="center"/>
    </xf>
    <xf numFmtId="0" fontId="12" fillId="0" borderId="131" xfId="0" applyFont="1" applyFill="1" applyBorder="1" applyAlignment="1">
      <alignment vertical="center"/>
    </xf>
    <xf numFmtId="0" fontId="12" fillId="0" borderId="169" xfId="0" applyFont="1" applyFill="1" applyBorder="1" applyAlignment="1">
      <alignment vertical="center"/>
    </xf>
    <xf numFmtId="0" fontId="12" fillId="0" borderId="166" xfId="0" applyFont="1" applyFill="1" applyBorder="1" applyAlignment="1">
      <alignment vertical="center"/>
    </xf>
    <xf numFmtId="0" fontId="12" fillId="0" borderId="104" xfId="0" applyFont="1" applyFill="1" applyBorder="1" applyAlignment="1">
      <alignment vertical="center"/>
    </xf>
    <xf numFmtId="0" fontId="12" fillId="0" borderId="168" xfId="0" applyFont="1" applyFill="1" applyBorder="1" applyAlignment="1">
      <alignment vertical="center"/>
    </xf>
    <xf numFmtId="0" fontId="122" fillId="77" borderId="173" xfId="0" applyFont="1" applyFill="1" applyBorder="1" applyAlignment="1" applyProtection="1">
      <alignment horizontal="left" vertical="top"/>
      <protection locked="0"/>
    </xf>
    <xf numFmtId="178" fontId="122" fillId="78" borderId="173" xfId="0" applyNumberFormat="1" applyFont="1" applyFill="1" applyBorder="1" applyAlignment="1" applyProtection="1">
      <alignment horizontal="right" vertical="top"/>
      <protection locked="0"/>
    </xf>
    <xf numFmtId="180" fontId="11" fillId="29" borderId="175" xfId="99" applyNumberFormat="1" applyFont="1" applyFill="1" applyBorder="1" applyAlignment="1" applyProtection="1">
      <alignment horizontal="left" vertical="center"/>
      <protection locked="0"/>
    </xf>
    <xf numFmtId="180" fontId="11" fillId="29" borderId="174" xfId="99" applyNumberFormat="1" applyFont="1" applyFill="1" applyBorder="1" applyAlignment="1" applyProtection="1">
      <alignment horizontal="left" vertical="center"/>
      <protection locked="0"/>
    </xf>
    <xf numFmtId="0" fontId="122" fillId="67" borderId="164" xfId="0" applyFont="1" applyFill="1" applyBorder="1" applyAlignment="1" applyProtection="1">
      <alignment vertical="top"/>
      <protection locked="0"/>
    </xf>
    <xf numFmtId="0" fontId="0" fillId="28" borderId="177" xfId="0" applyFill="1" applyBorder="1" applyAlignment="1" applyProtection="1">
      <alignment horizontal="left" vertical="center"/>
    </xf>
    <xf numFmtId="0" fontId="122" fillId="67" borderId="159" xfId="0" applyFont="1" applyFill="1" applyBorder="1" applyAlignment="1" applyProtection="1">
      <alignment vertical="top"/>
      <protection locked="0"/>
    </xf>
    <xf numFmtId="0" fontId="120" fillId="0" borderId="0" xfId="0" applyFont="1" applyAlignment="1" applyProtection="1">
      <alignment vertical="center" wrapText="1"/>
      <protection locked="0"/>
    </xf>
    <xf numFmtId="178" fontId="0" fillId="0" borderId="0" xfId="0" applyNumberFormat="1"/>
    <xf numFmtId="178" fontId="4" fillId="0" borderId="0" xfId="101" applyNumberFormat="1"/>
    <xf numFmtId="178" fontId="0" fillId="0" borderId="0" xfId="0" applyNumberFormat="1" applyFill="1" applyBorder="1" applyAlignment="1" applyProtection="1">
      <alignment horizontal="left" vertical="top" wrapText="1"/>
      <protection locked="0"/>
    </xf>
    <xf numFmtId="178" fontId="0" fillId="0" borderId="160" xfId="0" applyNumberFormat="1" applyFill="1" applyBorder="1" applyAlignment="1" applyProtection="1">
      <alignment horizontal="left" vertical="top" wrapText="1"/>
      <protection locked="0"/>
    </xf>
    <xf numFmtId="178" fontId="0" fillId="0" borderId="162" xfId="0" applyNumberFormat="1" applyFill="1" applyBorder="1" applyAlignment="1" applyProtection="1">
      <alignment horizontal="left" vertical="top" wrapText="1"/>
      <protection locked="0"/>
    </xf>
    <xf numFmtId="178" fontId="0" fillId="0" borderId="0" xfId="0" applyNumberFormat="1" applyFont="1" applyFill="1" applyBorder="1" applyAlignment="1" applyProtection="1">
      <alignment horizontal="left"/>
      <protection locked="0"/>
    </xf>
    <xf numFmtId="178" fontId="122" fillId="0" borderId="0" xfId="0" applyNumberFormat="1" applyFont="1" applyFill="1" applyBorder="1" applyAlignment="1" applyProtection="1">
      <alignment horizontal="left" vertical="top"/>
      <protection locked="0"/>
    </xf>
    <xf numFmtId="178" fontId="9" fillId="0" borderId="0" xfId="99" applyNumberFormat="1" applyProtection="1"/>
    <xf numFmtId="178" fontId="0" fillId="0" borderId="0" xfId="0" applyNumberFormat="1" applyProtection="1"/>
    <xf numFmtId="178" fontId="0" fillId="0" borderId="0" xfId="0" applyNumberFormat="1" applyFill="1" applyProtection="1"/>
    <xf numFmtId="178" fontId="0" fillId="0" borderId="0" xfId="0" applyNumberFormat="1" applyAlignment="1" applyProtection="1">
      <alignment horizontal="center"/>
    </xf>
    <xf numFmtId="178" fontId="0" fillId="0" borderId="0" xfId="0" applyNumberFormat="1" applyAlignment="1" applyProtection="1">
      <alignment horizontal="right"/>
      <protection locked="0"/>
    </xf>
    <xf numFmtId="178" fontId="11" fillId="29" borderId="165" xfId="99" applyNumberFormat="1" applyFont="1" applyFill="1" applyBorder="1" applyAlignment="1" applyProtection="1">
      <alignment horizontal="right" vertical="center" indent="2"/>
      <protection locked="0"/>
    </xf>
    <xf numFmtId="178" fontId="11" fillId="0" borderId="0" xfId="99" applyNumberFormat="1" applyFont="1" applyFill="1" applyAlignment="1" applyProtection="1">
      <alignment horizontal="left" vertical="top" indent="2"/>
      <protection locked="0"/>
    </xf>
    <xf numFmtId="178" fontId="11" fillId="0" borderId="0" xfId="0" applyNumberFormat="1" applyFont="1" applyFill="1" applyProtection="1"/>
    <xf numFmtId="178" fontId="11" fillId="29" borderId="0" xfId="99" applyNumberFormat="1" applyFont="1" applyFill="1" applyAlignment="1" applyProtection="1">
      <alignment horizontal="right" vertical="center" indent="2"/>
      <protection locked="0"/>
    </xf>
    <xf numFmtId="178" fontId="9" fillId="0" borderId="0" xfId="99" applyNumberFormat="1" applyAlignment="1" applyProtection="1">
      <alignment horizontal="left" indent="2"/>
    </xf>
    <xf numFmtId="178" fontId="0" fillId="0" borderId="0" xfId="0" applyNumberFormat="1" applyAlignment="1" applyProtection="1">
      <alignment horizontal="left"/>
    </xf>
    <xf numFmtId="178" fontId="0" fillId="0" borderId="0" xfId="0" applyNumberFormat="1" applyProtection="1">
      <protection locked="0"/>
    </xf>
    <xf numFmtId="178" fontId="79" fillId="0" borderId="0" xfId="0" applyNumberFormat="1" applyFont="1" applyFill="1" applyAlignment="1">
      <alignment vertical="top" wrapText="1"/>
    </xf>
    <xf numFmtId="178" fontId="0" fillId="0" borderId="0" xfId="0" applyNumberFormat="1" applyAlignment="1">
      <alignment vertical="top" wrapText="1"/>
    </xf>
    <xf numFmtId="178" fontId="0" fillId="0" borderId="0" xfId="0" applyNumberFormat="1" applyAlignment="1" applyProtection="1">
      <alignment vertical="top"/>
    </xf>
    <xf numFmtId="178" fontId="0" fillId="0" borderId="0" xfId="0" applyNumberFormat="1" applyAlignment="1" applyProtection="1">
      <alignment vertical="top"/>
      <protection locked="0"/>
    </xf>
    <xf numFmtId="178" fontId="9" fillId="0" borderId="0" xfId="99" applyNumberFormat="1" applyAlignment="1" applyProtection="1">
      <alignment horizontal="left" vertical="top"/>
    </xf>
    <xf numFmtId="178" fontId="0" fillId="29" borderId="168" xfId="0" applyNumberFormat="1" applyFill="1" applyBorder="1" applyAlignment="1" applyProtection="1">
      <alignment horizontal="right" vertical="center"/>
    </xf>
    <xf numFmtId="178" fontId="9" fillId="0" borderId="0" xfId="99" applyNumberFormat="1" applyAlignment="1" applyProtection="1">
      <alignment horizontal="left" indent="2"/>
      <protection locked="0"/>
    </xf>
    <xf numFmtId="178" fontId="0" fillId="0" borderId="0" xfId="0" applyNumberFormat="1" applyAlignment="1" applyProtection="1">
      <alignment horizontal="left" vertical="center"/>
    </xf>
    <xf numFmtId="178" fontId="0" fillId="0" borderId="0" xfId="0" applyNumberFormat="1" applyAlignment="1" applyProtection="1">
      <alignment horizontal="right" vertical="center"/>
      <protection locked="0"/>
    </xf>
    <xf numFmtId="178" fontId="11" fillId="0" borderId="0" xfId="99" applyNumberFormat="1" applyFont="1" applyAlignment="1" applyProtection="1">
      <alignment horizontal="left" indent="2"/>
      <protection locked="0"/>
    </xf>
    <xf numFmtId="178" fontId="11" fillId="29" borderId="131" xfId="99" applyNumberFormat="1" applyFont="1" applyFill="1" applyBorder="1" applyAlignment="1" applyProtection="1">
      <alignment horizontal="left" vertical="top" wrapText="1"/>
      <protection locked="0"/>
    </xf>
    <xf numFmtId="178" fontId="9" fillId="0" borderId="0" xfId="99" applyNumberFormat="1" applyAlignment="1" applyProtection="1"/>
    <xf numFmtId="178" fontId="0" fillId="0" borderId="0" xfId="0" applyNumberFormat="1" applyAlignment="1" applyProtection="1"/>
    <xf numFmtId="179" fontId="11" fillId="0" borderId="0" xfId="99" applyNumberFormat="1" applyFont="1" applyFill="1" applyAlignment="1" applyProtection="1">
      <alignment horizontal="right" vertical="top"/>
      <protection locked="0"/>
    </xf>
    <xf numFmtId="178" fontId="11" fillId="0" borderId="0" xfId="99" applyNumberFormat="1" applyFont="1" applyFill="1" applyAlignment="1" applyProtection="1">
      <alignment horizontal="left" vertical="top" wrapText="1"/>
      <protection locked="0"/>
    </xf>
    <xf numFmtId="178" fontId="122" fillId="67" borderId="159" xfId="0" applyNumberFormat="1" applyFont="1" applyFill="1" applyBorder="1" applyAlignment="1" applyProtection="1">
      <alignment vertical="top"/>
      <protection locked="0"/>
    </xf>
    <xf numFmtId="178" fontId="122" fillId="67" borderId="164" xfId="0" applyNumberFormat="1" applyFont="1" applyFill="1" applyBorder="1" applyAlignment="1" applyProtection="1">
      <alignment vertical="top"/>
      <protection locked="0"/>
    </xf>
    <xf numFmtId="178" fontId="11" fillId="0" borderId="0" xfId="99" applyNumberFormat="1" applyFont="1" applyFill="1" applyAlignment="1" applyProtection="1">
      <alignment horizontal="right" vertical="top"/>
      <protection locked="0"/>
    </xf>
    <xf numFmtId="178" fontId="11" fillId="0" borderId="0" xfId="0" applyNumberFormat="1" applyFont="1" applyProtection="1">
      <protection locked="0"/>
    </xf>
    <xf numFmtId="178" fontId="11" fillId="0" borderId="0" xfId="99" applyNumberFormat="1" applyFont="1" applyFill="1" applyAlignment="1" applyProtection="1">
      <alignment horizontal="left" vertical="top" wrapText="1" indent="5"/>
      <protection locked="0"/>
    </xf>
    <xf numFmtId="178" fontId="11" fillId="0" borderId="0" xfId="99" applyNumberFormat="1" applyFont="1" applyFill="1" applyAlignment="1" applyProtection="1">
      <alignment horizontal="left" vertical="top" wrapText="1" indent="2"/>
      <protection locked="0"/>
    </xf>
    <xf numFmtId="178" fontId="11" fillId="0" borderId="0" xfId="0" applyNumberFormat="1" applyFont="1" applyProtection="1"/>
    <xf numFmtId="0" fontId="103" fillId="28" borderId="0" xfId="0" applyFont="1" applyFill="1" applyAlignment="1" applyProtection="1">
      <alignment horizontal="center"/>
    </xf>
    <xf numFmtId="0" fontId="9" fillId="0" borderId="10" xfId="0" applyFont="1" applyBorder="1" applyAlignment="1">
      <alignment horizontal="left"/>
    </xf>
    <xf numFmtId="0" fontId="12" fillId="80" borderId="10" xfId="0" applyFont="1" applyFill="1" applyBorder="1"/>
    <xf numFmtId="0" fontId="0" fillId="66" borderId="10" xfId="0" applyFill="1" applyBorder="1"/>
    <xf numFmtId="0" fontId="12" fillId="66" borderId="10" xfId="0" applyFont="1" applyFill="1" applyBorder="1" applyAlignment="1">
      <alignment horizontal="center" vertical="center"/>
    </xf>
    <xf numFmtId="0" fontId="92" fillId="66" borderId="17" xfId="0" applyFont="1" applyFill="1" applyBorder="1" applyAlignment="1">
      <alignment horizontal="center" vertical="center" wrapText="1"/>
    </xf>
    <xf numFmtId="0" fontId="92" fillId="66" borderId="180" xfId="0" applyFont="1" applyFill="1" applyBorder="1" applyAlignment="1">
      <alignment horizontal="center" vertical="center" wrapText="1"/>
    </xf>
    <xf numFmtId="0" fontId="92" fillId="66" borderId="181" xfId="0" applyFont="1" applyFill="1" applyBorder="1" applyAlignment="1">
      <alignment horizontal="center" vertical="center" wrapText="1"/>
    </xf>
    <xf numFmtId="1" fontId="0" fillId="29" borderId="10" xfId="0" applyNumberFormat="1" applyFill="1" applyBorder="1" applyAlignment="1">
      <alignment horizontal="center" vertical="center"/>
    </xf>
    <xf numFmtId="0" fontId="0" fillId="29" borderId="10" xfId="0" applyFill="1" applyBorder="1" applyAlignment="1">
      <alignment horizontal="left" vertical="center"/>
    </xf>
    <xf numFmtId="0" fontId="0" fillId="29" borderId="10" xfId="0" applyFill="1" applyBorder="1" applyAlignment="1">
      <alignment horizontal="center" vertical="center"/>
    </xf>
    <xf numFmtId="0" fontId="12" fillId="66" borderId="17" xfId="0" applyFont="1" applyFill="1" applyBorder="1"/>
    <xf numFmtId="0" fontId="0" fillId="80" borderId="10" xfId="0" applyFill="1" applyBorder="1" applyAlignment="1">
      <alignment horizontal="center" vertical="center"/>
    </xf>
    <xf numFmtId="0" fontId="0" fillId="80" borderId="33" xfId="0" applyFill="1" applyBorder="1"/>
    <xf numFmtId="0" fontId="0" fillId="0" borderId="10" xfId="0" applyFill="1" applyBorder="1" applyAlignment="1">
      <alignment horizontal="center" vertical="center"/>
    </xf>
    <xf numFmtId="0" fontId="0" fillId="80" borderId="33" xfId="0" applyFill="1" applyBorder="1" applyAlignment="1">
      <alignment horizontal="center" vertical="center"/>
    </xf>
    <xf numFmtId="0" fontId="12" fillId="66" borderId="17" xfId="0" applyFont="1" applyFill="1" applyBorder="1" applyAlignment="1">
      <alignment horizontal="center" vertical="center"/>
    </xf>
    <xf numFmtId="0" fontId="12" fillId="66" borderId="110" xfId="0" applyFont="1" applyFill="1" applyBorder="1"/>
    <xf numFmtId="0" fontId="0" fillId="0" borderId="63"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0" fontId="82" fillId="80" borderId="33" xfId="0" applyFont="1" applyFill="1" applyBorder="1" applyAlignment="1">
      <alignment horizontal="center" vertical="center"/>
    </xf>
    <xf numFmtId="0" fontId="0" fillId="0" borderId="17" xfId="0" applyBorder="1" applyAlignment="1">
      <alignment horizontal="center" vertical="center"/>
    </xf>
    <xf numFmtId="0" fontId="0" fillId="0" borderId="70" xfId="0" applyBorder="1" applyAlignment="1">
      <alignment horizontal="center" vertical="center"/>
    </xf>
    <xf numFmtId="0" fontId="0" fillId="0" borderId="26" xfId="0" applyFill="1" applyBorder="1" applyAlignment="1">
      <alignment horizontal="center" vertical="center"/>
    </xf>
    <xf numFmtId="0" fontId="12" fillId="0" borderId="20" xfId="0" applyFont="1" applyBorder="1" applyAlignment="1">
      <alignment horizontal="center" vertical="center"/>
    </xf>
    <xf numFmtId="0" fontId="0" fillId="0" borderId="21" xfId="0" applyBorder="1" applyAlignment="1">
      <alignment horizontal="center" vertical="center"/>
    </xf>
    <xf numFmtId="0" fontId="0" fillId="0" borderId="21" xfId="0" applyFill="1" applyBorder="1" applyAlignment="1">
      <alignment horizontal="center" vertical="center"/>
    </xf>
    <xf numFmtId="0" fontId="0" fillId="0" borderId="68" xfId="0" applyBorder="1" applyAlignment="1">
      <alignment horizontal="center" vertical="center"/>
    </xf>
    <xf numFmtId="0" fontId="16" fillId="0" borderId="0" xfId="46" applyFont="1" applyAlignment="1">
      <alignment vertical="center" wrapText="1"/>
    </xf>
    <xf numFmtId="0" fontId="16" fillId="0" borderId="0" xfId="46" applyFont="1" applyAlignment="1">
      <alignment vertical="center"/>
    </xf>
    <xf numFmtId="0" fontId="82" fillId="0" borderId="0" xfId="0" applyFont="1" applyBorder="1" applyAlignment="1">
      <alignment horizontal="center" vertical="center"/>
    </xf>
    <xf numFmtId="0" fontId="16" fillId="0" borderId="0" xfId="0" applyFont="1" applyBorder="1" applyAlignment="1">
      <alignment horizontal="center" vertical="center" wrapText="1"/>
    </xf>
    <xf numFmtId="164" fontId="9" fillId="0" borderId="29" xfId="0" applyNumberFormat="1" applyFont="1" applyFill="1" applyBorder="1" applyAlignment="1">
      <alignment horizontal="center" vertical="center" wrapText="1"/>
    </xf>
    <xf numFmtId="164" fontId="9" fillId="0" borderId="182" xfId="0" applyNumberFormat="1" applyFont="1" applyFill="1" applyBorder="1" applyAlignment="1">
      <alignment horizontal="center" vertical="center" wrapText="1"/>
    </xf>
    <xf numFmtId="0" fontId="9" fillId="0" borderId="55" xfId="46" applyBorder="1" applyAlignment="1">
      <alignment wrapText="1"/>
    </xf>
    <xf numFmtId="0" fontId="9" fillId="0" borderId="13" xfId="46" applyBorder="1" applyAlignment="1">
      <alignment wrapText="1"/>
    </xf>
    <xf numFmtId="0" fontId="9" fillId="0" borderId="52" xfId="46" applyBorder="1" applyAlignment="1">
      <alignment wrapText="1"/>
    </xf>
    <xf numFmtId="0" fontId="12" fillId="67" borderId="96" xfId="0" applyFont="1" applyFill="1" applyBorder="1" applyAlignment="1">
      <alignment horizontal="center" vertical="center" wrapText="1"/>
    </xf>
    <xf numFmtId="0" fontId="12" fillId="67" borderId="76" xfId="46" applyFont="1" applyFill="1" applyBorder="1" applyAlignment="1">
      <alignment horizontal="center"/>
    </xf>
    <xf numFmtId="0" fontId="12" fillId="67" borderId="69" xfId="46" applyFont="1" applyFill="1" applyBorder="1" applyAlignment="1">
      <alignment horizontal="center"/>
    </xf>
    <xf numFmtId="0" fontId="12" fillId="67" borderId="65" xfId="46" applyFont="1" applyFill="1" applyBorder="1" applyAlignment="1">
      <alignment horizontal="center"/>
    </xf>
    <xf numFmtId="15" fontId="12" fillId="67" borderId="65" xfId="46" applyNumberFormat="1" applyFont="1" applyFill="1" applyBorder="1" applyAlignment="1">
      <alignment horizontal="center"/>
    </xf>
    <xf numFmtId="0" fontId="133" fillId="0" borderId="0" xfId="36" applyFont="1" applyAlignment="1" applyProtection="1"/>
    <xf numFmtId="9" fontId="0" fillId="0" borderId="10" xfId="42" applyFont="1" applyBorder="1" applyAlignment="1">
      <alignment horizontal="center" vertical="center"/>
    </xf>
    <xf numFmtId="178" fontId="120" fillId="0" borderId="0" xfId="0" applyNumberFormat="1" applyFont="1" applyAlignment="1" applyProtection="1">
      <alignment vertical="center" wrapText="1"/>
      <protection locked="0"/>
    </xf>
    <xf numFmtId="178" fontId="9" fillId="67" borderId="0" xfId="0" applyNumberFormat="1" applyFont="1" applyFill="1" applyBorder="1" applyAlignment="1" applyProtection="1">
      <alignment horizontal="left"/>
      <protection locked="0"/>
    </xf>
    <xf numFmtId="178" fontId="4" fillId="0" borderId="0" xfId="101" applyNumberFormat="1" applyFill="1"/>
    <xf numFmtId="0" fontId="130" fillId="0" borderId="0" xfId="36" applyFont="1" applyAlignment="1" applyProtection="1"/>
    <xf numFmtId="0" fontId="134" fillId="0" borderId="0" xfId="36" applyFont="1" applyAlignment="1" applyProtection="1"/>
    <xf numFmtId="0" fontId="12" fillId="67" borderId="0" xfId="0" applyFont="1" applyFill="1" applyBorder="1" applyAlignment="1">
      <alignment horizontal="center"/>
    </xf>
    <xf numFmtId="166" fontId="9" fillId="67" borderId="0" xfId="28" applyNumberFormat="1" applyFont="1" applyFill="1" applyBorder="1" applyAlignment="1" applyProtection="1">
      <alignment horizontal="center"/>
    </xf>
    <xf numFmtId="0" fontId="9" fillId="67" borderId="0" xfId="0" applyFont="1" applyFill="1" applyBorder="1"/>
    <xf numFmtId="165" fontId="12" fillId="0" borderId="0" xfId="29" applyNumberFormat="1" applyFont="1"/>
    <xf numFmtId="165" fontId="12" fillId="0" borderId="0" xfId="0" applyNumberFormat="1" applyFont="1" applyFill="1" applyBorder="1"/>
    <xf numFmtId="0" fontId="0" fillId="0" borderId="54" xfId="0" applyBorder="1"/>
    <xf numFmtId="0" fontId="0" fillId="0" borderId="16" xfId="0" applyBorder="1"/>
    <xf numFmtId="0" fontId="52" fillId="0" borderId="0" xfId="0" applyFont="1" applyBorder="1" applyAlignment="1">
      <alignment horizontal="left"/>
    </xf>
    <xf numFmtId="9" fontId="9" fillId="0" borderId="0" xfId="28" applyNumberFormat="1" applyFont="1" applyFill="1" applyBorder="1" applyAlignment="1" applyProtection="1">
      <alignment horizontal="left" vertical="top"/>
    </xf>
    <xf numFmtId="0" fontId="9" fillId="0" borderId="0" xfId="0" applyFont="1" applyFill="1" applyBorder="1" applyAlignment="1"/>
    <xf numFmtId="0" fontId="0" fillId="0" borderId="0" xfId="0" applyFill="1" applyBorder="1" applyAlignment="1"/>
    <xf numFmtId="0" fontId="11" fillId="0" borderId="0" xfId="46" applyFont="1" applyAlignment="1">
      <alignment horizontal="right" vertical="top"/>
    </xf>
    <xf numFmtId="0" fontId="9" fillId="67" borderId="0" xfId="46" applyFill="1"/>
    <xf numFmtId="0" fontId="53" fillId="0" borderId="0" xfId="0" applyFont="1"/>
    <xf numFmtId="10" fontId="9" fillId="0" borderId="0" xfId="42" applyNumberFormat="1" applyFont="1" applyFill="1" applyAlignment="1" applyProtection="1">
      <alignment horizontal="center"/>
    </xf>
    <xf numFmtId="0" fontId="0" fillId="0" borderId="20" xfId="0" applyBorder="1"/>
    <xf numFmtId="0" fontId="12" fillId="67" borderId="21" xfId="0" applyFont="1" applyFill="1" applyBorder="1" applyAlignment="1">
      <alignment horizontal="center" vertical="center" wrapText="1"/>
    </xf>
    <xf numFmtId="0" fontId="10" fillId="29" borderId="98" xfId="36" applyNumberFormat="1" applyFill="1" applyBorder="1" applyAlignment="1" applyProtection="1">
      <alignment vertical="center"/>
      <protection locked="0"/>
    </xf>
    <xf numFmtId="0" fontId="9" fillId="29" borderId="27" xfId="0" applyFont="1" applyFill="1" applyBorder="1"/>
    <xf numFmtId="49" fontId="60" fillId="0" borderId="0" xfId="42" applyNumberFormat="1" applyFont="1" applyFill="1" applyBorder="1" applyAlignment="1">
      <alignment vertical="center"/>
    </xf>
    <xf numFmtId="49" fontId="0" fillId="0" borderId="0" xfId="0" applyNumberFormat="1" applyAlignment="1">
      <alignment vertical="center"/>
    </xf>
    <xf numFmtId="165" fontId="9" fillId="29" borderId="10" xfId="29" applyNumberFormat="1" applyFont="1" applyFill="1" applyBorder="1"/>
    <xf numFmtId="3" fontId="52" fillId="29" borderId="10" xfId="47" applyNumberFormat="1" applyFont="1" applyFill="1" applyBorder="1"/>
    <xf numFmtId="0" fontId="12" fillId="0" borderId="24" xfId="0" applyFont="1" applyFill="1" applyBorder="1" applyAlignment="1">
      <alignment horizontal="center"/>
    </xf>
    <xf numFmtId="0" fontId="12" fillId="25" borderId="24" xfId="0" applyFont="1" applyFill="1" applyBorder="1" applyAlignment="1">
      <alignment horizontal="center"/>
    </xf>
    <xf numFmtId="0" fontId="12" fillId="0" borderId="24" xfId="0" applyFont="1" applyFill="1" applyBorder="1" applyAlignment="1">
      <alignment horizontal="center"/>
    </xf>
    <xf numFmtId="0" fontId="12" fillId="29" borderId="27" xfId="0" applyFont="1" applyFill="1" applyBorder="1" applyAlignment="1">
      <alignment horizontal="center"/>
    </xf>
    <xf numFmtId="165" fontId="0" fillId="29" borderId="10" xfId="0" applyNumberFormat="1" applyFill="1" applyBorder="1"/>
    <xf numFmtId="0" fontId="12" fillId="0" borderId="69" xfId="0" applyFont="1" applyFill="1" applyBorder="1" applyAlignment="1">
      <alignment horizontal="center"/>
    </xf>
    <xf numFmtId="0" fontId="0" fillId="29" borderId="93" xfId="0" applyFill="1" applyBorder="1"/>
    <xf numFmtId="165" fontId="0" fillId="0" borderId="0" xfId="0" applyNumberFormat="1"/>
    <xf numFmtId="0" fontId="9" fillId="29" borderId="93" xfId="0" applyFont="1" applyFill="1" applyBorder="1"/>
    <xf numFmtId="0" fontId="12" fillId="67" borderId="24" xfId="0" applyFont="1" applyFill="1" applyBorder="1" applyAlignment="1">
      <alignment horizontal="center" vertical="center" wrapText="1"/>
    </xf>
    <xf numFmtId="44" fontId="12" fillId="0" borderId="10" xfId="29" applyNumberFormat="1" applyFont="1" applyBorder="1"/>
    <xf numFmtId="44" fontId="12" fillId="0" borderId="25" xfId="0" applyNumberFormat="1" applyFont="1" applyBorder="1"/>
    <xf numFmtId="164" fontId="0" fillId="0" borderId="0" xfId="42" applyNumberFormat="1" applyFont="1"/>
    <xf numFmtId="0" fontId="14" fillId="0" borderId="150" xfId="0" applyFont="1" applyFill="1" applyBorder="1" applyAlignment="1">
      <alignment horizontal="right" vertical="center" wrapText="1" indent="1"/>
    </xf>
    <xf numFmtId="166" fontId="9" fillId="0" borderId="0" xfId="28" applyNumberFormat="1" applyFont="1"/>
    <xf numFmtId="0" fontId="9" fillId="29" borderId="10" xfId="0" applyFont="1" applyFill="1" applyBorder="1" applyAlignment="1">
      <alignment horizontal="left" vertical="center"/>
    </xf>
    <xf numFmtId="1" fontId="9" fillId="29" borderId="10" xfId="0" applyNumberFormat="1" applyFont="1" applyFill="1" applyBorder="1" applyAlignment="1">
      <alignment horizontal="center" vertical="center"/>
    </xf>
    <xf numFmtId="165" fontId="0" fillId="29" borderId="25" xfId="0" applyNumberFormat="1" applyFill="1" applyBorder="1"/>
    <xf numFmtId="0" fontId="3" fillId="0" borderId="0" xfId="93" applyFont="1"/>
    <xf numFmtId="14" fontId="11" fillId="29" borderId="0" xfId="0" applyNumberFormat="1" applyFont="1" applyFill="1" applyAlignment="1">
      <alignment horizontal="right" vertical="top"/>
    </xf>
    <xf numFmtId="14" fontId="11" fillId="29" borderId="0" xfId="46" applyNumberFormat="1" applyFont="1" applyFill="1" applyAlignment="1">
      <alignment horizontal="right" vertical="top"/>
    </xf>
    <xf numFmtId="3" fontId="0" fillId="0" borderId="0" xfId="0" applyNumberFormat="1"/>
    <xf numFmtId="43" fontId="9" fillId="29" borderId="10" xfId="28" applyNumberFormat="1" applyFill="1" applyBorder="1"/>
    <xf numFmtId="43" fontId="9" fillId="0" borderId="10" xfId="28" applyNumberFormat="1" applyBorder="1"/>
    <xf numFmtId="43" fontId="12" fillId="29" borderId="25" xfId="0" applyNumberFormat="1" applyFont="1" applyFill="1" applyBorder="1"/>
    <xf numFmtId="3" fontId="0" fillId="0" borderId="0" xfId="0" applyNumberFormat="1" applyAlignment="1">
      <alignment vertical="center" wrapText="1"/>
    </xf>
    <xf numFmtId="0" fontId="60" fillId="0" borderId="38" xfId="46" applyFont="1" applyBorder="1" applyAlignment="1">
      <alignment vertical="center" wrapText="1"/>
    </xf>
    <xf numFmtId="3" fontId="60" fillId="63" borderId="34" xfId="28" applyNumberFormat="1" applyFont="1" applyFill="1" applyBorder="1" applyAlignment="1">
      <alignment vertical="center" wrapText="1"/>
    </xf>
    <xf numFmtId="164" fontId="60" fillId="63" borderId="34" xfId="42" applyNumberFormat="1" applyFont="1" applyFill="1" applyBorder="1" applyAlignment="1">
      <alignment vertical="center" wrapText="1"/>
    </xf>
    <xf numFmtId="164" fontId="60" fillId="0" borderId="34" xfId="42" applyNumberFormat="1" applyFont="1" applyBorder="1" applyAlignment="1">
      <alignment vertical="center" wrapText="1"/>
    </xf>
    <xf numFmtId="164" fontId="60" fillId="0" borderId="35" xfId="42" applyNumberFormat="1" applyFont="1" applyBorder="1" applyAlignment="1">
      <alignment vertical="center" wrapText="1"/>
    </xf>
    <xf numFmtId="0" fontId="61" fillId="0" borderId="28" xfId="46" applyFont="1" applyBorder="1" applyAlignment="1">
      <alignment vertical="center" wrapText="1"/>
    </xf>
    <xf numFmtId="165" fontId="61" fillId="0" borderId="26" xfId="29" applyNumberFormat="1" applyFont="1" applyBorder="1" applyAlignment="1">
      <alignment vertical="center" wrapText="1"/>
    </xf>
    <xf numFmtId="165" fontId="61" fillId="0" borderId="64" xfId="29" applyNumberFormat="1" applyFont="1" applyBorder="1" applyAlignment="1">
      <alignment vertical="center" wrapText="1"/>
    </xf>
    <xf numFmtId="43" fontId="76" fillId="29" borderId="0" xfId="28" applyFont="1" applyFill="1" applyBorder="1" applyAlignment="1">
      <alignment vertical="top"/>
    </xf>
    <xf numFmtId="43" fontId="76" fillId="29" borderId="131" xfId="93" applyNumberFormat="1" applyFont="1" applyFill="1" applyBorder="1" applyAlignment="1">
      <alignment vertical="top"/>
    </xf>
    <xf numFmtId="43" fontId="76" fillId="29" borderId="125" xfId="93" applyNumberFormat="1" applyFont="1" applyFill="1" applyBorder="1" applyAlignment="1">
      <alignment vertical="top"/>
    </xf>
    <xf numFmtId="43" fontId="2" fillId="0" borderId="30" xfId="28" applyFont="1" applyFill="1" applyBorder="1"/>
    <xf numFmtId="43" fontId="0" fillId="0" borderId="0" xfId="28" applyFont="1"/>
    <xf numFmtId="166" fontId="0" fillId="0" borderId="0" xfId="28" applyNumberFormat="1" applyFont="1"/>
    <xf numFmtId="43" fontId="0" fillId="0" borderId="0" xfId="0" applyNumberFormat="1"/>
    <xf numFmtId="164" fontId="60" fillId="0" borderId="0" xfId="42" applyNumberFormat="1" applyFont="1" applyFill="1" applyBorder="1" applyAlignment="1">
      <alignment vertical="center" wrapText="1"/>
    </xf>
    <xf numFmtId="0" fontId="9" fillId="0" borderId="0" xfId="0" applyFont="1" applyFill="1" applyBorder="1" applyAlignment="1">
      <alignment vertical="center" wrapText="1"/>
    </xf>
    <xf numFmtId="165" fontId="0" fillId="0" borderId="0" xfId="0" applyNumberFormat="1" applyAlignment="1">
      <alignment vertical="center" wrapText="1"/>
    </xf>
    <xf numFmtId="164" fontId="0" fillId="0" borderId="0" xfId="42" applyNumberFormat="1" applyFont="1" applyAlignment="1">
      <alignment vertical="center" wrapText="1"/>
    </xf>
    <xf numFmtId="0" fontId="12" fillId="0" borderId="32" xfId="0" applyFont="1" applyFill="1" applyBorder="1"/>
    <xf numFmtId="0" fontId="12" fillId="29" borderId="27" xfId="0" applyFont="1" applyFill="1" applyBorder="1"/>
    <xf numFmtId="3" fontId="0" fillId="0" borderId="25" xfId="29" applyNumberFormat="1" applyFont="1" applyFill="1" applyBorder="1"/>
    <xf numFmtId="3" fontId="0" fillId="67" borderId="25" xfId="29" applyNumberFormat="1" applyFont="1" applyFill="1" applyBorder="1"/>
    <xf numFmtId="0" fontId="12" fillId="0" borderId="27" xfId="0" applyFont="1" applyFill="1" applyBorder="1"/>
    <xf numFmtId="0" fontId="12" fillId="29" borderId="27" xfId="0" applyFont="1" applyFill="1" applyBorder="1" applyAlignment="1">
      <alignment wrapText="1"/>
    </xf>
    <xf numFmtId="3" fontId="0" fillId="67" borderId="70" xfId="29" applyNumberFormat="1" applyFont="1" applyFill="1" applyBorder="1"/>
    <xf numFmtId="3" fontId="12" fillId="0" borderId="88" xfId="0" applyNumberFormat="1" applyFont="1" applyFill="1" applyBorder="1"/>
    <xf numFmtId="3" fontId="12" fillId="0" borderId="61" xfId="0" applyNumberFormat="1" applyFont="1" applyFill="1" applyBorder="1"/>
    <xf numFmtId="43" fontId="12" fillId="0" borderId="0" xfId="28" applyFont="1"/>
    <xf numFmtId="3" fontId="12" fillId="0" borderId="0" xfId="0" applyNumberFormat="1" applyFont="1"/>
    <xf numFmtId="0" fontId="9" fillId="29" borderId="10" xfId="0" applyFont="1" applyFill="1" applyBorder="1"/>
    <xf numFmtId="165" fontId="9" fillId="29" borderId="77" xfId="29" applyNumberFormat="1" applyFont="1" applyFill="1" applyBorder="1"/>
    <xf numFmtId="41" fontId="9" fillId="0" borderId="183" xfId="0" applyNumberFormat="1" applyFont="1" applyFill="1" applyBorder="1" applyAlignment="1">
      <alignment horizontal="center" vertical="center" wrapText="1"/>
    </xf>
    <xf numFmtId="0" fontId="14" fillId="0" borderId="184" xfId="0" applyFont="1" applyFill="1" applyBorder="1" applyAlignment="1">
      <alignment horizontal="right" vertical="center" wrapText="1" indent="1"/>
    </xf>
    <xf numFmtId="41" fontId="9" fillId="29" borderId="22" xfId="0" applyNumberFormat="1" applyFont="1" applyFill="1" applyBorder="1" applyAlignment="1">
      <alignment horizontal="center" vertical="center" wrapText="1"/>
    </xf>
    <xf numFmtId="164" fontId="9" fillId="0" borderId="22" xfId="0" applyNumberFormat="1" applyFont="1" applyFill="1" applyBorder="1" applyAlignment="1">
      <alignment horizontal="center" vertical="center" wrapText="1"/>
    </xf>
    <xf numFmtId="41" fontId="9" fillId="29" borderId="152" xfId="0" applyNumberFormat="1" applyFont="1" applyFill="1" applyBorder="1" applyAlignment="1">
      <alignment horizontal="center" vertical="center" wrapText="1"/>
    </xf>
    <xf numFmtId="0" fontId="0" fillId="0" borderId="0" xfId="0" applyAlignment="1">
      <alignment horizontal="left"/>
    </xf>
    <xf numFmtId="0" fontId="0" fillId="0" borderId="16" xfId="0" applyBorder="1" applyAlignment="1">
      <alignment horizontal="left"/>
    </xf>
    <xf numFmtId="0" fontId="12" fillId="0" borderId="39" xfId="0" applyFont="1" applyBorder="1" applyAlignment="1">
      <alignment horizontal="left"/>
    </xf>
    <xf numFmtId="0" fontId="0" fillId="0" borderId="33" xfId="0" applyBorder="1" applyAlignment="1">
      <alignment horizontal="left"/>
    </xf>
    <xf numFmtId="0" fontId="0" fillId="0" borderId="15" xfId="0" applyBorder="1" applyAlignment="1">
      <alignment horizontal="left"/>
    </xf>
    <xf numFmtId="0" fontId="0" fillId="29" borderId="33" xfId="0" applyFill="1" applyBorder="1" applyAlignment="1">
      <alignment horizontal="left"/>
    </xf>
    <xf numFmtId="0" fontId="0" fillId="29" borderId="89" xfId="0" applyFill="1" applyBorder="1" applyAlignment="1">
      <alignment horizontal="left"/>
    </xf>
    <xf numFmtId="0" fontId="12" fillId="0" borderId="24" xfId="0" applyFont="1" applyFill="1" applyBorder="1" applyAlignment="1">
      <alignment horizontal="center"/>
    </xf>
    <xf numFmtId="0" fontId="12" fillId="0" borderId="15" xfId="0" applyFont="1" applyBorder="1" applyAlignment="1">
      <alignment horizontal="left"/>
    </xf>
    <xf numFmtId="41" fontId="0" fillId="0" borderId="0" xfId="0" applyNumberFormat="1"/>
    <xf numFmtId="166" fontId="0" fillId="29" borderId="10" xfId="28" applyNumberFormat="1" applyFont="1" applyFill="1" applyBorder="1" applyAlignment="1">
      <alignment vertical="top"/>
    </xf>
    <xf numFmtId="166" fontId="0" fillId="0" borderId="25" xfId="28" applyNumberFormat="1" applyFont="1" applyBorder="1" applyAlignment="1">
      <alignment vertical="top"/>
    </xf>
    <xf numFmtId="166" fontId="0" fillId="0" borderId="10" xfId="28" applyNumberFormat="1" applyFont="1" applyFill="1" applyBorder="1" applyAlignment="1">
      <alignment vertical="top"/>
    </xf>
    <xf numFmtId="166" fontId="0" fillId="0" borderId="25" xfId="28" applyNumberFormat="1" applyFont="1" applyFill="1" applyBorder="1" applyAlignment="1">
      <alignment vertical="top"/>
    </xf>
    <xf numFmtId="197" fontId="0" fillId="0" borderId="10" xfId="28" applyNumberFormat="1" applyFont="1" applyFill="1" applyBorder="1" applyAlignment="1">
      <alignment vertical="top"/>
    </xf>
    <xf numFmtId="197" fontId="0" fillId="0" borderId="25" xfId="28" applyNumberFormat="1" applyFont="1" applyFill="1" applyBorder="1" applyAlignment="1">
      <alignment vertical="top"/>
    </xf>
    <xf numFmtId="189" fontId="0" fillId="0" borderId="26" xfId="0" applyNumberFormat="1" applyBorder="1" applyAlignment="1">
      <alignment vertical="top"/>
    </xf>
    <xf numFmtId="189" fontId="0" fillId="0" borderId="64" xfId="0" applyNumberFormat="1" applyBorder="1" applyAlignment="1">
      <alignment vertical="top"/>
    </xf>
    <xf numFmtId="197" fontId="0" fillId="29" borderId="10" xfId="28" applyNumberFormat="1" applyFont="1" applyFill="1" applyBorder="1" applyAlignment="1">
      <alignment vertical="top"/>
    </xf>
    <xf numFmtId="197" fontId="0" fillId="0" borderId="25" xfId="28" applyNumberFormat="1" applyFont="1" applyBorder="1" applyAlignment="1">
      <alignment vertical="top"/>
    </xf>
    <xf numFmtId="0" fontId="16" fillId="0" borderId="0" xfId="0" applyFont="1" applyAlignment="1">
      <alignment horizontal="center"/>
    </xf>
    <xf numFmtId="165" fontId="0" fillId="29" borderId="78" xfId="29" applyNumberFormat="1" applyFont="1" applyFill="1" applyBorder="1" applyAlignment="1">
      <alignment horizontal="right" vertical="center"/>
    </xf>
    <xf numFmtId="165" fontId="0" fillId="29" borderId="27" xfId="29" applyNumberFormat="1" applyFont="1" applyFill="1" applyBorder="1" applyAlignment="1">
      <alignment horizontal="right" vertical="center"/>
    </xf>
    <xf numFmtId="165" fontId="0" fillId="29" borderId="28" xfId="29" applyNumberFormat="1" applyFont="1" applyFill="1" applyBorder="1" applyAlignment="1">
      <alignment horizontal="right" vertical="center"/>
    </xf>
    <xf numFmtId="44" fontId="0" fillId="0" borderId="0" xfId="0" applyNumberFormat="1"/>
    <xf numFmtId="44" fontId="12" fillId="0" borderId="41" xfId="0" applyNumberFormat="1" applyFont="1" applyBorder="1"/>
    <xf numFmtId="165" fontId="12" fillId="0" borderId="41" xfId="0" applyNumberFormat="1" applyFont="1" applyBorder="1"/>
    <xf numFmtId="165" fontId="12" fillId="0" borderId="31" xfId="0" applyNumberFormat="1" applyFont="1" applyBorder="1"/>
    <xf numFmtId="165" fontId="9" fillId="0" borderId="0" xfId="46" applyNumberFormat="1"/>
    <xf numFmtId="0" fontId="0" fillId="0" borderId="24" xfId="0" applyBorder="1" applyAlignment="1">
      <alignment horizontal="center" vertical="center"/>
    </xf>
    <xf numFmtId="0" fontId="82" fillId="0" borderId="0" xfId="46" applyFont="1" applyAlignment="1" applyProtection="1">
      <alignment horizontal="center" vertical="center"/>
    </xf>
    <xf numFmtId="0" fontId="12" fillId="0" borderId="12" xfId="46" applyFont="1" applyBorder="1" applyAlignment="1" applyProtection="1">
      <alignment horizontal="center" vertical="center"/>
    </xf>
    <xf numFmtId="165" fontId="9" fillId="0" borderId="0" xfId="46" applyNumberFormat="1" applyFont="1"/>
    <xf numFmtId="166" fontId="9" fillId="0" borderId="0" xfId="28" applyNumberFormat="1"/>
    <xf numFmtId="166" fontId="9" fillId="0" borderId="0" xfId="46" applyNumberFormat="1"/>
    <xf numFmtId="198" fontId="9" fillId="0" borderId="0" xfId="29" applyNumberFormat="1" applyFont="1" applyBorder="1" applyProtection="1"/>
    <xf numFmtId="198" fontId="9" fillId="0" borderId="12" xfId="29" applyNumberFormat="1" applyFont="1" applyBorder="1" applyProtection="1"/>
    <xf numFmtId="198" fontId="9" fillId="0" borderId="14" xfId="29" applyNumberFormat="1" applyFont="1" applyBorder="1" applyProtection="1"/>
    <xf numFmtId="198" fontId="9" fillId="0" borderId="0" xfId="46" applyNumberFormat="1" applyBorder="1" applyProtection="1"/>
    <xf numFmtId="198" fontId="9" fillId="0" borderId="0" xfId="29" applyNumberFormat="1" applyFont="1" applyBorder="1" applyAlignment="1" applyProtection="1"/>
    <xf numFmtId="198" fontId="9" fillId="0" borderId="12" xfId="29" applyNumberFormat="1" applyFont="1" applyBorder="1" applyAlignment="1" applyProtection="1"/>
    <xf numFmtId="198" fontId="9" fillId="29" borderId="125" xfId="29" applyNumberFormat="1" applyFont="1" applyFill="1" applyBorder="1" applyProtection="1"/>
    <xf numFmtId="164" fontId="0" fillId="29" borderId="10" xfId="42" applyNumberFormat="1" applyFont="1" applyFill="1" applyBorder="1"/>
    <xf numFmtId="164" fontId="0" fillId="0" borderId="17" xfId="42" applyNumberFormat="1" applyFont="1" applyBorder="1"/>
    <xf numFmtId="10" fontId="0" fillId="0" borderId="58" xfId="42" applyNumberFormat="1" applyFont="1" applyBorder="1"/>
    <xf numFmtId="165" fontId="0" fillId="0" borderId="0" xfId="29" applyNumberFormat="1" applyFont="1" applyBorder="1"/>
    <xf numFmtId="44" fontId="0" fillId="0" borderId="0" xfId="0" applyNumberFormat="1" applyBorder="1"/>
    <xf numFmtId="0" fontId="0" fillId="67" borderId="0" xfId="0" applyFill="1" applyProtection="1"/>
    <xf numFmtId="0" fontId="9" fillId="67" borderId="0" xfId="0" applyFont="1" applyFill="1" applyProtection="1"/>
    <xf numFmtId="0" fontId="12" fillId="67" borderId="0" xfId="0" applyFont="1" applyFill="1" applyAlignment="1" applyProtection="1"/>
    <xf numFmtId="0" fontId="12" fillId="67" borderId="0" xfId="0" applyFont="1" applyFill="1" applyAlignment="1" applyProtection="1">
      <alignment horizontal="center"/>
    </xf>
    <xf numFmtId="0" fontId="12" fillId="67" borderId="17" xfId="0" applyFont="1" applyFill="1" applyBorder="1" applyAlignment="1" applyProtection="1">
      <alignment horizontal="center"/>
    </xf>
    <xf numFmtId="0" fontId="12" fillId="67" borderId="15" xfId="0" applyFont="1" applyFill="1" applyBorder="1" applyAlignment="1" applyProtection="1">
      <alignment horizontal="center"/>
    </xf>
    <xf numFmtId="0" fontId="12" fillId="67" borderId="18" xfId="0" applyFont="1" applyFill="1" applyBorder="1" applyAlignment="1" applyProtection="1">
      <alignment horizontal="center"/>
    </xf>
    <xf numFmtId="0" fontId="12" fillId="67" borderId="19" xfId="0" quotePrefix="1" applyFont="1" applyFill="1" applyBorder="1" applyAlignment="1" applyProtection="1">
      <alignment horizontal="center"/>
    </xf>
    <xf numFmtId="0" fontId="12" fillId="67" borderId="16" xfId="0" quotePrefix="1" applyFont="1" applyFill="1" applyBorder="1" applyAlignment="1" applyProtection="1">
      <alignment horizontal="center"/>
    </xf>
    <xf numFmtId="0" fontId="0" fillId="67" borderId="0" xfId="0" applyFill="1" applyAlignment="1" applyProtection="1">
      <alignment vertical="top"/>
    </xf>
    <xf numFmtId="167" fontId="9" fillId="29" borderId="11" xfId="29" applyNumberFormat="1" applyFont="1" applyFill="1" applyBorder="1" applyAlignment="1" applyProtection="1">
      <alignment vertical="top"/>
      <protection locked="0"/>
    </xf>
    <xf numFmtId="0" fontId="0" fillId="67" borderId="11" xfId="0" applyFill="1" applyBorder="1" applyAlignment="1" applyProtection="1">
      <alignment vertical="center"/>
    </xf>
    <xf numFmtId="44" fontId="0" fillId="67" borderId="15" xfId="29" applyNumberFormat="1" applyFont="1" applyFill="1" applyBorder="1" applyAlignment="1" applyProtection="1">
      <alignment vertical="center"/>
    </xf>
    <xf numFmtId="0" fontId="0" fillId="67" borderId="0" xfId="0" applyFill="1" applyAlignment="1" applyProtection="1">
      <alignment vertical="center"/>
    </xf>
    <xf numFmtId="167" fontId="9" fillId="29" borderId="11" xfId="29" applyNumberFormat="1" applyFont="1" applyFill="1" applyBorder="1" applyAlignment="1" applyProtection="1">
      <alignment vertical="center"/>
      <protection locked="0"/>
    </xf>
    <xf numFmtId="0" fontId="0" fillId="67" borderId="15" xfId="0" applyFill="1" applyBorder="1" applyAlignment="1" applyProtection="1">
      <alignment vertical="center"/>
    </xf>
    <xf numFmtId="44" fontId="0" fillId="67" borderId="11" xfId="0" applyNumberFormat="1" applyFill="1" applyBorder="1" applyAlignment="1" applyProtection="1">
      <alignment vertical="center"/>
    </xf>
    <xf numFmtId="10" fontId="0" fillId="67" borderId="15" xfId="42" applyNumberFormat="1" applyFont="1" applyFill="1" applyBorder="1" applyAlignment="1" applyProtection="1">
      <alignment vertical="center"/>
    </xf>
    <xf numFmtId="0" fontId="12" fillId="82" borderId="77" xfId="0" applyFont="1" applyFill="1" applyBorder="1" applyAlignment="1" applyProtection="1">
      <alignment vertical="top"/>
      <protection locked="0"/>
    </xf>
    <xf numFmtId="0" fontId="0" fillId="82" borderId="13" xfId="0" applyFill="1" applyBorder="1" applyAlignment="1" applyProtection="1">
      <alignment vertical="top"/>
    </xf>
    <xf numFmtId="0" fontId="0" fillId="82" borderId="13" xfId="0" applyFill="1" applyBorder="1" applyAlignment="1" applyProtection="1">
      <alignment vertical="top"/>
      <protection locked="0"/>
    </xf>
    <xf numFmtId="167" fontId="9" fillId="82" borderId="10" xfId="29" applyNumberFormat="1" applyFont="1" applyFill="1" applyBorder="1" applyAlignment="1" applyProtection="1">
      <alignment vertical="top"/>
      <protection locked="0"/>
    </xf>
    <xf numFmtId="0" fontId="0" fillId="82" borderId="10" xfId="0" applyFill="1" applyBorder="1" applyAlignment="1" applyProtection="1">
      <alignment vertical="center"/>
      <protection locked="0"/>
    </xf>
    <xf numFmtId="44" fontId="9" fillId="82" borderId="33" xfId="29" applyNumberFormat="1" applyFont="1" applyFill="1" applyBorder="1" applyAlignment="1" applyProtection="1">
      <alignment vertical="center"/>
    </xf>
    <xf numFmtId="0" fontId="0" fillId="82" borderId="0" xfId="0" applyFill="1" applyAlignment="1" applyProtection="1">
      <alignment vertical="center"/>
    </xf>
    <xf numFmtId="167" fontId="9" fillId="82" borderId="10" xfId="29" applyNumberFormat="1" applyFont="1" applyFill="1" applyBorder="1" applyAlignment="1" applyProtection="1">
      <alignment vertical="center"/>
      <protection locked="0"/>
    </xf>
    <xf numFmtId="0" fontId="0" fillId="82" borderId="33" xfId="0" applyFill="1" applyBorder="1" applyAlignment="1" applyProtection="1">
      <alignment vertical="center"/>
      <protection locked="0"/>
    </xf>
    <xf numFmtId="44" fontId="12" fillId="82" borderId="10" xfId="0" applyNumberFormat="1" applyFont="1" applyFill="1" applyBorder="1" applyAlignment="1" applyProtection="1">
      <alignment vertical="center"/>
    </xf>
    <xf numFmtId="10" fontId="12" fillId="82" borderId="33" xfId="42" applyNumberFormat="1" applyFont="1" applyFill="1" applyBorder="1" applyAlignment="1" applyProtection="1">
      <alignment vertical="center"/>
    </xf>
    <xf numFmtId="0" fontId="9" fillId="67" borderId="0" xfId="0" applyFont="1" applyFill="1" applyAlignment="1" applyProtection="1">
      <alignment vertical="top"/>
    </xf>
    <xf numFmtId="0" fontId="0" fillId="63" borderId="10" xfId="0" applyFill="1" applyBorder="1" applyAlignment="1" applyProtection="1">
      <alignment vertical="top"/>
    </xf>
    <xf numFmtId="0" fontId="0" fillId="83" borderId="10" xfId="0" applyFill="1" applyBorder="1" applyAlignment="1" applyProtection="1">
      <alignment vertical="center"/>
    </xf>
    <xf numFmtId="44" fontId="9" fillId="83" borderId="33" xfId="29" applyNumberFormat="1" applyFont="1" applyFill="1" applyBorder="1" applyAlignment="1" applyProtection="1">
      <alignment vertical="center"/>
    </xf>
    <xf numFmtId="0" fontId="12" fillId="82" borderId="77" xfId="0" applyFont="1" applyFill="1" applyBorder="1" applyAlignment="1" applyProtection="1">
      <alignment vertical="top" wrapText="1"/>
    </xf>
    <xf numFmtId="0" fontId="0" fillId="82" borderId="13" xfId="0" applyFill="1" applyBorder="1" applyProtection="1"/>
    <xf numFmtId="0" fontId="0" fillId="82" borderId="10" xfId="0" applyFill="1" applyBorder="1" applyProtection="1"/>
    <xf numFmtId="0" fontId="0" fillId="82" borderId="10" xfId="0" applyFill="1" applyBorder="1" applyAlignment="1" applyProtection="1">
      <alignment vertical="center"/>
    </xf>
    <xf numFmtId="44" fontId="12" fillId="82" borderId="33" xfId="0" applyNumberFormat="1" applyFont="1" applyFill="1" applyBorder="1" applyAlignment="1" applyProtection="1">
      <alignment vertical="center"/>
    </xf>
    <xf numFmtId="0" fontId="0" fillId="82" borderId="33" xfId="0" applyFill="1" applyBorder="1" applyAlignment="1" applyProtection="1">
      <alignment vertical="center"/>
    </xf>
    <xf numFmtId="1" fontId="0" fillId="67" borderId="11" xfId="0" applyNumberFormat="1" applyFill="1" applyBorder="1" applyAlignment="1" applyProtection="1">
      <alignment vertical="center"/>
    </xf>
    <xf numFmtId="1" fontId="0" fillId="67" borderId="15" xfId="0" applyNumberFormat="1" applyFill="1" applyBorder="1" applyAlignment="1" applyProtection="1">
      <alignment vertical="center"/>
    </xf>
    <xf numFmtId="0" fontId="0" fillId="67" borderId="0" xfId="0" applyFill="1" applyAlignment="1" applyProtection="1">
      <alignment vertical="center" wrapText="1"/>
    </xf>
    <xf numFmtId="0" fontId="0" fillId="82" borderId="10" xfId="0" applyFill="1" applyBorder="1" applyAlignment="1" applyProtection="1">
      <alignment vertical="top"/>
    </xf>
    <xf numFmtId="0" fontId="12" fillId="82" borderId="0" xfId="0" applyFont="1" applyFill="1" applyAlignment="1" applyProtection="1">
      <alignment vertical="center"/>
    </xf>
    <xf numFmtId="0" fontId="12" fillId="82" borderId="10" xfId="0" applyFont="1" applyFill="1" applyBorder="1" applyAlignment="1" applyProtection="1">
      <alignment vertical="center"/>
    </xf>
    <xf numFmtId="0" fontId="12" fillId="82" borderId="33" xfId="0" applyFont="1" applyFill="1" applyBorder="1" applyAlignment="1" applyProtection="1">
      <alignment vertical="center"/>
    </xf>
    <xf numFmtId="0" fontId="0" fillId="67" borderId="0" xfId="0" applyFill="1" applyAlignment="1" applyProtection="1">
      <alignment vertical="top" wrapText="1"/>
    </xf>
    <xf numFmtId="44" fontId="9" fillId="67" borderId="15" xfId="29" applyNumberFormat="1" applyFill="1" applyBorder="1" applyAlignment="1" applyProtection="1">
      <alignment vertical="center"/>
    </xf>
    <xf numFmtId="10" fontId="9" fillId="67" borderId="15" xfId="42" applyNumberFormat="1" applyFill="1" applyBorder="1" applyAlignment="1" applyProtection="1">
      <alignment vertical="center"/>
    </xf>
    <xf numFmtId="167" fontId="9" fillId="67" borderId="11" xfId="29" applyNumberFormat="1" applyFill="1" applyBorder="1" applyAlignment="1" applyProtection="1">
      <alignment vertical="top"/>
      <protection locked="0"/>
    </xf>
    <xf numFmtId="0" fontId="9" fillId="84" borderId="90" xfId="0" applyFont="1" applyFill="1" applyBorder="1" applyProtection="1"/>
    <xf numFmtId="0" fontId="0" fillId="84" borderId="66" xfId="0" applyFill="1" applyBorder="1" applyAlignment="1" applyProtection="1">
      <alignment vertical="top"/>
    </xf>
    <xf numFmtId="0" fontId="0" fillId="84" borderId="66" xfId="0" applyFill="1" applyBorder="1" applyAlignment="1" applyProtection="1">
      <alignment vertical="top"/>
      <protection locked="0"/>
    </xf>
    <xf numFmtId="167" fontId="9" fillId="84" borderId="23" xfId="29" applyNumberFormat="1" applyFill="1" applyBorder="1" applyAlignment="1" applyProtection="1">
      <alignment vertical="top"/>
      <protection locked="0"/>
    </xf>
    <xf numFmtId="0" fontId="0" fillId="84" borderId="21" xfId="0" applyFill="1" applyBorder="1" applyAlignment="1" applyProtection="1">
      <alignment vertical="center"/>
      <protection locked="0"/>
    </xf>
    <xf numFmtId="44" fontId="9" fillId="84" borderId="66" xfId="29" applyNumberFormat="1" applyFill="1" applyBorder="1" applyAlignment="1" applyProtection="1">
      <alignment vertical="center"/>
    </xf>
    <xf numFmtId="0" fontId="0" fillId="84" borderId="66" xfId="0" applyFill="1" applyBorder="1" applyAlignment="1" applyProtection="1">
      <alignment vertical="center"/>
    </xf>
    <xf numFmtId="0" fontId="0" fillId="84" borderId="23" xfId="0" applyFill="1" applyBorder="1" applyAlignment="1" applyProtection="1">
      <alignment vertical="center"/>
      <protection locked="0"/>
    </xf>
    <xf numFmtId="44" fontId="0" fillId="84" borderId="23" xfId="0" applyNumberFormat="1" applyFill="1" applyBorder="1" applyAlignment="1" applyProtection="1">
      <alignment vertical="center"/>
    </xf>
    <xf numFmtId="10" fontId="9" fillId="84" borderId="22" xfId="42" applyNumberFormat="1" applyFill="1" applyBorder="1" applyAlignment="1" applyProtection="1">
      <alignment vertical="center"/>
    </xf>
    <xf numFmtId="0" fontId="12" fillId="67" borderId="0" xfId="0" applyFont="1" applyFill="1" applyAlignment="1" applyProtection="1">
      <alignment vertical="top"/>
    </xf>
    <xf numFmtId="9" fontId="0" fillId="67" borderId="11" xfId="0" applyNumberFormat="1" applyFill="1" applyBorder="1" applyAlignment="1" applyProtection="1">
      <alignment vertical="top"/>
    </xf>
    <xf numFmtId="9" fontId="0" fillId="67" borderId="0" xfId="0" applyNumberFormat="1" applyFill="1" applyBorder="1" applyAlignment="1" applyProtection="1">
      <alignment vertical="center"/>
    </xf>
    <xf numFmtId="44" fontId="12" fillId="67" borderId="115" xfId="0" applyNumberFormat="1" applyFont="1" applyFill="1" applyBorder="1" applyAlignment="1" applyProtection="1">
      <alignment vertical="center"/>
    </xf>
    <xf numFmtId="0" fontId="12" fillId="67" borderId="11" xfId="0" applyFont="1" applyFill="1" applyBorder="1" applyAlignment="1" applyProtection="1">
      <alignment vertical="center"/>
    </xf>
    <xf numFmtId="9" fontId="12" fillId="67" borderId="11" xfId="0" applyNumberFormat="1" applyFont="1" applyFill="1" applyBorder="1" applyAlignment="1" applyProtection="1">
      <alignment vertical="center"/>
    </xf>
    <xf numFmtId="44" fontId="12" fillId="67" borderId="15" xfId="0" applyNumberFormat="1" applyFont="1" applyFill="1" applyBorder="1" applyAlignment="1" applyProtection="1">
      <alignment vertical="center"/>
    </xf>
    <xf numFmtId="0" fontId="12" fillId="67" borderId="0" xfId="0" applyFont="1" applyFill="1" applyBorder="1" applyAlignment="1" applyProtection="1">
      <alignment vertical="center"/>
    </xf>
    <xf numFmtId="44" fontId="12" fillId="67" borderId="11" xfId="0" applyNumberFormat="1" applyFont="1" applyFill="1" applyBorder="1" applyAlignment="1" applyProtection="1">
      <alignment vertical="center"/>
    </xf>
    <xf numFmtId="10" fontId="12" fillId="67" borderId="15" xfId="42" applyNumberFormat="1" applyFont="1" applyFill="1" applyBorder="1" applyAlignment="1" applyProtection="1">
      <alignment vertical="center"/>
    </xf>
    <xf numFmtId="0" fontId="9" fillId="67" borderId="0" xfId="0" applyFont="1" applyFill="1" applyAlignment="1" applyProtection="1">
      <alignment horizontal="left" vertical="top" indent="1"/>
    </xf>
    <xf numFmtId="9" fontId="0" fillId="67" borderId="11" xfId="0" applyNumberFormat="1" applyFill="1" applyBorder="1" applyAlignment="1" applyProtection="1">
      <alignment vertical="top"/>
      <protection locked="0"/>
    </xf>
    <xf numFmtId="44" fontId="9" fillId="67" borderId="115" xfId="0" applyNumberFormat="1" applyFont="1" applyFill="1" applyBorder="1" applyAlignment="1" applyProtection="1">
      <alignment vertical="center"/>
    </xf>
    <xf numFmtId="0" fontId="9" fillId="67" borderId="11" xfId="0" applyFont="1" applyFill="1" applyBorder="1" applyAlignment="1" applyProtection="1">
      <alignment vertical="center"/>
    </xf>
    <xf numFmtId="9" fontId="9" fillId="67" borderId="11" xfId="0" applyNumberFormat="1" applyFont="1" applyFill="1" applyBorder="1" applyAlignment="1" applyProtection="1">
      <alignment vertical="top"/>
      <protection locked="0"/>
    </xf>
    <xf numFmtId="9" fontId="9" fillId="67" borderId="11" xfId="0" applyNumberFormat="1" applyFont="1" applyFill="1" applyBorder="1" applyAlignment="1" applyProtection="1">
      <alignment vertical="center"/>
    </xf>
    <xf numFmtId="44" fontId="9" fillId="67" borderId="15" xfId="0" applyNumberFormat="1" applyFont="1" applyFill="1" applyBorder="1" applyAlignment="1" applyProtection="1">
      <alignment vertical="center"/>
    </xf>
    <xf numFmtId="0" fontId="9" fillId="67" borderId="0" xfId="0" applyFont="1" applyFill="1" applyBorder="1" applyAlignment="1" applyProtection="1">
      <alignment vertical="center"/>
    </xf>
    <xf numFmtId="44" fontId="9" fillId="67" borderId="11" xfId="0" applyNumberFormat="1" applyFont="1" applyFill="1" applyBorder="1" applyAlignment="1" applyProtection="1">
      <alignment vertical="center"/>
    </xf>
    <xf numFmtId="10" fontId="9" fillId="67" borderId="15" xfId="42" applyNumberFormat="1" applyFont="1" applyFill="1" applyBorder="1" applyAlignment="1" applyProtection="1">
      <alignment vertical="center"/>
    </xf>
    <xf numFmtId="0" fontId="12" fillId="67" borderId="0" xfId="0" applyFont="1" applyFill="1" applyAlignment="1" applyProtection="1">
      <alignment horizontal="left" vertical="top" wrapText="1" indent="1"/>
    </xf>
    <xf numFmtId="0" fontId="0" fillId="67" borderId="11" xfId="0" applyFill="1" applyBorder="1" applyAlignment="1" applyProtection="1">
      <alignment vertical="top"/>
    </xf>
    <xf numFmtId="0" fontId="0" fillId="67" borderId="0" xfId="0" applyFill="1" applyBorder="1" applyAlignment="1" applyProtection="1">
      <alignment vertical="center"/>
    </xf>
    <xf numFmtId="44" fontId="86" fillId="67" borderId="115" xfId="0" applyNumberFormat="1" applyFont="1" applyFill="1" applyBorder="1" applyAlignment="1" applyProtection="1">
      <alignment vertical="center"/>
    </xf>
    <xf numFmtId="44" fontId="86" fillId="67" borderId="15" xfId="0" applyNumberFormat="1" applyFont="1" applyFill="1" applyBorder="1" applyAlignment="1" applyProtection="1">
      <alignment vertical="center"/>
    </xf>
    <xf numFmtId="44" fontId="86" fillId="67" borderId="11" xfId="0" applyNumberFormat="1" applyFont="1" applyFill="1" applyBorder="1" applyAlignment="1" applyProtection="1">
      <alignment vertical="center"/>
    </xf>
    <xf numFmtId="10" fontId="86" fillId="67" borderId="15" xfId="42" applyNumberFormat="1" applyFont="1" applyFill="1" applyBorder="1" applyAlignment="1" applyProtection="1">
      <alignment vertical="center"/>
    </xf>
    <xf numFmtId="0" fontId="0" fillId="85" borderId="0" xfId="0" applyFill="1" applyAlignment="1" applyProtection="1">
      <alignment vertical="top"/>
    </xf>
    <xf numFmtId="0" fontId="0" fillId="85" borderId="11" xfId="0" applyFill="1" applyBorder="1" applyAlignment="1" applyProtection="1">
      <alignment vertical="top"/>
    </xf>
    <xf numFmtId="0" fontId="0" fillId="85" borderId="0" xfId="0" applyFill="1" applyBorder="1" applyAlignment="1" applyProtection="1">
      <alignment vertical="center"/>
    </xf>
    <xf numFmtId="44" fontId="12" fillId="85" borderId="115" xfId="0" applyNumberFormat="1" applyFont="1" applyFill="1" applyBorder="1" applyAlignment="1" applyProtection="1">
      <alignment vertical="center"/>
    </xf>
    <xf numFmtId="0" fontId="12" fillId="85" borderId="11" xfId="0" applyFont="1" applyFill="1" applyBorder="1" applyAlignment="1" applyProtection="1">
      <alignment vertical="center"/>
    </xf>
    <xf numFmtId="44" fontId="12" fillId="85" borderId="15" xfId="0" applyNumberFormat="1" applyFont="1" applyFill="1" applyBorder="1" applyAlignment="1" applyProtection="1">
      <alignment vertical="center"/>
    </xf>
    <xf numFmtId="0" fontId="12" fillId="85" borderId="0" xfId="0" applyFont="1" applyFill="1" applyBorder="1" applyAlignment="1" applyProtection="1">
      <alignment vertical="center"/>
    </xf>
    <xf numFmtId="44" fontId="12" fillId="85" borderId="11" xfId="0" applyNumberFormat="1" applyFont="1" applyFill="1" applyBorder="1" applyAlignment="1" applyProtection="1">
      <alignment vertical="center"/>
    </xf>
    <xf numFmtId="10" fontId="12" fillId="85" borderId="15" xfId="42" applyNumberFormat="1" applyFont="1" applyFill="1" applyBorder="1" applyAlignment="1" applyProtection="1">
      <alignment vertical="center"/>
    </xf>
    <xf numFmtId="167" fontId="9" fillId="84" borderId="21" xfId="29" applyNumberFormat="1" applyFill="1" applyBorder="1" applyAlignment="1" applyProtection="1">
      <alignment vertical="top"/>
      <protection locked="0"/>
    </xf>
    <xf numFmtId="0" fontId="0" fillId="84" borderId="66" xfId="0" applyFill="1" applyBorder="1" applyAlignment="1" applyProtection="1">
      <alignment vertical="center"/>
      <protection locked="0"/>
    </xf>
    <xf numFmtId="44" fontId="9" fillId="84" borderId="67" xfId="29" applyNumberFormat="1" applyFill="1" applyBorder="1" applyAlignment="1" applyProtection="1">
      <alignment vertical="center"/>
    </xf>
    <xf numFmtId="0" fontId="0" fillId="84" borderId="21" xfId="0" applyFill="1" applyBorder="1" applyAlignment="1" applyProtection="1">
      <alignment vertical="center"/>
    </xf>
    <xf numFmtId="44" fontId="9" fillId="84" borderId="23" xfId="29" applyNumberFormat="1" applyFill="1" applyBorder="1" applyAlignment="1" applyProtection="1">
      <alignment vertical="center"/>
    </xf>
    <xf numFmtId="44" fontId="0" fillId="84" borderId="21" xfId="0" applyNumberFormat="1" applyFill="1" applyBorder="1" applyAlignment="1" applyProtection="1">
      <alignment vertical="center"/>
    </xf>
    <xf numFmtId="44" fontId="12" fillId="67" borderId="75" xfId="0" applyNumberFormat="1" applyFont="1" applyFill="1" applyBorder="1" applyAlignment="1" applyProtection="1">
      <alignment vertical="center"/>
    </xf>
    <xf numFmtId="9" fontId="9" fillId="67" borderId="11" xfId="0" applyNumberFormat="1" applyFont="1" applyFill="1" applyBorder="1" applyAlignment="1" applyProtection="1">
      <alignment vertical="center"/>
      <protection locked="0"/>
    </xf>
    <xf numFmtId="0" fontId="0" fillId="85" borderId="19" xfId="0" applyFill="1" applyBorder="1" applyAlignment="1" applyProtection="1">
      <alignment vertical="top"/>
    </xf>
    <xf numFmtId="0" fontId="0" fillId="85" borderId="12" xfId="0" applyFill="1" applyBorder="1" applyAlignment="1" applyProtection="1">
      <alignment vertical="center"/>
    </xf>
    <xf numFmtId="44" fontId="12" fillId="85" borderId="79" xfId="0" applyNumberFormat="1" applyFont="1" applyFill="1" applyBorder="1" applyAlignment="1" applyProtection="1">
      <alignment vertical="center"/>
    </xf>
    <xf numFmtId="0" fontId="12" fillId="85" borderId="19" xfId="0" applyFont="1" applyFill="1" applyBorder="1" applyAlignment="1" applyProtection="1">
      <alignment vertical="center"/>
    </xf>
    <xf numFmtId="44" fontId="12" fillId="85" borderId="16" xfId="0" applyNumberFormat="1" applyFont="1" applyFill="1" applyBorder="1" applyAlignment="1" applyProtection="1">
      <alignment vertical="center"/>
    </xf>
    <xf numFmtId="0" fontId="12" fillId="85" borderId="12" xfId="0" applyFont="1" applyFill="1" applyBorder="1" applyAlignment="1" applyProtection="1">
      <alignment vertical="center"/>
    </xf>
    <xf numFmtId="44" fontId="12" fillId="85" borderId="19" xfId="0" applyNumberFormat="1" applyFont="1" applyFill="1" applyBorder="1" applyAlignment="1" applyProtection="1">
      <alignment vertical="center"/>
    </xf>
    <xf numFmtId="10" fontId="12" fillId="85" borderId="16" xfId="42" applyNumberFormat="1" applyFont="1" applyFill="1" applyBorder="1" applyAlignment="1" applyProtection="1">
      <alignment vertical="center"/>
    </xf>
    <xf numFmtId="44" fontId="0" fillId="67" borderId="0" xfId="0" applyNumberFormat="1" applyFill="1" applyProtection="1"/>
    <xf numFmtId="0" fontId="37" fillId="67" borderId="0" xfId="0" applyFont="1" applyFill="1" applyAlignment="1" applyProtection="1">
      <alignment vertical="top" wrapText="1"/>
    </xf>
    <xf numFmtId="0" fontId="0" fillId="67" borderId="0" xfId="0" applyFill="1" applyBorder="1" applyProtection="1"/>
    <xf numFmtId="0" fontId="38" fillId="67" borderId="0" xfId="0" applyFont="1" applyFill="1" applyBorder="1" applyAlignment="1" applyProtection="1"/>
    <xf numFmtId="0" fontId="0" fillId="67" borderId="0" xfId="0" applyFill="1" applyBorder="1" applyAlignment="1" applyProtection="1">
      <alignment horizontal="left" indent="1"/>
    </xf>
    <xf numFmtId="0" fontId="14" fillId="67" borderId="0" xfId="0" applyFont="1" applyFill="1" applyBorder="1" applyAlignment="1" applyProtection="1"/>
    <xf numFmtId="0" fontId="9" fillId="67" borderId="0" xfId="0" applyFont="1" applyFill="1" applyAlignment="1" applyProtection="1">
      <alignment horizontal="right"/>
    </xf>
    <xf numFmtId="0" fontId="14" fillId="67" borderId="0" xfId="0" applyFont="1" applyFill="1" applyAlignment="1" applyProtection="1">
      <alignment horizontal="center"/>
    </xf>
    <xf numFmtId="0" fontId="12" fillId="67" borderId="0" xfId="0" applyFont="1" applyFill="1" applyProtection="1"/>
    <xf numFmtId="0" fontId="12" fillId="29" borderId="10" xfId="0" applyFont="1" applyFill="1" applyBorder="1" applyProtection="1">
      <protection locked="0"/>
    </xf>
    <xf numFmtId="0" fontId="9" fillId="0" borderId="0" xfId="141"/>
    <xf numFmtId="0" fontId="9" fillId="0" borderId="0" xfId="141" applyProtection="1"/>
    <xf numFmtId="0" fontId="9" fillId="0" borderId="0" xfId="141" applyFont="1" applyProtection="1"/>
    <xf numFmtId="0" fontId="47" fillId="0" borderId="0" xfId="141" applyFont="1" applyProtection="1"/>
    <xf numFmtId="0" fontId="9" fillId="86" borderId="0" xfId="141" applyFill="1" applyProtection="1"/>
    <xf numFmtId="0" fontId="9" fillId="0" borderId="0" xfId="165"/>
    <xf numFmtId="0" fontId="9" fillId="0" borderId="0" xfId="165" applyProtection="1"/>
    <xf numFmtId="0" fontId="9" fillId="0" borderId="0" xfId="165" applyFont="1" applyProtection="1"/>
    <xf numFmtId="0" fontId="47" fillId="0" borderId="0" xfId="165" applyFont="1" applyProtection="1"/>
    <xf numFmtId="0" fontId="9" fillId="86" borderId="0" xfId="165" applyFill="1" applyProtection="1"/>
    <xf numFmtId="0" fontId="9" fillId="0" borderId="0" xfId="136"/>
    <xf numFmtId="0" fontId="9" fillId="0" borderId="0" xfId="136" applyProtection="1"/>
    <xf numFmtId="0" fontId="9" fillId="0" borderId="0" xfId="136" applyFont="1" applyProtection="1"/>
    <xf numFmtId="0" fontId="47" fillId="0" borderId="0" xfId="136" applyFont="1" applyProtection="1"/>
    <xf numFmtId="0" fontId="9" fillId="86" borderId="0" xfId="136" applyFill="1" applyProtection="1"/>
    <xf numFmtId="0" fontId="9" fillId="0" borderId="0" xfId="137"/>
    <xf numFmtId="0" fontId="9" fillId="0" borderId="0" xfId="137" applyProtection="1"/>
    <xf numFmtId="0" fontId="9" fillId="0" borderId="0" xfId="137" applyFont="1" applyProtection="1"/>
    <xf numFmtId="0" fontId="47" fillId="0" borderId="0" xfId="137" applyFont="1" applyProtection="1"/>
    <xf numFmtId="0" fontId="9" fillId="86" borderId="0" xfId="137" applyFill="1" applyProtection="1"/>
    <xf numFmtId="0" fontId="9" fillId="0" borderId="0" xfId="135"/>
    <xf numFmtId="0" fontId="9" fillId="0" borderId="0" xfId="135" applyProtection="1"/>
    <xf numFmtId="0" fontId="9" fillId="0" borderId="0" xfId="135" applyFont="1" applyProtection="1"/>
    <xf numFmtId="0" fontId="47" fillId="0" borderId="0" xfId="135" applyFont="1" applyProtection="1"/>
    <xf numFmtId="0" fontId="9" fillId="86" borderId="0" xfId="135" applyFill="1" applyProtection="1"/>
    <xf numFmtId="0" fontId="0" fillId="0" borderId="0" xfId="0" applyAlignment="1">
      <alignment vertical="top" wrapText="1"/>
    </xf>
    <xf numFmtId="178" fontId="79" fillId="0" borderId="0" xfId="0" applyNumberFormat="1" applyFont="1" applyFill="1" applyAlignment="1">
      <alignment horizontal="left" vertical="top" wrapText="1"/>
    </xf>
    <xf numFmtId="179" fontId="122" fillId="78" borderId="173" xfId="0" applyNumberFormat="1" applyFont="1" applyFill="1" applyBorder="1" applyAlignment="1" applyProtection="1">
      <alignment horizontal="right" vertical="top"/>
      <protection locked="0"/>
    </xf>
    <xf numFmtId="179" fontId="0" fillId="29" borderId="168" xfId="0" applyNumberFormat="1" applyFill="1" applyBorder="1" applyAlignment="1" applyProtection="1">
      <alignment horizontal="right" vertical="center"/>
    </xf>
    <xf numFmtId="0" fontId="9" fillId="28" borderId="177" xfId="0" applyFont="1" applyFill="1" applyBorder="1" applyAlignment="1" applyProtection="1">
      <alignment horizontal="left" vertical="center"/>
    </xf>
    <xf numFmtId="166" fontId="12" fillId="29" borderId="19" xfId="28" applyNumberFormat="1" applyFont="1" applyFill="1" applyBorder="1"/>
    <xf numFmtId="166" fontId="12" fillId="29" borderId="65" xfId="28" applyNumberFormat="1" applyFont="1" applyFill="1" applyBorder="1"/>
    <xf numFmtId="2" fontId="12" fillId="29" borderId="10" xfId="0" applyNumberFormat="1" applyFont="1" applyFill="1" applyBorder="1"/>
    <xf numFmtId="165" fontId="0" fillId="0" borderId="24" xfId="0" applyNumberFormat="1" applyFill="1" applyBorder="1"/>
    <xf numFmtId="165" fontId="0" fillId="0" borderId="63" xfId="0" applyNumberFormat="1" applyFill="1" applyBorder="1"/>
    <xf numFmtId="0" fontId="12" fillId="0" borderId="0" xfId="0" applyFont="1" applyBorder="1" applyAlignment="1">
      <alignment horizontal="center" vertical="top"/>
    </xf>
    <xf numFmtId="165" fontId="0" fillId="0" borderId="0" xfId="29" applyNumberFormat="1" applyFont="1" applyBorder="1" applyAlignment="1">
      <alignment vertical="top"/>
    </xf>
    <xf numFmtId="10" fontId="0" fillId="0" borderId="0" xfId="42" applyNumberFormat="1" applyFont="1" applyBorder="1" applyAlignment="1">
      <alignment vertical="top"/>
    </xf>
    <xf numFmtId="0" fontId="0" fillId="28" borderId="98" xfId="0" applyNumberFormat="1" applyFill="1" applyBorder="1" applyAlignment="1" applyProtection="1">
      <alignment horizontal="center" vertical="center"/>
      <protection locked="0"/>
    </xf>
    <xf numFmtId="0" fontId="0" fillId="28" borderId="99" xfId="0" applyNumberFormat="1" applyFill="1" applyBorder="1" applyAlignment="1" applyProtection="1">
      <alignment horizontal="center" vertical="center"/>
      <protection locked="0"/>
    </xf>
    <xf numFmtId="0" fontId="0" fillId="28" borderId="100" xfId="0" applyNumberFormat="1" applyFill="1" applyBorder="1" applyAlignment="1" applyProtection="1">
      <alignment horizontal="center" vertical="center"/>
      <protection locked="0"/>
    </xf>
    <xf numFmtId="0" fontId="54" fillId="0" borderId="0" xfId="0" applyFont="1" applyAlignment="1" applyProtection="1">
      <alignment horizontal="left" vertical="center" wrapText="1"/>
    </xf>
    <xf numFmtId="0" fontId="54" fillId="0" borderId="170" xfId="0" applyFont="1" applyBorder="1" applyAlignment="1" applyProtection="1">
      <alignment horizontal="left" vertical="center" wrapText="1"/>
    </xf>
    <xf numFmtId="0" fontId="0" fillId="0" borderId="0" xfId="0" applyAlignment="1">
      <alignment horizontal="left"/>
    </xf>
    <xf numFmtId="0" fontId="9" fillId="0" borderId="0" xfId="0" applyFont="1" applyAlignment="1">
      <alignment horizontal="left" wrapText="1"/>
    </xf>
    <xf numFmtId="0" fontId="0" fillId="0" borderId="0" xfId="0" applyAlignment="1">
      <alignment horizontal="left" wrapText="1"/>
    </xf>
    <xf numFmtId="0" fontId="31" fillId="0" borderId="49" xfId="0" applyFont="1" applyBorder="1" applyAlignment="1">
      <alignment horizontal="left" vertical="top" wrapText="1"/>
    </xf>
    <xf numFmtId="0" fontId="31" fillId="0" borderId="0" xfId="0" applyFont="1" applyBorder="1" applyAlignment="1">
      <alignment horizontal="left" vertical="top" wrapText="1"/>
    </xf>
    <xf numFmtId="0" fontId="119" fillId="0" borderId="0" xfId="0" applyFont="1" applyAlignment="1" applyProtection="1">
      <alignment horizontal="left" vertical="center" wrapText="1"/>
    </xf>
    <xf numFmtId="0" fontId="54" fillId="0" borderId="0" xfId="0" applyFont="1" applyAlignment="1" applyProtection="1">
      <alignment horizontal="right" vertical="center" wrapText="1" indent="1"/>
    </xf>
    <xf numFmtId="0" fontId="54" fillId="0" borderId="0" xfId="0" applyFont="1" applyAlignment="1" applyProtection="1">
      <alignment horizontal="right" wrapText="1" indent="1"/>
    </xf>
    <xf numFmtId="0" fontId="0" fillId="29" borderId="98" xfId="0" applyNumberFormat="1" applyFill="1" applyBorder="1" applyAlignment="1" applyProtection="1">
      <alignment horizontal="left" vertical="center"/>
      <protection locked="0"/>
    </xf>
    <xf numFmtId="0" fontId="0" fillId="29" borderId="99" xfId="0" applyNumberFormat="1" applyFill="1" applyBorder="1" applyAlignment="1" applyProtection="1">
      <alignment horizontal="left" vertical="center"/>
      <protection locked="0"/>
    </xf>
    <xf numFmtId="0" fontId="0" fillId="29" borderId="100" xfId="0" applyNumberFormat="1" applyFill="1" applyBorder="1" applyAlignment="1" applyProtection="1">
      <alignment horizontal="left" vertical="center"/>
      <protection locked="0"/>
    </xf>
    <xf numFmtId="0" fontId="0" fillId="29" borderId="101" xfId="0" applyFill="1" applyBorder="1" applyAlignment="1" applyProtection="1">
      <alignment vertical="center"/>
      <protection locked="0"/>
    </xf>
    <xf numFmtId="0" fontId="0" fillId="29" borderId="102" xfId="0" applyFill="1" applyBorder="1" applyAlignment="1" applyProtection="1">
      <alignment vertical="center"/>
      <protection locked="0"/>
    </xf>
    <xf numFmtId="0" fontId="0" fillId="29" borderId="103" xfId="0" applyFill="1" applyBorder="1" applyAlignment="1" applyProtection="1">
      <alignment vertical="center"/>
      <protection locked="0"/>
    </xf>
    <xf numFmtId="0" fontId="0" fillId="28" borderId="98" xfId="0" applyFill="1" applyBorder="1" applyAlignment="1" applyProtection="1">
      <alignment horizontal="left" vertical="center" wrapText="1"/>
      <protection locked="0"/>
    </xf>
    <xf numFmtId="0" fontId="0" fillId="28" borderId="99" xfId="0" applyFill="1" applyBorder="1" applyAlignment="1" applyProtection="1">
      <alignment horizontal="left" vertical="center" wrapText="1"/>
      <protection locked="0"/>
    </xf>
    <xf numFmtId="0" fontId="0" fillId="28" borderId="100" xfId="0" applyFill="1" applyBorder="1" applyAlignment="1" applyProtection="1">
      <alignment horizontal="left" vertical="center" wrapText="1"/>
      <protection locked="0"/>
    </xf>
    <xf numFmtId="0" fontId="9" fillId="29" borderId="98" xfId="0" applyFont="1" applyFill="1" applyBorder="1" applyAlignment="1" applyProtection="1">
      <alignment vertical="center"/>
      <protection locked="0"/>
    </xf>
    <xf numFmtId="0" fontId="0" fillId="29" borderId="99" xfId="0" applyFill="1" applyBorder="1" applyAlignment="1" applyProtection="1">
      <alignment vertical="center"/>
      <protection locked="0"/>
    </xf>
    <xf numFmtId="0" fontId="0" fillId="29" borderId="100"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67" borderId="98" xfId="0" applyNumberFormat="1" applyFill="1" applyBorder="1" applyAlignment="1" applyProtection="1">
      <alignment horizontal="center" vertical="center"/>
      <protection locked="0"/>
    </xf>
    <xf numFmtId="0" fontId="0" fillId="67" borderId="99" xfId="0" applyNumberFormat="1" applyFill="1" applyBorder="1" applyAlignment="1" applyProtection="1">
      <alignment horizontal="center" vertical="center"/>
      <protection locked="0"/>
    </xf>
    <xf numFmtId="0" fontId="0" fillId="67" borderId="100" xfId="0" applyNumberFormat="1" applyFill="1" applyBorder="1" applyAlignment="1" applyProtection="1">
      <alignment horizontal="center" vertical="center"/>
      <protection locked="0"/>
    </xf>
    <xf numFmtId="0" fontId="16" fillId="0" borderId="0" xfId="0" applyFont="1" applyAlignment="1">
      <alignment horizontal="center"/>
    </xf>
    <xf numFmtId="0" fontId="16" fillId="0" borderId="0" xfId="0" applyFont="1" applyAlignment="1">
      <alignment horizontal="center" vertical="center"/>
    </xf>
    <xf numFmtId="0" fontId="103" fillId="0" borderId="0" xfId="0" applyFont="1" applyAlignment="1">
      <alignment vertical="center" wrapText="1"/>
    </xf>
    <xf numFmtId="0" fontId="0" fillId="0" borderId="0" xfId="0" applyAlignment="1">
      <alignment wrapText="1"/>
    </xf>
    <xf numFmtId="0" fontId="12" fillId="0" borderId="0" xfId="0" applyFont="1" applyAlignment="1">
      <alignment horizontal="left" wrapText="1"/>
    </xf>
    <xf numFmtId="0" fontId="16" fillId="0" borderId="0" xfId="0" applyFont="1" applyAlignment="1">
      <alignment horizontal="center" vertical="top"/>
    </xf>
    <xf numFmtId="0" fontId="9" fillId="0" borderId="0" xfId="0" applyFont="1" applyAlignment="1">
      <alignment horizontal="left" vertical="top" wrapText="1"/>
    </xf>
    <xf numFmtId="0" fontId="31" fillId="0" borderId="0" xfId="0" applyFont="1" applyAlignment="1">
      <alignment horizontal="left" vertical="top" wrapText="1"/>
    </xf>
    <xf numFmtId="0" fontId="39" fillId="0" borderId="90" xfId="0" applyFont="1" applyFill="1" applyBorder="1" applyAlignment="1">
      <alignment horizontal="center" vertical="center" wrapText="1"/>
    </xf>
    <xf numFmtId="0" fontId="39" fillId="0" borderId="66" xfId="0" applyFont="1" applyFill="1" applyBorder="1" applyAlignment="1">
      <alignment horizontal="center" vertical="center" wrapText="1"/>
    </xf>
    <xf numFmtId="0" fontId="39" fillId="0" borderId="152" xfId="0" applyFont="1" applyFill="1" applyBorder="1" applyAlignment="1">
      <alignment horizontal="center" vertical="center" wrapText="1"/>
    </xf>
    <xf numFmtId="0" fontId="16" fillId="0" borderId="0" xfId="0" applyFont="1" applyAlignment="1">
      <alignment horizontal="center" vertical="center" wrapText="1"/>
    </xf>
    <xf numFmtId="0" fontId="118" fillId="29" borderId="0" xfId="0" applyFont="1" applyFill="1" applyBorder="1" applyAlignment="1">
      <alignment horizontal="left" vertical="top"/>
    </xf>
    <xf numFmtId="0" fontId="118" fillId="29" borderId="15" xfId="0" applyFont="1" applyFill="1" applyBorder="1" applyAlignment="1">
      <alignment horizontal="left" vertical="top"/>
    </xf>
    <xf numFmtId="0" fontId="118" fillId="29" borderId="12" xfId="0" applyFont="1" applyFill="1" applyBorder="1" applyAlignment="1">
      <alignment horizontal="left" vertical="top"/>
    </xf>
    <xf numFmtId="0" fontId="118" fillId="29" borderId="16" xfId="0" applyFont="1" applyFill="1" applyBorder="1" applyAlignment="1">
      <alignment horizontal="left" vertical="top"/>
    </xf>
    <xf numFmtId="0" fontId="118" fillId="29" borderId="115" xfId="0" applyFont="1" applyFill="1" applyBorder="1" applyAlignment="1">
      <alignment horizontal="left" vertical="top"/>
    </xf>
    <xf numFmtId="0" fontId="118" fillId="29" borderId="79" xfId="0" applyFont="1" applyFill="1" applyBorder="1" applyAlignment="1">
      <alignment horizontal="left" vertical="top"/>
    </xf>
    <xf numFmtId="0" fontId="135" fillId="29" borderId="115" xfId="0" applyFont="1" applyFill="1" applyBorder="1" applyAlignment="1">
      <alignment horizontal="left" vertical="top"/>
    </xf>
    <xf numFmtId="0" fontId="135" fillId="29" borderId="0" xfId="0" applyFont="1" applyFill="1" applyBorder="1" applyAlignment="1">
      <alignment horizontal="left" vertical="top"/>
    </xf>
    <xf numFmtId="0" fontId="135" fillId="29" borderId="15" xfId="0" applyFont="1" applyFill="1" applyBorder="1" applyAlignment="1">
      <alignment horizontal="left" vertical="top"/>
    </xf>
    <xf numFmtId="0" fontId="135" fillId="29" borderId="79" xfId="0" applyFont="1" applyFill="1" applyBorder="1" applyAlignment="1">
      <alignment horizontal="left" vertical="top"/>
    </xf>
    <xf numFmtId="0" fontId="135" fillId="29" borderId="12" xfId="0" applyFont="1" applyFill="1" applyBorder="1" applyAlignment="1">
      <alignment horizontal="left" vertical="top"/>
    </xf>
    <xf numFmtId="0" fontId="135" fillId="29" borderId="16" xfId="0" applyFont="1" applyFill="1" applyBorder="1" applyAlignment="1">
      <alignment horizontal="left" vertical="top"/>
    </xf>
    <xf numFmtId="0" fontId="16" fillId="0" borderId="145" xfId="0" applyFont="1" applyFill="1" applyBorder="1" applyAlignment="1">
      <alignment horizontal="center" vertical="center" wrapText="1"/>
    </xf>
    <xf numFmtId="0" fontId="16" fillId="0" borderId="150" xfId="0" applyFont="1" applyFill="1" applyBorder="1" applyAlignment="1">
      <alignment horizontal="center" vertical="center" wrapText="1"/>
    </xf>
    <xf numFmtId="0" fontId="9" fillId="0" borderId="151" xfId="0" applyFont="1" applyFill="1" applyBorder="1" applyAlignment="1">
      <alignment vertical="center" wrapText="1"/>
    </xf>
    <xf numFmtId="0" fontId="12" fillId="0" borderId="146" xfId="0" applyFont="1" applyFill="1" applyBorder="1" applyAlignment="1">
      <alignment horizontal="center" vertical="center" wrapText="1"/>
    </xf>
    <xf numFmtId="0" fontId="12" fillId="0" borderId="147" xfId="0" applyFont="1" applyFill="1" applyBorder="1" applyAlignment="1">
      <alignment horizontal="center" vertical="center" wrapText="1"/>
    </xf>
    <xf numFmtId="0" fontId="12" fillId="0" borderId="148" xfId="0" applyFont="1" applyFill="1" applyBorder="1" applyAlignment="1">
      <alignment horizontal="center" vertical="center" wrapText="1"/>
    </xf>
    <xf numFmtId="0" fontId="39" fillId="0" borderId="44"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2" fillId="0" borderId="149" xfId="0" applyFont="1" applyFill="1" applyBorder="1" applyAlignment="1">
      <alignment horizontal="center" vertical="center" wrapText="1"/>
    </xf>
    <xf numFmtId="0" fontId="12" fillId="0" borderId="90" xfId="0"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61" fillId="0" borderId="43" xfId="0" applyFont="1" applyFill="1" applyBorder="1" applyAlignment="1">
      <alignment horizontal="center" vertical="center" wrapText="1"/>
    </xf>
    <xf numFmtId="0" fontId="61" fillId="0" borderId="41" xfId="0" applyFont="1" applyFill="1" applyBorder="1" applyAlignment="1">
      <alignment horizontal="center" vertical="center" wrapText="1"/>
    </xf>
    <xf numFmtId="0" fontId="9" fillId="0" borderId="0" xfId="46" applyAlignment="1">
      <alignment horizontal="left" wrapText="1"/>
    </xf>
    <xf numFmtId="0" fontId="16" fillId="0" borderId="0" xfId="46" applyFont="1" applyAlignment="1">
      <alignment horizontal="center" vertical="top"/>
    </xf>
    <xf numFmtId="0" fontId="12" fillId="25" borderId="77" xfId="46" applyFont="1" applyFill="1" applyBorder="1" applyAlignment="1">
      <alignment horizontal="center"/>
    </xf>
    <xf numFmtId="0" fontId="12" fillId="25" borderId="13" xfId="46" applyFont="1" applyFill="1" applyBorder="1" applyAlignment="1">
      <alignment horizontal="center"/>
    </xf>
    <xf numFmtId="0" fontId="12" fillId="25" borderId="33" xfId="46" applyFont="1" applyFill="1" applyBorder="1" applyAlignment="1">
      <alignment horizontal="center"/>
    </xf>
    <xf numFmtId="0" fontId="9" fillId="0" borderId="0" xfId="46" applyAlignment="1">
      <alignment horizontal="left" vertical="top" wrapText="1"/>
    </xf>
    <xf numFmtId="0" fontId="9" fillId="0" borderId="0" xfId="46" applyFont="1" applyAlignment="1">
      <alignment horizontal="left" vertical="top" wrapText="1"/>
    </xf>
    <xf numFmtId="0" fontId="12" fillId="0" borderId="77" xfId="46" applyFont="1" applyFill="1" applyBorder="1" applyAlignment="1">
      <alignment horizontal="left"/>
    </xf>
    <xf numFmtId="0" fontId="12" fillId="0" borderId="13" xfId="46" applyFont="1" applyFill="1" applyBorder="1" applyAlignment="1">
      <alignment horizontal="left"/>
    </xf>
    <xf numFmtId="0" fontId="12" fillId="0" borderId="33" xfId="46" applyFont="1" applyFill="1" applyBorder="1" applyAlignment="1">
      <alignment horizontal="left"/>
    </xf>
    <xf numFmtId="0" fontId="12" fillId="0" borderId="96" xfId="0" applyFont="1" applyBorder="1" applyAlignment="1">
      <alignment horizontal="center" vertical="center"/>
    </xf>
    <xf numFmtId="0" fontId="12" fillId="0" borderId="114" xfId="0" applyFont="1" applyBorder="1" applyAlignment="1">
      <alignment horizontal="center" vertical="center"/>
    </xf>
    <xf numFmtId="0" fontId="9" fillId="0" borderId="77" xfId="0" applyFont="1" applyBorder="1" applyAlignment="1">
      <alignment horizontal="left"/>
    </xf>
    <xf numFmtId="0" fontId="9" fillId="0" borderId="13" xfId="0" applyFont="1" applyBorder="1" applyAlignment="1">
      <alignment horizontal="left"/>
    </xf>
    <xf numFmtId="0" fontId="9" fillId="0" borderId="33" xfId="0" applyFont="1" applyBorder="1" applyAlignment="1">
      <alignment horizontal="left"/>
    </xf>
    <xf numFmtId="0" fontId="9" fillId="0" borderId="110" xfId="0" applyFont="1" applyBorder="1" applyAlignment="1">
      <alignment horizontal="left"/>
    </xf>
    <xf numFmtId="0" fontId="9" fillId="0" borderId="85" xfId="0" applyFont="1" applyBorder="1" applyAlignment="1">
      <alignment horizontal="left"/>
    </xf>
    <xf numFmtId="0" fontId="9" fillId="0" borderId="18" xfId="0" applyFont="1" applyBorder="1" applyAlignment="1">
      <alignment horizontal="left"/>
    </xf>
    <xf numFmtId="0" fontId="9" fillId="0" borderId="10" xfId="0" applyFont="1" applyBorder="1" applyAlignment="1">
      <alignment horizontal="left" vertical="center"/>
    </xf>
    <xf numFmtId="0" fontId="9" fillId="0" borderId="10" xfId="0" applyFont="1" applyBorder="1" applyAlignment="1">
      <alignment horizontal="left"/>
    </xf>
    <xf numFmtId="0" fontId="9" fillId="0" borderId="24" xfId="0" applyFont="1" applyBorder="1" applyAlignment="1">
      <alignment horizontal="left"/>
    </xf>
    <xf numFmtId="0" fontId="0" fillId="0" borderId="10" xfId="0" applyBorder="1" applyAlignment="1">
      <alignment horizontal="center" vertical="center"/>
    </xf>
    <xf numFmtId="0" fontId="12" fillId="0" borderId="32"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6" fillId="0" borderId="0" xfId="46" applyFont="1" applyAlignment="1">
      <alignment horizontal="center" vertical="center" wrapText="1"/>
    </xf>
    <xf numFmtId="0" fontId="16" fillId="0" borderId="0" xfId="46" applyFont="1" applyAlignment="1">
      <alignment horizontal="center" vertical="center"/>
    </xf>
    <xf numFmtId="0" fontId="16" fillId="0" borderId="0" xfId="0" applyFont="1" applyBorder="1" applyAlignment="1">
      <alignment horizontal="center" vertical="center" wrapText="1"/>
    </xf>
    <xf numFmtId="0" fontId="12" fillId="66" borderId="10" xfId="0" applyFont="1" applyFill="1" applyBorder="1" applyAlignment="1">
      <alignment horizontal="center" vertical="center"/>
    </xf>
    <xf numFmtId="0" fontId="12" fillId="66" borderId="77" xfId="0" applyFont="1" applyFill="1" applyBorder="1" applyAlignment="1">
      <alignment horizontal="center" vertical="center"/>
    </xf>
    <xf numFmtId="0" fontId="82" fillId="0" borderId="0" xfId="0" applyFont="1" applyBorder="1" applyAlignment="1">
      <alignment horizontal="center" vertical="center"/>
    </xf>
    <xf numFmtId="0" fontId="0" fillId="0" borderId="77" xfId="0" applyBorder="1" applyAlignment="1">
      <alignment horizontal="left" vertical="center"/>
    </xf>
    <xf numFmtId="0" fontId="0" fillId="0" borderId="13" xfId="0" applyBorder="1" applyAlignment="1">
      <alignment horizontal="left" vertical="center"/>
    </xf>
    <xf numFmtId="0" fontId="0" fillId="0" borderId="33" xfId="0" applyBorder="1" applyAlignment="1">
      <alignment horizontal="left" vertical="center"/>
    </xf>
    <xf numFmtId="0" fontId="9" fillId="0" borderId="77" xfId="0" applyFont="1" applyBorder="1" applyAlignment="1">
      <alignment horizontal="left" vertical="center"/>
    </xf>
    <xf numFmtId="0" fontId="9" fillId="0" borderId="13" xfId="0" applyFont="1" applyBorder="1" applyAlignment="1">
      <alignment horizontal="left" vertical="center"/>
    </xf>
    <xf numFmtId="0" fontId="9" fillId="0" borderId="33" xfId="0" applyFont="1" applyBorder="1" applyAlignment="1">
      <alignment horizontal="left" vertical="center"/>
    </xf>
    <xf numFmtId="0" fontId="9" fillId="0" borderId="82" xfId="0" applyFont="1" applyBorder="1" applyAlignment="1">
      <alignment horizontal="left" vertical="center"/>
    </xf>
    <xf numFmtId="0" fontId="0" fillId="0" borderId="107" xfId="0" applyBorder="1" applyAlignment="1">
      <alignment horizontal="left" vertical="center"/>
    </xf>
    <xf numFmtId="0" fontId="0" fillId="0" borderId="83" xfId="0" applyBorder="1" applyAlignment="1">
      <alignment horizontal="left" vertical="center"/>
    </xf>
    <xf numFmtId="0" fontId="9" fillId="0" borderId="81" xfId="0" applyFont="1" applyBorder="1" applyAlignment="1">
      <alignment horizontal="left" vertical="center"/>
    </xf>
    <xf numFmtId="0" fontId="0" fillId="0" borderId="91" xfId="0" applyBorder="1" applyAlignment="1">
      <alignment horizontal="left" vertical="center"/>
    </xf>
    <xf numFmtId="0" fontId="0" fillId="0" borderId="51" xfId="0" applyBorder="1" applyAlignment="1">
      <alignment horizontal="left" vertical="center"/>
    </xf>
    <xf numFmtId="0" fontId="9" fillId="0" borderId="77" xfId="0" applyFont="1" applyBorder="1" applyAlignment="1">
      <alignment horizontal="left" vertical="center" wrapText="1"/>
    </xf>
    <xf numFmtId="0" fontId="0" fillId="0" borderId="13" xfId="0" applyBorder="1" applyAlignment="1">
      <alignment horizontal="left" vertical="center" wrapText="1"/>
    </xf>
    <xf numFmtId="0" fontId="0" fillId="0" borderId="33" xfId="0" applyBorder="1" applyAlignment="1">
      <alignment horizontal="left" vertical="center" wrapText="1"/>
    </xf>
    <xf numFmtId="0" fontId="9" fillId="0" borderId="17" xfId="0" applyFont="1" applyBorder="1" applyAlignment="1">
      <alignment horizontal="left" vertical="center"/>
    </xf>
    <xf numFmtId="0" fontId="9" fillId="0" borderId="19" xfId="0" applyFont="1" applyBorder="1" applyAlignment="1">
      <alignment horizontal="left" vertical="center"/>
    </xf>
    <xf numFmtId="0" fontId="0" fillId="0" borderId="10" xfId="0" applyBorder="1" applyAlignment="1">
      <alignment horizontal="left" vertical="center"/>
    </xf>
    <xf numFmtId="0" fontId="12" fillId="66" borderId="17" xfId="0" applyFont="1" applyFill="1" applyBorder="1" applyAlignment="1">
      <alignment horizontal="center" vertical="center"/>
    </xf>
    <xf numFmtId="0" fontId="92" fillId="66" borderId="10" xfId="0" applyFont="1" applyFill="1" applyBorder="1" applyAlignment="1">
      <alignment horizontal="center" vertical="center" wrapText="1"/>
    </xf>
    <xf numFmtId="0" fontId="92" fillId="66" borderId="127" xfId="0" applyFont="1" applyFill="1" applyBorder="1" applyAlignment="1">
      <alignment horizontal="center" vertical="center" wrapText="1"/>
    </xf>
    <xf numFmtId="0" fontId="92" fillId="66" borderId="126" xfId="0" applyFont="1" applyFill="1" applyBorder="1" applyAlignment="1">
      <alignment horizontal="center" vertical="center" wrapText="1"/>
    </xf>
    <xf numFmtId="0" fontId="12" fillId="66" borderId="10" xfId="0" applyFont="1" applyFill="1" applyBorder="1" applyAlignment="1">
      <alignment horizontal="center" vertical="center" wrapText="1"/>
    </xf>
    <xf numFmtId="0" fontId="12" fillId="66" borderId="17" xfId="0" applyFont="1" applyFill="1" applyBorder="1" applyAlignment="1">
      <alignment horizontal="center" vertical="center" wrapText="1"/>
    </xf>
    <xf numFmtId="0" fontId="0" fillId="0" borderId="75"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0" fillId="0" borderId="24" xfId="0" applyBorder="1" applyAlignment="1">
      <alignment horizontal="left" vertical="center"/>
    </xf>
    <xf numFmtId="0" fontId="9" fillId="0" borderId="24" xfId="0" applyFont="1" applyBorder="1" applyAlignment="1">
      <alignment horizontal="left" vertical="center"/>
    </xf>
    <xf numFmtId="0" fontId="0" fillId="0" borderId="24" xfId="0" applyBorder="1" applyAlignment="1">
      <alignment horizontal="center" vertical="center"/>
    </xf>
    <xf numFmtId="0" fontId="9" fillId="0" borderId="51" xfId="0" applyFont="1" applyBorder="1" applyAlignment="1">
      <alignment horizontal="left" vertical="center"/>
    </xf>
    <xf numFmtId="0" fontId="0" fillId="0" borderId="27" xfId="0" applyBorder="1" applyAlignment="1">
      <alignment horizontal="center" vertical="center"/>
    </xf>
    <xf numFmtId="0" fontId="0" fillId="0" borderId="28" xfId="0" applyBorder="1" applyAlignment="1">
      <alignment horizontal="center" vertical="center"/>
    </xf>
    <xf numFmtId="0" fontId="9" fillId="0" borderId="26" xfId="0" applyFont="1" applyBorder="1" applyAlignment="1">
      <alignment horizontal="left" vertical="center"/>
    </xf>
    <xf numFmtId="0" fontId="0" fillId="0" borderId="26" xfId="0" applyBorder="1" applyAlignment="1">
      <alignment horizontal="left" vertical="center"/>
    </xf>
    <xf numFmtId="0" fontId="9" fillId="0" borderId="21" xfId="0" applyFont="1" applyBorder="1" applyAlignment="1">
      <alignment horizontal="left" vertical="center"/>
    </xf>
    <xf numFmtId="0" fontId="0" fillId="0" borderId="21" xfId="0" applyBorder="1" applyAlignment="1">
      <alignment horizontal="left" vertical="center"/>
    </xf>
    <xf numFmtId="2" fontId="9" fillId="0" borderId="10" xfId="0" quotePrefix="1" applyNumberFormat="1" applyFont="1" applyBorder="1" applyAlignment="1">
      <alignment horizontal="center" vertical="center"/>
    </xf>
    <xf numFmtId="2" fontId="0" fillId="0" borderId="10" xfId="0" applyNumberFormat="1" applyBorder="1" applyAlignment="1">
      <alignment horizontal="center" vertical="center"/>
    </xf>
    <xf numFmtId="0" fontId="9" fillId="0" borderId="11" xfId="0" applyFont="1" applyBorder="1" applyAlignment="1">
      <alignment horizontal="left" vertical="center"/>
    </xf>
    <xf numFmtId="0" fontId="16" fillId="0" borderId="0" xfId="46" applyFont="1" applyAlignment="1">
      <alignment horizontal="center"/>
    </xf>
    <xf numFmtId="0" fontId="9" fillId="0" borderId="0" xfId="46" applyFont="1" applyAlignment="1">
      <alignment horizontal="left" vertical="center" wrapText="1"/>
    </xf>
    <xf numFmtId="0" fontId="12" fillId="0" borderId="0" xfId="46" applyFont="1" applyAlignment="1">
      <alignment horizontal="left"/>
    </xf>
    <xf numFmtId="0" fontId="98" fillId="0" borderId="0" xfId="46" applyFont="1" applyAlignment="1">
      <alignment horizontal="left" vertical="center" wrapText="1"/>
    </xf>
    <xf numFmtId="0" fontId="12" fillId="69" borderId="72" xfId="46" applyFont="1" applyFill="1" applyBorder="1" applyAlignment="1">
      <alignment horizontal="center" vertical="center"/>
    </xf>
    <xf numFmtId="0" fontId="12" fillId="69" borderId="73" xfId="46" applyFont="1" applyFill="1" applyBorder="1" applyAlignment="1">
      <alignment horizontal="center" vertical="center"/>
    </xf>
    <xf numFmtId="0" fontId="12" fillId="69" borderId="45" xfId="46" applyFont="1" applyFill="1" applyBorder="1" applyAlignment="1">
      <alignment horizontal="center" vertical="center"/>
    </xf>
    <xf numFmtId="0" fontId="12" fillId="69" borderId="49" xfId="46" applyFont="1" applyFill="1" applyBorder="1" applyAlignment="1">
      <alignment horizontal="center" vertical="center"/>
    </xf>
    <xf numFmtId="0" fontId="12" fillId="69" borderId="0" xfId="46" applyFont="1" applyFill="1" applyBorder="1" applyAlignment="1">
      <alignment horizontal="center" vertical="center"/>
    </xf>
    <xf numFmtId="0" fontId="12" fillId="69" borderId="29" xfId="46" applyFont="1" applyFill="1" applyBorder="1" applyAlignment="1">
      <alignment horizontal="center" vertical="center"/>
    </xf>
    <xf numFmtId="0" fontId="12" fillId="0" borderId="0" xfId="46" applyFont="1" applyAlignment="1">
      <alignment horizontal="left" vertical="center" wrapText="1"/>
    </xf>
    <xf numFmtId="0" fontId="9" fillId="0" borderId="0" xfId="46" applyFont="1" applyAlignment="1">
      <alignment horizontal="left" vertical="center" wrapText="1" indent="2"/>
    </xf>
    <xf numFmtId="0" fontId="9" fillId="0" borderId="0" xfId="46" applyFont="1" applyAlignment="1">
      <alignment vertical="top" wrapText="1"/>
    </xf>
    <xf numFmtId="0" fontId="12" fillId="0" borderId="0" xfId="46" applyFont="1" applyAlignment="1">
      <alignment horizontal="left" vertical="top" wrapText="1"/>
    </xf>
    <xf numFmtId="175" fontId="12" fillId="0" borderId="0" xfId="46" applyNumberFormat="1" applyFont="1" applyAlignment="1">
      <alignment horizontal="center" vertical="center"/>
    </xf>
    <xf numFmtId="0" fontId="12" fillId="25" borderId="96" xfId="46" applyFont="1" applyFill="1" applyBorder="1" applyAlignment="1">
      <alignment vertical="center"/>
    </xf>
    <xf numFmtId="0" fontId="12" fillId="25" borderId="78" xfId="46" applyFont="1" applyFill="1" applyBorder="1" applyAlignment="1">
      <alignment vertical="center"/>
    </xf>
    <xf numFmtId="0" fontId="12" fillId="25" borderId="75" xfId="46" applyFont="1" applyFill="1" applyBorder="1" applyAlignment="1">
      <alignment vertical="center"/>
    </xf>
    <xf numFmtId="0" fontId="12" fillId="25" borderId="19" xfId="46" applyFont="1" applyFill="1" applyBorder="1" applyAlignment="1">
      <alignment vertical="center"/>
    </xf>
    <xf numFmtId="175" fontId="12" fillId="25" borderId="43" xfId="46" applyNumberFormat="1" applyFont="1" applyFill="1" applyBorder="1" applyAlignment="1">
      <alignment horizontal="center" vertical="center" wrapText="1"/>
    </xf>
    <xf numFmtId="175" fontId="9" fillId="0" borderId="95" xfId="46" applyNumberFormat="1" applyBorder="1" applyAlignment="1">
      <alignment horizontal="center" wrapText="1"/>
    </xf>
    <xf numFmtId="0" fontId="12" fillId="0" borderId="0" xfId="46" applyFont="1" applyAlignment="1">
      <alignment horizontal="center" vertical="center"/>
    </xf>
    <xf numFmtId="0" fontId="12" fillId="25" borderId="38" xfId="46" applyFont="1" applyFill="1" applyBorder="1" applyAlignment="1">
      <alignment vertical="center"/>
    </xf>
    <xf numFmtId="0" fontId="12" fillId="25" borderId="34" xfId="46" applyFont="1" applyFill="1" applyBorder="1" applyAlignment="1">
      <alignment vertical="center"/>
    </xf>
    <xf numFmtId="0" fontId="12" fillId="25" borderId="43" xfId="46" applyFont="1" applyFill="1" applyBorder="1" applyAlignment="1">
      <alignment horizontal="center" vertical="center" wrapText="1"/>
    </xf>
    <xf numFmtId="0" fontId="9" fillId="0" borderId="41" xfId="46" applyBorder="1" applyAlignment="1">
      <alignment horizontal="center" wrapText="1"/>
    </xf>
    <xf numFmtId="0" fontId="12" fillId="25" borderId="41" xfId="46" applyFont="1" applyFill="1" applyBorder="1" applyAlignment="1">
      <alignment horizontal="center" vertical="center" wrapText="1"/>
    </xf>
    <xf numFmtId="0" fontId="47" fillId="0" borderId="0" xfId="46" applyFont="1" applyAlignment="1">
      <alignment horizontal="left" vertical="top" wrapText="1"/>
    </xf>
    <xf numFmtId="0" fontId="12" fillId="0" borderId="15" xfId="46" applyFont="1" applyBorder="1" applyAlignment="1">
      <alignment horizontal="left" vertical="top" wrapText="1"/>
    </xf>
    <xf numFmtId="0" fontId="9" fillId="0" borderId="95" xfId="46" applyBorder="1" applyAlignment="1">
      <alignment horizontal="center" wrapText="1"/>
    </xf>
    <xf numFmtId="0" fontId="12" fillId="0" borderId="0" xfId="46" applyFont="1" applyAlignment="1">
      <alignment vertical="top" wrapText="1"/>
    </xf>
    <xf numFmtId="0" fontId="9" fillId="0" borderId="0" xfId="46" applyFont="1" applyAlignment="1">
      <alignment horizontal="left" vertical="center"/>
    </xf>
    <xf numFmtId="0" fontId="12" fillId="0" borderId="0" xfId="46" applyFont="1" applyAlignment="1">
      <alignment horizontal="center" vertical="center" wrapText="1"/>
    </xf>
    <xf numFmtId="0" fontId="12" fillId="0" borderId="15" xfId="46" applyFont="1" applyBorder="1" applyAlignment="1">
      <alignment horizontal="left" vertical="center" wrapText="1"/>
    </xf>
    <xf numFmtId="0" fontId="46" fillId="0" borderId="0" xfId="46" applyFont="1" applyAlignment="1">
      <alignment horizontal="center" vertical="center"/>
    </xf>
    <xf numFmtId="0" fontId="14" fillId="0" borderId="0" xfId="46" applyFont="1" applyAlignment="1">
      <alignment horizontal="left" vertical="top"/>
    </xf>
    <xf numFmtId="0" fontId="46" fillId="0" borderId="0" xfId="46" applyFont="1" applyAlignment="1">
      <alignment horizontal="left" vertical="center" wrapText="1"/>
    </xf>
    <xf numFmtId="0" fontId="14" fillId="0" borderId="0" xfId="46" applyFont="1" applyAlignment="1">
      <alignment horizontal="center"/>
    </xf>
    <xf numFmtId="0" fontId="14" fillId="0" borderId="0" xfId="46" applyFont="1" applyBorder="1" applyAlignment="1">
      <alignment horizontal="center"/>
    </xf>
    <xf numFmtId="0" fontId="9" fillId="0" borderId="0" xfId="46" applyAlignment="1">
      <alignment vertical="top" wrapText="1"/>
    </xf>
    <xf numFmtId="0" fontId="12" fillId="0" borderId="72" xfId="46" applyFont="1" applyFill="1" applyBorder="1" applyAlignment="1">
      <alignment vertical="center" wrapText="1"/>
    </xf>
    <xf numFmtId="0" fontId="12" fillId="0" borderId="73" xfId="46" applyFont="1" applyFill="1" applyBorder="1" applyAlignment="1">
      <alignment vertical="center" wrapText="1"/>
    </xf>
    <xf numFmtId="0" fontId="12" fillId="0" borderId="45" xfId="46" applyFont="1" applyFill="1" applyBorder="1" applyAlignment="1">
      <alignment vertical="center" wrapText="1"/>
    </xf>
    <xf numFmtId="0" fontId="12" fillId="0" borderId="49" xfId="46" applyFont="1" applyFill="1" applyBorder="1" applyAlignment="1">
      <alignment vertical="center" wrapText="1"/>
    </xf>
    <xf numFmtId="0" fontId="12" fillId="0" borderId="0" xfId="46" applyFont="1" applyFill="1" applyBorder="1" applyAlignment="1">
      <alignment vertical="center" wrapText="1"/>
    </xf>
    <xf numFmtId="0" fontId="12" fillId="0" borderId="29" xfId="46" applyFont="1" applyFill="1" applyBorder="1" applyAlignment="1">
      <alignment vertical="center" wrapText="1"/>
    </xf>
    <xf numFmtId="0" fontId="12" fillId="0" borderId="54" xfId="46" applyFont="1" applyFill="1" applyBorder="1" applyAlignment="1">
      <alignment vertical="center" wrapText="1"/>
    </xf>
    <xf numFmtId="0" fontId="12" fillId="0" borderId="12" xfId="46" applyFont="1" applyFill="1" applyBorder="1" applyAlignment="1">
      <alignment vertical="center" wrapText="1"/>
    </xf>
    <xf numFmtId="0" fontId="12" fillId="0" borderId="56" xfId="46" applyFont="1" applyFill="1" applyBorder="1" applyAlignment="1">
      <alignment vertical="center" wrapText="1"/>
    </xf>
    <xf numFmtId="0" fontId="12" fillId="0" borderId="72" xfId="46" applyFont="1" applyFill="1" applyBorder="1" applyAlignment="1">
      <alignment horizontal="center"/>
    </xf>
    <xf numFmtId="0" fontId="9" fillId="0" borderId="73" xfId="46" applyFill="1" applyBorder="1" applyAlignment="1"/>
    <xf numFmtId="0" fontId="9" fillId="0" borderId="45" xfId="46" applyFill="1" applyBorder="1" applyAlignment="1"/>
    <xf numFmtId="0" fontId="12" fillId="0" borderId="49" xfId="46" applyFont="1" applyFill="1" applyBorder="1" applyAlignment="1">
      <alignment horizontal="center"/>
    </xf>
    <xf numFmtId="0" fontId="9" fillId="0" borderId="0" xfId="46" applyFill="1" applyBorder="1" applyAlignment="1"/>
    <xf numFmtId="0" fontId="9" fillId="0" borderId="29" xfId="46" applyFill="1" applyBorder="1" applyAlignment="1"/>
    <xf numFmtId="0" fontId="12" fillId="0" borderId="46" xfId="46" applyFont="1" applyFill="1" applyBorder="1" applyAlignment="1">
      <alignment horizontal="center"/>
    </xf>
    <xf numFmtId="0" fontId="9" fillId="0" borderId="30" xfId="46" applyFill="1" applyBorder="1" applyAlignment="1"/>
    <xf numFmtId="0" fontId="9" fillId="0" borderId="31" xfId="46" applyFill="1" applyBorder="1" applyAlignment="1"/>
    <xf numFmtId="0" fontId="9" fillId="0" borderId="49" xfId="46" applyBorder="1" applyAlignment="1">
      <alignment horizontal="left" wrapText="1"/>
    </xf>
    <xf numFmtId="0" fontId="9" fillId="0" borderId="0" xfId="46" applyBorder="1" applyAlignment="1">
      <alignment horizontal="left" wrapText="1"/>
    </xf>
    <xf numFmtId="0" fontId="9" fillId="0" borderId="29" xfId="46" applyBorder="1" applyAlignment="1">
      <alignment horizontal="left" wrapText="1"/>
    </xf>
    <xf numFmtId="165" fontId="9" fillId="29" borderId="55" xfId="29" applyNumberFormat="1" applyFill="1" applyBorder="1" applyAlignment="1"/>
    <xf numFmtId="0" fontId="9" fillId="29" borderId="13" xfId="46" applyFill="1" applyBorder="1" applyAlignment="1"/>
    <xf numFmtId="0" fontId="9" fillId="29" borderId="52" xfId="46" applyFill="1" applyBorder="1" applyAlignment="1"/>
    <xf numFmtId="165" fontId="9" fillId="29" borderId="54" xfId="29" applyNumberFormat="1" applyFill="1" applyBorder="1" applyAlignment="1"/>
    <xf numFmtId="0" fontId="9" fillId="29" borderId="12" xfId="46" applyFill="1" applyBorder="1" applyAlignment="1"/>
    <xf numFmtId="0" fontId="9" fillId="29" borderId="56" xfId="46" applyFill="1" applyBorder="1" applyAlignment="1"/>
    <xf numFmtId="0" fontId="9" fillId="0" borderId="55" xfId="46" applyBorder="1" applyAlignment="1">
      <alignment horizontal="left" wrapText="1"/>
    </xf>
    <xf numFmtId="0" fontId="9" fillId="0" borderId="13" xfId="46" applyBorder="1" applyAlignment="1">
      <alignment horizontal="left" wrapText="1"/>
    </xf>
    <xf numFmtId="0" fontId="9" fillId="0" borderId="52" xfId="46" applyBorder="1" applyAlignment="1">
      <alignment horizontal="left" wrapText="1"/>
    </xf>
    <xf numFmtId="0" fontId="9" fillId="0" borderId="92" xfId="46" applyBorder="1" applyAlignment="1">
      <alignment horizontal="left" wrapText="1"/>
    </xf>
    <xf numFmtId="0" fontId="9" fillId="0" borderId="85" xfId="46" applyBorder="1" applyAlignment="1">
      <alignment horizontal="left" wrapText="1"/>
    </xf>
    <xf numFmtId="0" fontId="9" fillId="0" borderId="60" xfId="46" applyBorder="1" applyAlignment="1">
      <alignment horizontal="left" wrapText="1"/>
    </xf>
    <xf numFmtId="0" fontId="12" fillId="0" borderId="73" xfId="46" applyFont="1" applyFill="1" applyBorder="1" applyAlignment="1">
      <alignment horizontal="center"/>
    </xf>
    <xf numFmtId="0" fontId="12" fillId="0" borderId="45" xfId="46" applyFont="1" applyFill="1" applyBorder="1" applyAlignment="1">
      <alignment horizontal="center"/>
    </xf>
    <xf numFmtId="0" fontId="12" fillId="0" borderId="0" xfId="46" applyFont="1" applyFill="1" applyBorder="1" applyAlignment="1">
      <alignment horizontal="center"/>
    </xf>
    <xf numFmtId="0" fontId="12" fillId="0" borderId="29" xfId="46" applyFont="1" applyFill="1" applyBorder="1" applyAlignment="1">
      <alignment horizontal="center"/>
    </xf>
    <xf numFmtId="0" fontId="12" fillId="0" borderId="30" xfId="46" applyFont="1" applyFill="1" applyBorder="1" applyAlignment="1">
      <alignment horizontal="center"/>
    </xf>
    <xf numFmtId="0" fontId="12" fillId="0" borderId="31" xfId="46" applyFont="1" applyFill="1" applyBorder="1" applyAlignment="1">
      <alignment horizontal="center"/>
    </xf>
    <xf numFmtId="0" fontId="9" fillId="29" borderId="92" xfId="46" applyFill="1" applyBorder="1" applyAlignment="1">
      <alignment horizontal="left" wrapText="1"/>
    </xf>
    <xf numFmtId="0" fontId="9" fillId="29" borderId="85" xfId="46" applyFill="1" applyBorder="1" applyAlignment="1">
      <alignment horizontal="left" wrapText="1"/>
    </xf>
    <xf numFmtId="0" fontId="9" fillId="29" borderId="60" xfId="46" applyFill="1" applyBorder="1" applyAlignment="1">
      <alignment horizontal="left" wrapText="1"/>
    </xf>
    <xf numFmtId="165" fontId="9" fillId="29" borderId="92" xfId="29" applyNumberFormat="1" applyFill="1" applyBorder="1" applyAlignment="1"/>
    <xf numFmtId="0" fontId="9" fillId="29" borderId="85" xfId="46" applyFill="1" applyBorder="1" applyAlignment="1"/>
    <xf numFmtId="0" fontId="9" fillId="29" borderId="60" xfId="46" applyFill="1" applyBorder="1" applyAlignment="1"/>
    <xf numFmtId="0" fontId="12" fillId="0" borderId="62" xfId="46" applyFont="1" applyBorder="1" applyAlignment="1">
      <alignment horizontal="left" wrapText="1"/>
    </xf>
    <xf numFmtId="0" fontId="12" fillId="0" borderId="112" xfId="46" applyFont="1" applyBorder="1" applyAlignment="1">
      <alignment horizontal="left" wrapText="1"/>
    </xf>
    <xf numFmtId="0" fontId="12" fillId="0" borderId="113" xfId="46" applyFont="1" applyBorder="1" applyAlignment="1">
      <alignment horizontal="left" wrapText="1"/>
    </xf>
    <xf numFmtId="165" fontId="9" fillId="29" borderId="62" xfId="29" applyNumberFormat="1" applyFill="1" applyBorder="1" applyAlignment="1"/>
    <xf numFmtId="0" fontId="9" fillId="29" borderId="112" xfId="46" applyFill="1" applyBorder="1" applyAlignment="1"/>
    <xf numFmtId="0" fontId="9" fillId="29" borderId="113" xfId="46" applyFill="1" applyBorder="1" applyAlignment="1"/>
    <xf numFmtId="0" fontId="9" fillId="0" borderId="0" xfId="46" applyAlignment="1">
      <alignment wrapText="1"/>
    </xf>
    <xf numFmtId="0" fontId="12" fillId="0" borderId="0" xfId="46" applyFont="1" applyAlignment="1">
      <alignment horizontal="center" vertical="top"/>
    </xf>
    <xf numFmtId="0" fontId="9" fillId="29" borderId="59" xfId="46" applyFill="1" applyBorder="1" applyAlignment="1">
      <alignment horizontal="left" wrapText="1"/>
    </xf>
    <xf numFmtId="0" fontId="9" fillId="29" borderId="14" xfId="46" applyFill="1" applyBorder="1" applyAlignment="1">
      <alignment horizontal="left" wrapText="1"/>
    </xf>
    <xf numFmtId="0" fontId="9" fillId="29" borderId="111" xfId="46" applyFill="1" applyBorder="1" applyAlignment="1">
      <alignment horizontal="left" wrapText="1"/>
    </xf>
    <xf numFmtId="0" fontId="12" fillId="0" borderId="46" xfId="46" applyFont="1" applyBorder="1" applyAlignment="1">
      <alignment horizontal="left" wrapText="1"/>
    </xf>
    <xf numFmtId="0" fontId="12" fillId="0" borderId="30" xfId="46" applyFont="1" applyBorder="1" applyAlignment="1">
      <alignment horizontal="left" wrapText="1"/>
    </xf>
    <xf numFmtId="0" fontId="12" fillId="0" borderId="31" xfId="46" applyFont="1" applyBorder="1" applyAlignment="1">
      <alignment horizontal="left" wrapText="1"/>
    </xf>
    <xf numFmtId="165" fontId="9" fillId="29" borderId="94" xfId="29" applyNumberFormat="1" applyFill="1" applyBorder="1" applyAlignment="1"/>
    <xf numFmtId="0" fontId="9" fillId="29" borderId="107" xfId="46" applyFill="1" applyBorder="1" applyAlignment="1"/>
    <xf numFmtId="0" fontId="9" fillId="29" borderId="84" xfId="46" applyFill="1" applyBorder="1" applyAlignment="1"/>
    <xf numFmtId="0" fontId="9" fillId="0" borderId="0" xfId="46" applyFont="1" applyAlignment="1">
      <alignment horizontal="left" wrapText="1"/>
    </xf>
    <xf numFmtId="0" fontId="9" fillId="0" borderId="0" xfId="46" applyFont="1" applyAlignment="1">
      <alignment wrapText="1"/>
    </xf>
    <xf numFmtId="0" fontId="12" fillId="0" borderId="0" xfId="46" applyFont="1" applyAlignment="1">
      <alignment horizontal="center" vertical="top" wrapText="1"/>
    </xf>
    <xf numFmtId="0" fontId="9" fillId="0" borderId="55" xfId="46" applyBorder="1" applyAlignment="1">
      <alignment horizontal="left" vertical="center" wrapText="1"/>
    </xf>
    <xf numFmtId="0" fontId="9" fillId="0" borderId="13" xfId="46" applyBorder="1" applyAlignment="1">
      <alignment horizontal="left" vertical="center" wrapText="1"/>
    </xf>
    <xf numFmtId="0" fontId="9" fillId="0" borderId="52" xfId="46" applyBorder="1" applyAlignment="1">
      <alignment horizontal="left" vertical="center" wrapText="1"/>
    </xf>
    <xf numFmtId="0" fontId="9" fillId="0" borderId="30" xfId="46" applyFont="1" applyFill="1" applyBorder="1" applyAlignment="1"/>
    <xf numFmtId="0" fontId="9" fillId="0" borderId="31" xfId="46" applyFont="1" applyFill="1" applyBorder="1" applyAlignment="1"/>
    <xf numFmtId="0" fontId="52" fillId="0" borderId="0" xfId="47" applyFont="1" applyAlignment="1">
      <alignment horizontal="left" vertical="center" wrapText="1"/>
    </xf>
    <xf numFmtId="0" fontId="9" fillId="0" borderId="0" xfId="46" applyAlignment="1">
      <alignment horizontal="center"/>
    </xf>
    <xf numFmtId="0" fontId="9" fillId="0" borderId="0" xfId="46" applyAlignment="1"/>
    <xf numFmtId="0" fontId="56" fillId="0" borderId="0" xfId="47" applyFont="1" applyAlignment="1">
      <alignment horizontal="center" vertical="center"/>
    </xf>
    <xf numFmtId="0" fontId="52" fillId="0" borderId="77" xfId="47" applyFont="1" applyBorder="1" applyAlignment="1"/>
    <xf numFmtId="0" fontId="52" fillId="0" borderId="13" xfId="47" applyFont="1" applyBorder="1" applyAlignment="1"/>
    <xf numFmtId="0" fontId="52" fillId="0" borderId="33" xfId="47" applyFont="1" applyBorder="1" applyAlignment="1"/>
    <xf numFmtId="0" fontId="52" fillId="0" borderId="110" xfId="47" applyFont="1" applyBorder="1" applyAlignment="1">
      <alignment horizontal="center"/>
    </xf>
    <xf numFmtId="0" fontId="52" fillId="0" borderId="85" xfId="47" applyFont="1" applyBorder="1" applyAlignment="1">
      <alignment horizontal="center"/>
    </xf>
    <xf numFmtId="0" fontId="52" fillId="0" borderId="79" xfId="47" applyFont="1" applyBorder="1" applyAlignment="1">
      <alignment horizontal="center"/>
    </xf>
    <xf numFmtId="0" fontId="52" fillId="0" borderId="12" xfId="47" applyFont="1" applyBorder="1" applyAlignment="1">
      <alignment horizontal="center"/>
    </xf>
    <xf numFmtId="0" fontId="52" fillId="0" borderId="18" xfId="47" applyFont="1" applyBorder="1" applyAlignment="1">
      <alignment horizontal="center"/>
    </xf>
    <xf numFmtId="0" fontId="52" fillId="0" borderId="16" xfId="47" applyFont="1" applyBorder="1" applyAlignment="1">
      <alignment horizontal="center"/>
    </xf>
    <xf numFmtId="0" fontId="52" fillId="0" borderId="77" xfId="47" applyFont="1" applyBorder="1" applyAlignment="1">
      <alignment horizontal="center"/>
    </xf>
    <xf numFmtId="0" fontId="52" fillId="0" borderId="13" xfId="47" applyFont="1" applyBorder="1" applyAlignment="1">
      <alignment horizontal="center"/>
    </xf>
    <xf numFmtId="0" fontId="52" fillId="0" borderId="33" xfId="47" applyFont="1" applyBorder="1" applyAlignment="1">
      <alignment horizontal="center"/>
    </xf>
    <xf numFmtId="0" fontId="52" fillId="0" borderId="0" xfId="47" applyFont="1" applyBorder="1" applyAlignment="1">
      <alignment horizontal="center"/>
    </xf>
    <xf numFmtId="0" fontId="56" fillId="0" borderId="0" xfId="47" applyFont="1" applyAlignment="1">
      <alignment horizontal="right" wrapText="1"/>
    </xf>
    <xf numFmtId="166" fontId="52" fillId="29" borderId="133" xfId="28" applyNumberFormat="1" applyFont="1" applyFill="1" applyBorder="1" applyAlignment="1">
      <alignment horizontal="center"/>
    </xf>
    <xf numFmtId="166" fontId="52" fillId="29" borderId="104" xfId="28" applyNumberFormat="1" applyFont="1" applyFill="1" applyBorder="1" applyAlignment="1">
      <alignment horizontal="center"/>
    </xf>
    <xf numFmtId="0" fontId="52" fillId="0" borderId="115" xfId="47" applyFont="1" applyBorder="1" applyAlignment="1">
      <alignment horizontal="center"/>
    </xf>
    <xf numFmtId="0" fontId="52" fillId="0" borderId="15" xfId="47" applyFont="1" applyBorder="1" applyAlignment="1">
      <alignment horizontal="center"/>
    </xf>
    <xf numFmtId="0" fontId="52" fillId="0" borderId="110" xfId="47" applyFont="1" applyBorder="1"/>
    <xf numFmtId="0" fontId="52" fillId="0" borderId="85" xfId="47" applyFont="1" applyBorder="1"/>
    <xf numFmtId="0" fontId="52" fillId="0" borderId="18" xfId="47" applyFont="1" applyBorder="1"/>
    <xf numFmtId="0" fontId="52" fillId="0" borderId="79" xfId="47" applyFont="1" applyBorder="1"/>
    <xf numFmtId="0" fontId="52" fillId="0" borderId="12" xfId="47" applyFont="1" applyBorder="1"/>
    <xf numFmtId="0" fontId="52" fillId="0" borderId="16" xfId="47" applyFont="1" applyBorder="1"/>
    <xf numFmtId="0" fontId="52" fillId="0" borderId="0" xfId="47" applyFont="1" applyAlignment="1">
      <alignment horizontal="left" vertical="top" wrapText="1"/>
    </xf>
    <xf numFmtId="0" fontId="52" fillId="0" borderId="0" xfId="47" applyFont="1" applyAlignment="1">
      <alignment horizontal="left" wrapText="1"/>
    </xf>
    <xf numFmtId="0" fontId="9" fillId="0" borderId="0" xfId="0" applyFont="1" applyAlignment="1">
      <alignment horizontal="left" vertical="top"/>
    </xf>
    <xf numFmtId="0" fontId="9" fillId="0" borderId="0" xfId="0" applyFont="1" applyAlignment="1">
      <alignment horizontal="left" vertical="top" indent="2"/>
    </xf>
    <xf numFmtId="0" fontId="12" fillId="0" borderId="90" xfId="0" applyFont="1" applyBorder="1" applyAlignment="1">
      <alignment horizontal="center"/>
    </xf>
    <xf numFmtId="0" fontId="12" fillId="0" borderId="22" xfId="0" applyFont="1" applyBorder="1" applyAlignment="1">
      <alignment horizontal="center"/>
    </xf>
    <xf numFmtId="0" fontId="52" fillId="0" borderId="0" xfId="0" applyFont="1" applyBorder="1" applyAlignment="1">
      <alignment horizontal="left"/>
    </xf>
    <xf numFmtId="0" fontId="9" fillId="0" borderId="0" xfId="0" applyFont="1" applyFill="1" applyBorder="1" applyAlignment="1"/>
    <xf numFmtId="0" fontId="12" fillId="0" borderId="90" xfId="0" applyFont="1" applyBorder="1" applyAlignment="1">
      <alignment horizontal="center" vertical="center"/>
    </xf>
    <xf numFmtId="0" fontId="12" fillId="0" borderId="66" xfId="0" applyFont="1" applyBorder="1" applyAlignment="1">
      <alignment horizontal="center" vertical="center"/>
    </xf>
    <xf numFmtId="0" fontId="12" fillId="0" borderId="22" xfId="0" applyFont="1" applyBorder="1" applyAlignment="1">
      <alignment horizontal="center" vertical="center"/>
    </xf>
    <xf numFmtId="9" fontId="9" fillId="0" borderId="0" xfId="28" applyNumberFormat="1" applyFont="1" applyFill="1" applyBorder="1" applyAlignment="1" applyProtection="1">
      <alignment horizontal="left" vertical="top"/>
    </xf>
    <xf numFmtId="0" fontId="9" fillId="0" borderId="0" xfId="0" applyFont="1" applyAlignment="1">
      <alignment horizontal="left"/>
    </xf>
    <xf numFmtId="0" fontId="0" fillId="0" borderId="0" xfId="0" applyFill="1" applyBorder="1" applyAlignment="1"/>
    <xf numFmtId="9" fontId="9" fillId="0" borderId="0" xfId="28" applyNumberFormat="1" applyFont="1" applyFill="1" applyBorder="1" applyAlignment="1" applyProtection="1">
      <alignment horizontal="left"/>
    </xf>
    <xf numFmtId="9" fontId="9" fillId="0" borderId="0" xfId="28" applyNumberFormat="1" applyFont="1" applyFill="1" applyBorder="1" applyAlignment="1" applyProtection="1">
      <alignment horizontal="left" vertical="center" wrapText="1"/>
    </xf>
    <xf numFmtId="0" fontId="46" fillId="0" borderId="42" xfId="93" applyFont="1" applyBorder="1" applyAlignment="1">
      <alignment horizontal="center" vertical="center"/>
    </xf>
    <xf numFmtId="0" fontId="46" fillId="0" borderId="134" xfId="93" applyFont="1" applyBorder="1" applyAlignment="1">
      <alignment horizontal="center" vertical="center"/>
    </xf>
    <xf numFmtId="0" fontId="12" fillId="0" borderId="90" xfId="93" applyFont="1" applyBorder="1" applyAlignment="1">
      <alignment horizontal="center" vertical="center"/>
    </xf>
    <xf numFmtId="0" fontId="12" fillId="0" borderId="66" xfId="93" applyFont="1" applyBorder="1" applyAlignment="1">
      <alignment horizontal="center" vertical="center"/>
    </xf>
    <xf numFmtId="0" fontId="12" fillId="0" borderId="139" xfId="93" applyFont="1" applyBorder="1" applyAlignment="1">
      <alignment horizontal="center" vertical="center"/>
    </xf>
    <xf numFmtId="0" fontId="12" fillId="0" borderId="22" xfId="93" applyFont="1" applyBorder="1" applyAlignment="1">
      <alignment horizontal="center" vertical="center"/>
    </xf>
    <xf numFmtId="0" fontId="6" fillId="81" borderId="41" xfId="93" applyFill="1" applyBorder="1" applyAlignment="1">
      <alignment horizontal="center"/>
    </xf>
    <xf numFmtId="0" fontId="6" fillId="81" borderId="31" xfId="93" applyFill="1" applyBorder="1" applyAlignment="1">
      <alignment horizontal="center"/>
    </xf>
    <xf numFmtId="0" fontId="60" fillId="0" borderId="0" xfId="93" applyFont="1" applyAlignment="1">
      <alignment horizontal="left"/>
    </xf>
    <xf numFmtId="0" fontId="76" fillId="0" borderId="143" xfId="0" applyFont="1" applyBorder="1" applyAlignment="1">
      <alignment horizontal="center"/>
    </xf>
    <xf numFmtId="0" fontId="6" fillId="81" borderId="44" xfId="93" applyFill="1" applyBorder="1" applyAlignment="1">
      <alignment horizontal="center"/>
    </xf>
    <xf numFmtId="0" fontId="6" fillId="81" borderId="22" xfId="93" applyFill="1" applyBorder="1" applyAlignment="1">
      <alignment horizontal="center"/>
    </xf>
    <xf numFmtId="0" fontId="48" fillId="0" borderId="0" xfId="0" applyFont="1" applyAlignment="1">
      <alignment horizontal="left" vertical="top" wrapText="1"/>
    </xf>
    <xf numFmtId="0" fontId="12" fillId="0" borderId="27" xfId="0" applyFont="1" applyBorder="1" applyAlignment="1">
      <alignment horizontal="left"/>
    </xf>
    <xf numFmtId="0" fontId="12" fillId="0" borderId="10" xfId="0" applyFont="1" applyBorder="1" applyAlignment="1">
      <alignment horizontal="left"/>
    </xf>
    <xf numFmtId="0" fontId="0" fillId="26" borderId="93" xfId="0" applyFill="1" applyBorder="1" applyAlignment="1">
      <alignment horizontal="center"/>
    </xf>
    <xf numFmtId="0" fontId="0" fillId="26" borderId="17" xfId="0" applyFill="1" applyBorder="1" applyAlignment="1">
      <alignment horizontal="center"/>
    </xf>
    <xf numFmtId="0" fontId="0" fillId="26" borderId="110" xfId="0" applyFill="1" applyBorder="1" applyAlignment="1">
      <alignment horizontal="center"/>
    </xf>
    <xf numFmtId="0" fontId="0" fillId="26" borderId="70" xfId="0" applyFill="1" applyBorder="1" applyAlignment="1">
      <alignment horizontal="center"/>
    </xf>
    <xf numFmtId="0" fontId="12" fillId="0" borderId="32" xfId="0" applyFont="1" applyBorder="1" applyAlignment="1">
      <alignment horizontal="left"/>
    </xf>
    <xf numFmtId="0" fontId="12" fillId="0" borderId="24" xfId="0" applyFont="1" applyBorder="1" applyAlignment="1">
      <alignment horizontal="left"/>
    </xf>
    <xf numFmtId="0" fontId="12" fillId="0" borderId="74" xfId="0" applyFont="1" applyBorder="1" applyAlignment="1">
      <alignment horizontal="left"/>
    </xf>
    <xf numFmtId="0" fontId="12" fillId="0" borderId="36" xfId="0" applyFont="1" applyBorder="1" applyAlignment="1">
      <alignment horizontal="left"/>
    </xf>
    <xf numFmtId="0" fontId="12" fillId="0" borderId="38" xfId="0" applyFont="1" applyBorder="1" applyAlignment="1">
      <alignment horizontal="left"/>
    </xf>
    <xf numFmtId="0" fontId="12" fillId="0" borderId="34" xfId="0" applyFont="1" applyBorder="1" applyAlignment="1">
      <alignment horizontal="left"/>
    </xf>
    <xf numFmtId="0" fontId="9" fillId="0" borderId="0" xfId="0" applyFont="1" applyAlignment="1">
      <alignment horizontal="left" vertical="center" wrapText="1"/>
    </xf>
    <xf numFmtId="0" fontId="0" fillId="0" borderId="0" xfId="0" applyAlignment="1">
      <alignment horizontal="left" vertical="center" wrapText="1"/>
    </xf>
    <xf numFmtId="0" fontId="0" fillId="0" borderId="54" xfId="0" applyBorder="1" applyAlignment="1">
      <alignment horizontal="left"/>
    </xf>
    <xf numFmtId="0" fontId="0" fillId="0" borderId="16" xfId="0" applyBorder="1" applyAlignment="1">
      <alignment horizontal="left"/>
    </xf>
    <xf numFmtId="0" fontId="45" fillId="0" borderId="0" xfId="0" applyFont="1" applyAlignment="1">
      <alignment wrapText="1"/>
    </xf>
    <xf numFmtId="0" fontId="12" fillId="0" borderId="54" xfId="0" applyFont="1" applyBorder="1" applyAlignment="1">
      <alignment horizontal="left"/>
    </xf>
    <xf numFmtId="0" fontId="12" fillId="0" borderId="16" xfId="0" applyFont="1" applyBorder="1" applyAlignment="1">
      <alignment horizontal="left"/>
    </xf>
    <xf numFmtId="0" fontId="12" fillId="0" borderId="46" xfId="0" applyFont="1" applyBorder="1" applyAlignment="1">
      <alignment horizontal="left"/>
    </xf>
    <xf numFmtId="0" fontId="12" fillId="0" borderId="39" xfId="0" applyFont="1" applyBorder="1" applyAlignment="1">
      <alignment horizontal="left"/>
    </xf>
    <xf numFmtId="0" fontId="0" fillId="0" borderId="55" xfId="0" applyBorder="1" applyAlignment="1">
      <alignment horizontal="left"/>
    </xf>
    <xf numFmtId="0" fontId="0" fillId="0" borderId="33" xfId="0" applyBorder="1" applyAlignment="1">
      <alignment horizontal="left"/>
    </xf>
    <xf numFmtId="0" fontId="9" fillId="0" borderId="49" xfId="0" applyFont="1" applyBorder="1" applyAlignment="1">
      <alignment horizontal="left"/>
    </xf>
    <xf numFmtId="0" fontId="0" fillId="0" borderId="15" xfId="0" applyBorder="1" applyAlignment="1">
      <alignment horizontal="left"/>
    </xf>
    <xf numFmtId="0" fontId="0" fillId="29" borderId="55" xfId="0" applyFill="1" applyBorder="1" applyAlignment="1">
      <alignment horizontal="left"/>
    </xf>
    <xf numFmtId="0" fontId="0" fillId="29" borderId="33" xfId="0" applyFill="1" applyBorder="1" applyAlignment="1">
      <alignment horizontal="left"/>
    </xf>
    <xf numFmtId="0" fontId="0" fillId="29" borderId="59" xfId="0" applyFill="1" applyBorder="1" applyAlignment="1">
      <alignment horizontal="left"/>
    </xf>
    <xf numFmtId="0" fontId="0" fillId="29" borderId="89" xfId="0" applyFill="1" applyBorder="1" applyAlignment="1">
      <alignment horizontal="left"/>
    </xf>
    <xf numFmtId="0" fontId="76" fillId="66" borderId="0" xfId="93" applyFont="1" applyFill="1" applyBorder="1" applyAlignment="1">
      <alignment horizontal="center"/>
    </xf>
    <xf numFmtId="0" fontId="76" fillId="66" borderId="29" xfId="93" applyFont="1" applyFill="1" applyBorder="1" applyAlignment="1">
      <alignment horizontal="center"/>
    </xf>
    <xf numFmtId="0" fontId="90" fillId="0" borderId="46" xfId="93" applyFont="1" applyBorder="1" applyAlignment="1">
      <alignment horizontal="left" vertical="top" wrapText="1"/>
    </xf>
    <xf numFmtId="0" fontId="90" fillId="0" borderId="30" xfId="93" applyFont="1" applyBorder="1" applyAlignment="1">
      <alignment horizontal="left" vertical="top" wrapText="1"/>
    </xf>
    <xf numFmtId="0" fontId="90" fillId="0" borderId="31" xfId="93" applyFont="1" applyBorder="1" applyAlignment="1">
      <alignment horizontal="left" vertical="top" wrapText="1"/>
    </xf>
    <xf numFmtId="49" fontId="93" fillId="0" borderId="0" xfId="94" applyNumberFormat="1" applyFont="1" applyBorder="1" applyAlignment="1">
      <alignment vertical="top" wrapText="1"/>
    </xf>
    <xf numFmtId="49" fontId="6" fillId="0" borderId="0" xfId="93" applyNumberFormat="1" applyFont="1" applyAlignment="1">
      <alignment vertical="top" wrapText="1"/>
    </xf>
    <xf numFmtId="0" fontId="76" fillId="66" borderId="72" xfId="93" applyFont="1" applyFill="1" applyBorder="1" applyAlignment="1">
      <alignment horizontal="center"/>
    </xf>
    <xf numFmtId="0" fontId="76" fillId="66" borderId="73" xfId="93" applyFont="1" applyFill="1" applyBorder="1" applyAlignment="1">
      <alignment horizontal="center"/>
    </xf>
    <xf numFmtId="0" fontId="76" fillId="66" borderId="45" xfId="93" applyFont="1" applyFill="1" applyBorder="1" applyAlignment="1">
      <alignment horizontal="center"/>
    </xf>
    <xf numFmtId="0" fontId="6" fillId="66" borderId="49" xfId="93" applyFont="1" applyFill="1" applyBorder="1" applyAlignment="1">
      <alignment vertical="top" wrapText="1"/>
    </xf>
    <xf numFmtId="0" fontId="6" fillId="66" borderId="0" xfId="93" applyFont="1" applyFill="1" applyAlignment="1">
      <alignment vertical="top" wrapText="1"/>
    </xf>
    <xf numFmtId="0" fontId="76" fillId="0" borderId="46" xfId="93" applyFont="1" applyBorder="1" applyAlignment="1">
      <alignment vertical="top" wrapText="1"/>
    </xf>
    <xf numFmtId="0" fontId="76" fillId="0" borderId="30" xfId="93" applyFont="1" applyBorder="1" applyAlignment="1">
      <alignment vertical="top" wrapText="1"/>
    </xf>
    <xf numFmtId="173" fontId="94" fillId="29" borderId="49" xfId="94" applyNumberFormat="1" applyFont="1" applyFill="1" applyBorder="1" applyAlignment="1">
      <alignment horizontal="center"/>
    </xf>
    <xf numFmtId="173" fontId="94" fillId="29" borderId="0" xfId="94" applyNumberFormat="1" applyFont="1" applyFill="1" applyBorder="1" applyAlignment="1">
      <alignment horizontal="center"/>
    </xf>
    <xf numFmtId="173" fontId="94" fillId="29" borderId="29" xfId="94" applyNumberFormat="1" applyFont="1" applyFill="1" applyBorder="1" applyAlignment="1">
      <alignment horizontal="center"/>
    </xf>
    <xf numFmtId="0" fontId="76" fillId="66" borderId="55" xfId="93" applyFont="1" applyFill="1" applyBorder="1" applyAlignment="1">
      <alignment horizontal="center" vertical="center"/>
    </xf>
    <xf numFmtId="0" fontId="76" fillId="66" borderId="13" xfId="93" applyFont="1" applyFill="1" applyBorder="1" applyAlignment="1">
      <alignment horizontal="center" vertical="center"/>
    </xf>
    <xf numFmtId="0" fontId="76" fillId="66" borderId="52" xfId="93" applyFont="1" applyFill="1" applyBorder="1" applyAlignment="1">
      <alignment horizontal="center" vertical="center"/>
    </xf>
    <xf numFmtId="0" fontId="6" fillId="0" borderId="0" xfId="93" applyFont="1" applyAlignment="1">
      <alignment vertical="top" wrapText="1"/>
    </xf>
    <xf numFmtId="0" fontId="6" fillId="0" borderId="0" xfId="93" applyFont="1" applyBorder="1" applyAlignment="1">
      <alignment vertical="top" wrapText="1"/>
    </xf>
    <xf numFmtId="0" fontId="76" fillId="0" borderId="72" xfId="93" applyFont="1" applyBorder="1" applyAlignment="1">
      <alignment horizontal="center" vertical="top" wrapText="1"/>
    </xf>
    <xf numFmtId="0" fontId="76" fillId="0" borderId="73" xfId="93" applyFont="1" applyBorder="1" applyAlignment="1">
      <alignment horizontal="center" vertical="top" wrapText="1"/>
    </xf>
    <xf numFmtId="0" fontId="76" fillId="0" borderId="45" xfId="93" applyFont="1" applyBorder="1" applyAlignment="1">
      <alignment horizontal="center" vertical="top" wrapText="1"/>
    </xf>
    <xf numFmtId="0" fontId="6" fillId="0" borderId="0" xfId="93" applyFont="1" applyAlignment="1">
      <alignment horizontal="left" vertical="top" wrapText="1"/>
    </xf>
    <xf numFmtId="0" fontId="5" fillId="0" borderId="0" xfId="93" applyFont="1" applyBorder="1" applyAlignment="1">
      <alignment horizontal="left" vertical="top" wrapText="1"/>
    </xf>
    <xf numFmtId="0" fontId="6" fillId="0" borderId="0" xfId="93" applyFont="1" applyBorder="1" applyAlignment="1">
      <alignment horizontal="left" vertical="top" wrapText="1"/>
    </xf>
    <xf numFmtId="0" fontId="76" fillId="66" borderId="49" xfId="93" applyFont="1" applyFill="1" applyBorder="1" applyAlignment="1">
      <alignment horizontal="left" vertical="center"/>
    </xf>
    <xf numFmtId="0" fontId="76" fillId="66" borderId="0" xfId="93" applyFont="1" applyFill="1" applyBorder="1" applyAlignment="1">
      <alignment horizontal="left" vertical="center"/>
    </xf>
    <xf numFmtId="0" fontId="61" fillId="0" borderId="0" xfId="46"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2" fillId="27" borderId="77" xfId="0" applyFont="1" applyFill="1" applyBorder="1" applyAlignment="1">
      <alignment horizontal="left"/>
    </xf>
    <xf numFmtId="0" fontId="12" fillId="27" borderId="13" xfId="0" applyFont="1" applyFill="1" applyBorder="1" applyAlignment="1">
      <alignment horizontal="left"/>
    </xf>
    <xf numFmtId="0" fontId="12" fillId="27" borderId="33" xfId="0" applyFont="1" applyFill="1" applyBorder="1" applyAlignment="1">
      <alignment horizontal="left"/>
    </xf>
    <xf numFmtId="0" fontId="12" fillId="27" borderId="79" xfId="0" applyFont="1" applyFill="1" applyBorder="1" applyAlignment="1">
      <alignment horizontal="left"/>
    </xf>
    <xf numFmtId="0" fontId="12" fillId="27" borderId="12" xfId="0" applyFont="1" applyFill="1" applyBorder="1" applyAlignment="1">
      <alignment horizontal="left"/>
    </xf>
    <xf numFmtId="0" fontId="12" fillId="27" borderId="16" xfId="0" applyFont="1" applyFill="1" applyBorder="1" applyAlignment="1">
      <alignment horizontal="left"/>
    </xf>
    <xf numFmtId="0" fontId="9" fillId="0" borderId="0" xfId="0" applyFont="1" applyAlignment="1">
      <alignment wrapText="1"/>
    </xf>
    <xf numFmtId="0" fontId="12" fillId="0" borderId="55" xfId="0" applyFont="1" applyBorder="1" applyAlignment="1">
      <alignment horizontal="left"/>
    </xf>
    <xf numFmtId="0" fontId="12" fillId="0" borderId="33" xfId="0" applyFont="1" applyBorder="1" applyAlignment="1">
      <alignment horizontal="left"/>
    </xf>
    <xf numFmtId="0" fontId="12" fillId="0" borderId="94" xfId="0" applyFont="1" applyBorder="1" applyAlignment="1">
      <alignment horizontal="left"/>
    </xf>
    <xf numFmtId="0" fontId="12" fillId="0" borderId="83" xfId="0" applyFont="1" applyBorder="1" applyAlignment="1">
      <alignment horizontal="left"/>
    </xf>
    <xf numFmtId="0" fontId="12" fillId="0" borderId="55" xfId="0" applyFont="1" applyBorder="1" applyAlignment="1">
      <alignment horizontal="left" vertical="top" wrapText="1"/>
    </xf>
    <xf numFmtId="0" fontId="12" fillId="0" borderId="33" xfId="0" applyFont="1" applyBorder="1" applyAlignment="1">
      <alignment horizontal="left" vertical="top" wrapText="1"/>
    </xf>
    <xf numFmtId="0" fontId="82" fillId="0" borderId="90" xfId="0" applyFont="1" applyBorder="1" applyAlignment="1">
      <alignment horizontal="left" vertical="center"/>
    </xf>
    <xf numFmtId="0" fontId="82" fillId="0" borderId="23" xfId="0" applyFont="1" applyBorder="1" applyAlignment="1">
      <alignment horizontal="left" vertical="center"/>
    </xf>
    <xf numFmtId="0" fontId="12" fillId="0" borderId="32" xfId="0" applyFont="1" applyBorder="1" applyAlignment="1">
      <alignment horizontal="left" vertical="center"/>
    </xf>
    <xf numFmtId="0" fontId="12" fillId="0" borderId="24" xfId="0" applyFont="1" applyBorder="1" applyAlignment="1">
      <alignment horizontal="left" vertical="center"/>
    </xf>
    <xf numFmtId="0" fontId="0" fillId="0" borderId="27" xfId="0" quotePrefix="1" applyBorder="1" applyAlignment="1">
      <alignment horizontal="center"/>
    </xf>
    <xf numFmtId="0" fontId="0" fillId="0" borderId="10" xfId="0" quotePrefix="1" applyBorder="1" applyAlignment="1">
      <alignment horizontal="center"/>
    </xf>
    <xf numFmtId="0" fontId="12" fillId="0" borderId="0" xfId="0" applyFont="1" applyAlignment="1">
      <alignment horizontal="left" vertical="center" wrapText="1" indent="4"/>
    </xf>
    <xf numFmtId="0" fontId="0" fillId="0" borderId="0" xfId="0" applyAlignment="1">
      <alignment horizontal="left" wrapText="1" indent="4"/>
    </xf>
    <xf numFmtId="0" fontId="14" fillId="0" borderId="0" xfId="0" applyFont="1" applyAlignment="1">
      <alignment horizontal="center"/>
    </xf>
    <xf numFmtId="0" fontId="12" fillId="0" borderId="0" xfId="0" applyFont="1" applyAlignment="1">
      <alignment horizontal="left" vertical="top" wrapText="1"/>
    </xf>
    <xf numFmtId="0" fontId="12" fillId="25" borderId="93" xfId="0" applyFont="1" applyFill="1" applyBorder="1" applyAlignment="1"/>
    <xf numFmtId="0" fontId="0" fillId="25" borderId="78" xfId="0" applyFill="1" applyBorder="1" applyAlignment="1"/>
    <xf numFmtId="0" fontId="12" fillId="25" borderId="17" xfId="0" applyFont="1" applyFill="1" applyBorder="1" applyAlignment="1"/>
    <xf numFmtId="0" fontId="0" fillId="25" borderId="19" xfId="0" applyFill="1" applyBorder="1" applyAlignment="1"/>
    <xf numFmtId="0" fontId="12" fillId="25" borderId="75" xfId="0" applyFont="1" applyFill="1" applyBorder="1" applyAlignment="1">
      <alignment horizontal="center" vertical="center" wrapText="1"/>
    </xf>
    <xf numFmtId="0" fontId="12" fillId="25" borderId="11" xfId="0" applyFont="1" applyFill="1" applyBorder="1" applyAlignment="1">
      <alignment horizontal="center" vertical="center" wrapText="1"/>
    </xf>
    <xf numFmtId="0" fontId="0" fillId="25" borderId="19" xfId="0" applyFill="1" applyBorder="1" applyAlignment="1">
      <alignment horizontal="center" vertical="center" wrapText="1"/>
    </xf>
    <xf numFmtId="0" fontId="12" fillId="25" borderId="32" xfId="0" applyFont="1" applyFill="1" applyBorder="1" applyAlignment="1">
      <alignment horizontal="center"/>
    </xf>
    <xf numFmtId="0" fontId="12" fillId="25" borderId="24" xfId="0" applyFont="1" applyFill="1" applyBorder="1" applyAlignment="1">
      <alignment horizontal="center"/>
    </xf>
    <xf numFmtId="0" fontId="12" fillId="25" borderId="24" xfId="0" applyFont="1" applyFill="1" applyBorder="1" applyAlignment="1">
      <alignment horizontal="center" wrapText="1"/>
    </xf>
    <xf numFmtId="0" fontId="12" fillId="25" borderId="10" xfId="0" applyFont="1" applyFill="1" applyBorder="1" applyAlignment="1">
      <alignment horizontal="center" wrapText="1"/>
    </xf>
    <xf numFmtId="0" fontId="12" fillId="25" borderId="0" xfId="0" applyFont="1" applyFill="1" applyBorder="1" applyAlignment="1">
      <alignment horizontal="center" wrapText="1"/>
    </xf>
    <xf numFmtId="0" fontId="12" fillId="25" borderId="24"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0" fillId="25" borderId="10" xfId="0" applyFill="1" applyBorder="1" applyAlignment="1">
      <alignment horizontal="center" vertical="center" wrapText="1"/>
    </xf>
    <xf numFmtId="0" fontId="12" fillId="25" borderId="63" xfId="0" applyFont="1" applyFill="1" applyBorder="1" applyAlignment="1">
      <alignment horizontal="center" wrapText="1"/>
    </xf>
    <xf numFmtId="0" fontId="12" fillId="25" borderId="25" xfId="0" applyFont="1" applyFill="1" applyBorder="1" applyAlignment="1">
      <alignment horizontal="center" wrapText="1"/>
    </xf>
    <xf numFmtId="0" fontId="12" fillId="25" borderId="27" xfId="0" applyFont="1" applyFill="1" applyBorder="1" applyAlignment="1"/>
    <xf numFmtId="0" fontId="0" fillId="25" borderId="27" xfId="0" applyFill="1" applyBorder="1" applyAlignment="1"/>
    <xf numFmtId="0" fontId="12" fillId="25" borderId="10" xfId="0" applyFont="1" applyFill="1" applyBorder="1" applyAlignment="1"/>
    <xf numFmtId="0" fontId="0" fillId="25" borderId="10" xfId="0" applyFill="1" applyBorder="1" applyAlignment="1"/>
    <xf numFmtId="0" fontId="16" fillId="0" borderId="0" xfId="46" applyFont="1" applyFill="1" applyAlignment="1" applyProtection="1">
      <alignment horizontal="center" vertical="center"/>
    </xf>
    <xf numFmtId="0" fontId="12" fillId="0" borderId="0" xfId="46" applyFont="1" applyBorder="1" applyAlignment="1" applyProtection="1">
      <alignment horizontal="right" wrapText="1"/>
    </xf>
    <xf numFmtId="0" fontId="9" fillId="0" borderId="12" xfId="46" applyBorder="1" applyAlignment="1">
      <alignment wrapText="1"/>
    </xf>
    <xf numFmtId="0" fontId="12" fillId="0" borderId="12" xfId="46" applyFont="1" applyBorder="1" applyAlignment="1" applyProtection="1">
      <alignment horizontal="center" vertical="center"/>
    </xf>
    <xf numFmtId="0" fontId="43" fillId="29" borderId="0" xfId="0" applyFont="1" applyFill="1" applyAlignment="1">
      <alignment horizontal="center"/>
    </xf>
    <xf numFmtId="0" fontId="9" fillId="29" borderId="0" xfId="46" applyFill="1" applyAlignment="1" applyProtection="1">
      <protection locked="0"/>
    </xf>
    <xf numFmtId="0" fontId="82" fillId="0" borderId="0" xfId="46" applyFont="1" applyAlignment="1" applyProtection="1">
      <alignment horizontal="center" vertical="center"/>
    </xf>
    <xf numFmtId="0" fontId="9" fillId="0" borderId="0" xfId="46" applyAlignment="1" applyProtection="1"/>
    <xf numFmtId="0" fontId="15" fillId="0" borderId="0" xfId="46" applyFont="1" applyBorder="1" applyAlignment="1" applyProtection="1">
      <alignment horizontal="left"/>
    </xf>
    <xf numFmtId="0" fontId="82" fillId="0" borderId="0" xfId="0" applyFont="1" applyAlignment="1">
      <alignment horizontal="center" vertical="center"/>
    </xf>
    <xf numFmtId="0" fontId="12" fillId="0" borderId="0" xfId="0" applyFont="1" applyFill="1" applyAlignment="1">
      <alignment horizontal="left" vertical="center" wrapText="1"/>
    </xf>
    <xf numFmtId="0" fontId="9" fillId="0" borderId="0" xfId="0" applyFont="1" applyFill="1" applyAlignment="1">
      <alignment horizontal="left" vertical="top" wrapText="1"/>
    </xf>
    <xf numFmtId="0" fontId="0" fillId="0" borderId="27" xfId="0" applyBorder="1" applyAlignment="1">
      <alignment horizontal="left" vertical="center" wrapText="1"/>
    </xf>
    <xf numFmtId="0" fontId="0" fillId="0" borderId="10" xfId="0" applyBorder="1" applyAlignment="1">
      <alignment horizontal="left" vertical="center" wrapText="1"/>
    </xf>
    <xf numFmtId="0" fontId="12" fillId="0" borderId="78" xfId="0" applyFont="1" applyFill="1" applyBorder="1" applyAlignment="1">
      <alignment vertical="top" wrapText="1"/>
    </xf>
    <xf numFmtId="0" fontId="12" fillId="0" borderId="19" xfId="0" applyFont="1" applyFill="1" applyBorder="1" applyAlignment="1">
      <alignment vertical="top" wrapText="1"/>
    </xf>
    <xf numFmtId="0" fontId="12" fillId="0" borderId="27" xfId="0" applyFont="1" applyFill="1" applyBorder="1" applyAlignment="1">
      <alignment vertical="top" wrapText="1"/>
    </xf>
    <xf numFmtId="0" fontId="12" fillId="0" borderId="10" xfId="0" applyFont="1" applyFill="1" applyBorder="1" applyAlignment="1">
      <alignment vertical="top" wrapText="1"/>
    </xf>
    <xf numFmtId="0" fontId="12" fillId="0" borderId="1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96" xfId="0" applyFont="1" applyFill="1" applyBorder="1" applyAlignment="1">
      <alignment horizontal="left"/>
    </xf>
    <xf numFmtId="0" fontId="12" fillId="0" borderId="75" xfId="0" applyFont="1" applyFill="1" applyBorder="1" applyAlignment="1">
      <alignment horizontal="left"/>
    </xf>
    <xf numFmtId="0" fontId="12" fillId="0" borderId="65"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9" fillId="0" borderId="0" xfId="0" applyFont="1" applyFill="1" applyAlignment="1">
      <alignment horizontal="left" vertical="top"/>
    </xf>
    <xf numFmtId="0" fontId="0" fillId="0" borderId="55" xfId="0" applyBorder="1" applyAlignment="1">
      <alignment horizontal="left" vertical="top" wrapText="1"/>
    </xf>
    <xf numFmtId="0" fontId="0" fillId="0" borderId="33" xfId="0" applyBorder="1" applyAlignment="1">
      <alignment horizontal="left" vertical="top" wrapText="1"/>
    </xf>
    <xf numFmtId="0" fontId="0" fillId="0" borderId="27" xfId="0" applyFill="1" applyBorder="1" applyAlignment="1">
      <alignment horizontal="left" vertical="center" wrapText="1"/>
    </xf>
    <xf numFmtId="0" fontId="0" fillId="0" borderId="10" xfId="0" applyFill="1" applyBorder="1" applyAlignment="1">
      <alignment horizontal="left" vertical="center" wrapText="1"/>
    </xf>
    <xf numFmtId="0" fontId="9" fillId="0" borderId="93" xfId="0" applyFont="1" applyBorder="1" applyAlignment="1">
      <alignment horizontal="left" vertical="center" wrapText="1"/>
    </xf>
    <xf numFmtId="0" fontId="9" fillId="0" borderId="17" xfId="0" applyFont="1" applyBorder="1" applyAlignment="1">
      <alignment horizontal="left" vertical="center" wrapText="1"/>
    </xf>
    <xf numFmtId="0" fontId="12" fillId="0" borderId="97" xfId="0" applyFont="1" applyBorder="1" applyAlignment="1">
      <alignment horizontal="left"/>
    </xf>
    <xf numFmtId="0" fontId="12" fillId="0" borderId="86" xfId="0" applyFont="1" applyBorder="1" applyAlignment="1">
      <alignment horizontal="left"/>
    </xf>
    <xf numFmtId="0" fontId="0" fillId="0" borderId="55" xfId="0" applyBorder="1" applyAlignment="1">
      <alignment vertical="top" wrapText="1"/>
    </xf>
    <xf numFmtId="0" fontId="0" fillId="0" borderId="33" xfId="0" applyBorder="1" applyAlignment="1">
      <alignment vertical="top" wrapText="1"/>
    </xf>
    <xf numFmtId="0" fontId="9" fillId="0" borderId="94" xfId="0" applyFont="1" applyFill="1" applyBorder="1" applyAlignment="1">
      <alignment horizontal="left" vertical="top" wrapText="1"/>
    </xf>
    <xf numFmtId="0" fontId="9" fillId="0" borderId="83" xfId="0" applyFont="1" applyFill="1" applyBorder="1" applyAlignment="1">
      <alignment horizontal="left" vertical="top" wrapText="1"/>
    </xf>
    <xf numFmtId="0" fontId="12" fillId="0" borderId="32"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76" xfId="0" applyFont="1" applyFill="1" applyBorder="1" applyAlignment="1">
      <alignment horizontal="center" vertical="center" wrapText="1"/>
    </xf>
    <xf numFmtId="0" fontId="0" fillId="0" borderId="69" xfId="0" applyFill="1" applyBorder="1" applyAlignment="1">
      <alignment vertical="center" wrapText="1"/>
    </xf>
    <xf numFmtId="0" fontId="0" fillId="0" borderId="65" xfId="0" applyFill="1" applyBorder="1" applyAlignment="1">
      <alignment vertical="center" wrapText="1"/>
    </xf>
    <xf numFmtId="0" fontId="0" fillId="0" borderId="10" xfId="0" applyFill="1" applyBorder="1" applyAlignment="1">
      <alignment horizontal="center" vertical="center" wrapText="1"/>
    </xf>
    <xf numFmtId="0" fontId="12" fillId="0" borderId="55" xfId="0" applyFont="1" applyFill="1" applyBorder="1" applyAlignment="1">
      <alignment horizontal="left" vertical="center" wrapText="1"/>
    </xf>
    <xf numFmtId="0" fontId="12" fillId="0" borderId="33" xfId="0" applyFont="1" applyFill="1" applyBorder="1" applyAlignment="1">
      <alignment horizontal="left" vertical="center" wrapText="1"/>
    </xf>
    <xf numFmtId="0" fontId="12" fillId="0" borderId="32" xfId="0" applyFont="1" applyFill="1" applyBorder="1" applyAlignment="1">
      <alignment vertical="top" wrapText="1"/>
    </xf>
    <xf numFmtId="0" fontId="12" fillId="0" borderId="24" xfId="0" applyFont="1" applyFill="1" applyBorder="1" applyAlignment="1">
      <alignment vertical="top" wrapText="1"/>
    </xf>
    <xf numFmtId="0" fontId="12" fillId="0" borderId="24" xfId="0" applyFont="1" applyFill="1" applyBorder="1" applyAlignment="1">
      <alignment horizontal="center"/>
    </xf>
    <xf numFmtId="0" fontId="0" fillId="0" borderId="65" xfId="0" applyFill="1" applyBorder="1" applyAlignment="1">
      <alignment horizontal="center" vertical="center" wrapText="1"/>
    </xf>
    <xf numFmtId="0" fontId="9" fillId="0" borderId="28" xfId="0" applyFont="1" applyFill="1" applyBorder="1" applyAlignment="1">
      <alignment vertical="center" wrapText="1"/>
    </xf>
    <xf numFmtId="0" fontId="9" fillId="0" borderId="26" xfId="0" applyFont="1" applyFill="1" applyBorder="1" applyAlignment="1">
      <alignment vertical="center" wrapText="1"/>
    </xf>
    <xf numFmtId="0" fontId="9" fillId="0" borderId="43" xfId="0" applyFont="1" applyBorder="1" applyAlignment="1">
      <alignment wrapText="1"/>
    </xf>
    <xf numFmtId="0" fontId="9" fillId="0" borderId="41" xfId="0" applyFont="1" applyBorder="1" applyAlignment="1">
      <alignment wrapText="1"/>
    </xf>
    <xf numFmtId="9" fontId="9" fillId="29" borderId="29" xfId="42" applyFont="1" applyFill="1" applyBorder="1" applyAlignment="1">
      <alignment wrapText="1"/>
    </xf>
    <xf numFmtId="9" fontId="9" fillId="24" borderId="31" xfId="42" applyFont="1" applyFill="1" applyBorder="1" applyAlignment="1">
      <alignment wrapText="1"/>
    </xf>
    <xf numFmtId="10" fontId="9" fillId="0" borderId="43" xfId="42" applyNumberFormat="1" applyFont="1" applyBorder="1" applyAlignment="1">
      <alignment horizontal="center" vertical="center"/>
    </xf>
    <xf numFmtId="10" fontId="9" fillId="0" borderId="41" xfId="42" applyNumberFormat="1" applyFont="1" applyBorder="1" applyAlignment="1">
      <alignment horizontal="center" vertical="center"/>
    </xf>
    <xf numFmtId="0" fontId="9" fillId="29" borderId="0" xfId="0" applyFont="1" applyFill="1" applyBorder="1" applyAlignment="1">
      <alignment horizontal="left" vertical="center" wrapText="1"/>
    </xf>
    <xf numFmtId="0" fontId="9" fillId="24" borderId="0" xfId="0" applyFont="1" applyFill="1" applyBorder="1" applyAlignment="1">
      <alignment horizontal="left" vertical="center" wrapText="1"/>
    </xf>
    <xf numFmtId="0" fontId="84" fillId="0" borderId="0" xfId="0" applyFont="1" applyFill="1" applyAlignment="1">
      <alignment horizontal="center" vertical="center"/>
    </xf>
    <xf numFmtId="0" fontId="81" fillId="0" borderId="0" xfId="0" applyFont="1" applyFill="1" applyAlignment="1">
      <alignment horizontal="center" vertical="center"/>
    </xf>
    <xf numFmtId="0" fontId="9" fillId="0" borderId="0" xfId="0" applyFont="1" applyFill="1" applyBorder="1" applyAlignment="1">
      <alignment horizontal="left" vertical="center" wrapText="1"/>
    </xf>
    <xf numFmtId="0" fontId="15" fillId="0" borderId="0" xfId="0" applyFont="1" applyAlignment="1">
      <alignment horizontal="center"/>
    </xf>
    <xf numFmtId="0" fontId="0" fillId="0" borderId="32" xfId="0" applyFill="1" applyBorder="1" applyAlignment="1">
      <alignment horizontal="center"/>
    </xf>
    <xf numFmtId="0" fontId="0" fillId="0" borderId="24" xfId="0" applyFill="1" applyBorder="1" applyAlignment="1">
      <alignment horizontal="center"/>
    </xf>
    <xf numFmtId="0" fontId="0" fillId="0" borderId="27" xfId="0" applyFill="1" applyBorder="1" applyAlignment="1">
      <alignment horizontal="center"/>
    </xf>
    <xf numFmtId="0" fontId="0" fillId="0" borderId="10" xfId="0" applyFill="1" applyBorder="1" applyAlignment="1">
      <alignment horizontal="center"/>
    </xf>
    <xf numFmtId="0" fontId="12" fillId="0" borderId="81" xfId="0" applyFont="1" applyFill="1" applyBorder="1" applyAlignment="1">
      <alignment horizontal="center"/>
    </xf>
    <xf numFmtId="0" fontId="12" fillId="0" borderId="91" xfId="0" applyFont="1" applyFill="1" applyBorder="1" applyAlignment="1">
      <alignment horizontal="center"/>
    </xf>
    <xf numFmtId="0" fontId="12" fillId="0" borderId="51" xfId="0" applyFont="1" applyFill="1" applyBorder="1" applyAlignment="1">
      <alignment horizontal="center"/>
    </xf>
    <xf numFmtId="0" fontId="40" fillId="27" borderId="77" xfId="0" applyFont="1" applyFill="1" applyBorder="1" applyAlignment="1">
      <alignment horizontal="left"/>
    </xf>
    <xf numFmtId="0" fontId="40" fillId="27" borderId="13" xfId="0" applyFont="1" applyFill="1" applyBorder="1" applyAlignment="1">
      <alignment horizontal="left"/>
    </xf>
    <xf numFmtId="0" fontId="40" fillId="27" borderId="52" xfId="0" applyFont="1" applyFill="1" applyBorder="1" applyAlignment="1">
      <alignment horizontal="left"/>
    </xf>
    <xf numFmtId="0" fontId="40" fillId="27" borderId="77" xfId="0" applyFont="1" applyFill="1" applyBorder="1" applyAlignment="1">
      <alignment horizontal="left" vertical="top" wrapText="1"/>
    </xf>
    <xf numFmtId="0" fontId="40" fillId="27" borderId="13" xfId="0" applyFont="1" applyFill="1" applyBorder="1" applyAlignment="1">
      <alignment horizontal="left" vertical="top" wrapText="1"/>
    </xf>
    <xf numFmtId="0" fontId="40" fillId="27" borderId="52" xfId="0" applyFont="1" applyFill="1" applyBorder="1" applyAlignment="1">
      <alignment horizontal="left" vertical="top" wrapText="1"/>
    </xf>
    <xf numFmtId="0" fontId="31" fillId="0" borderId="0" xfId="0" applyFont="1" applyAlignment="1">
      <alignment vertical="top" wrapText="1"/>
    </xf>
    <xf numFmtId="0" fontId="9" fillId="0" borderId="0" xfId="0" applyFont="1" applyAlignment="1">
      <alignment vertical="top" wrapText="1"/>
    </xf>
    <xf numFmtId="0" fontId="31" fillId="0" borderId="0" xfId="0" applyFont="1" applyAlignment="1">
      <alignment horizontal="left"/>
    </xf>
    <xf numFmtId="0" fontId="39" fillId="0" borderId="0" xfId="0" applyFont="1" applyAlignment="1">
      <alignment horizontal="left"/>
    </xf>
    <xf numFmtId="0" fontId="40" fillId="0" borderId="0" xfId="0" applyFont="1" applyAlignment="1">
      <alignment vertical="top" wrapText="1"/>
    </xf>
    <xf numFmtId="0" fontId="39" fillId="0" borderId="0" xfId="0" applyFont="1" applyAlignment="1">
      <alignment vertical="top" wrapText="1"/>
    </xf>
    <xf numFmtId="0" fontId="9" fillId="0" borderId="0" xfId="46" applyFont="1" applyAlignment="1">
      <alignment horizontal="center" vertical="top"/>
    </xf>
    <xf numFmtId="0" fontId="9" fillId="0" borderId="0" xfId="46" applyFont="1" applyAlignment="1">
      <alignment horizontal="center" vertical="top" wrapText="1"/>
    </xf>
    <xf numFmtId="0" fontId="9" fillId="29" borderId="89" xfId="46" applyFill="1" applyBorder="1" applyAlignment="1">
      <alignment horizontal="left" wrapText="1"/>
    </xf>
    <xf numFmtId="0" fontId="12" fillId="0" borderId="39" xfId="46" applyFont="1" applyBorder="1" applyAlignment="1">
      <alignment horizontal="left" wrapText="1"/>
    </xf>
    <xf numFmtId="0" fontId="9" fillId="0" borderId="33" xfId="46" applyBorder="1" applyAlignment="1">
      <alignment horizontal="left" wrapText="1"/>
    </xf>
    <xf numFmtId="0" fontId="9" fillId="0" borderId="15" xfId="46" applyBorder="1" applyAlignment="1">
      <alignment horizontal="left" wrapText="1"/>
    </xf>
    <xf numFmtId="0" fontId="9" fillId="0" borderId="18" xfId="46" applyBorder="1" applyAlignment="1">
      <alignment horizontal="left" wrapText="1"/>
    </xf>
    <xf numFmtId="0" fontId="9" fillId="0" borderId="55" xfId="46" applyFont="1" applyBorder="1" applyAlignment="1">
      <alignment horizontal="left" wrapText="1"/>
    </xf>
    <xf numFmtId="0" fontId="16" fillId="0" borderId="0" xfId="46" applyFont="1" applyAlignment="1">
      <alignment horizontal="center" wrapText="1"/>
    </xf>
    <xf numFmtId="0" fontId="52" fillId="70" borderId="0" xfId="46" applyFont="1" applyFill="1" applyAlignment="1">
      <alignment horizontal="left" vertical="top" wrapText="1"/>
    </xf>
    <xf numFmtId="0" fontId="9" fillId="0" borderId="33" xfId="46" applyBorder="1" applyAlignment="1">
      <alignment horizontal="left" vertical="center" wrapText="1"/>
    </xf>
    <xf numFmtId="0" fontId="9" fillId="0" borderId="49" xfId="46" applyBorder="1" applyAlignment="1">
      <alignment horizontal="left" vertical="center" wrapText="1"/>
    </xf>
    <xf numFmtId="0" fontId="9" fillId="0" borderId="0" xfId="46" applyBorder="1" applyAlignment="1">
      <alignment horizontal="left" vertical="center" wrapText="1"/>
    </xf>
    <xf numFmtId="0" fontId="9" fillId="0" borderId="15" xfId="46" applyBorder="1" applyAlignment="1">
      <alignment horizontal="left" vertical="center" wrapText="1"/>
    </xf>
    <xf numFmtId="0" fontId="9" fillId="0" borderId="92" xfId="46" applyBorder="1" applyAlignment="1">
      <alignment horizontal="left" vertical="center" wrapText="1"/>
    </xf>
    <xf numFmtId="0" fontId="9" fillId="0" borderId="85" xfId="46" applyBorder="1" applyAlignment="1">
      <alignment horizontal="left" vertical="center" wrapText="1"/>
    </xf>
    <xf numFmtId="0" fontId="9" fillId="0" borderId="18" xfId="46" applyBorder="1" applyAlignment="1">
      <alignment horizontal="left" vertical="center" wrapText="1"/>
    </xf>
    <xf numFmtId="0" fontId="12" fillId="0" borderId="32" xfId="46" applyFont="1" applyFill="1" applyBorder="1" applyAlignment="1">
      <alignment vertical="center" wrapText="1"/>
    </xf>
    <xf numFmtId="0" fontId="12" fillId="0" borderId="24" xfId="46" applyFont="1" applyFill="1" applyBorder="1" applyAlignment="1">
      <alignment vertical="center" wrapText="1"/>
    </xf>
    <xf numFmtId="0" fontId="12" fillId="0" borderId="27" xfId="46" applyFont="1" applyFill="1" applyBorder="1" applyAlignment="1">
      <alignment vertical="center" wrapText="1"/>
    </xf>
    <xf numFmtId="0" fontId="12" fillId="0" borderId="10" xfId="46" applyFont="1" applyFill="1" applyBorder="1" applyAlignment="1">
      <alignment vertical="center" wrapText="1"/>
    </xf>
    <xf numFmtId="0" fontId="12" fillId="67" borderId="43" xfId="46" applyFont="1" applyFill="1" applyBorder="1" applyAlignment="1">
      <alignment horizontal="center" wrapText="1"/>
    </xf>
    <xf numFmtId="0" fontId="9" fillId="67" borderId="40" xfId="46" applyFill="1" applyBorder="1" applyAlignment="1">
      <alignment horizontal="center" wrapText="1"/>
    </xf>
    <xf numFmtId="0" fontId="9" fillId="67" borderId="95" xfId="46" applyFill="1" applyBorder="1" applyAlignment="1">
      <alignment horizontal="center" wrapText="1"/>
    </xf>
    <xf numFmtId="0" fontId="12" fillId="0" borderId="43"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66" xfId="0" applyFont="1" applyFill="1" applyBorder="1" applyAlignment="1">
      <alignment horizontal="center" vertical="center"/>
    </xf>
    <xf numFmtId="0" fontId="12" fillId="0" borderId="22" xfId="0" applyFont="1" applyFill="1" applyBorder="1" applyAlignment="1">
      <alignment horizontal="center" vertical="center"/>
    </xf>
    <xf numFmtId="0" fontId="12" fillId="0" borderId="45"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0"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90" xfId="0" applyFont="1" applyFill="1" applyBorder="1" applyAlignment="1">
      <alignment horizontal="center" vertical="center"/>
    </xf>
    <xf numFmtId="0" fontId="40" fillId="67" borderId="0" xfId="0" applyFont="1" applyFill="1" applyAlignment="1" applyProtection="1">
      <alignment horizontal="left" vertical="top" wrapText="1" indent="1"/>
    </xf>
    <xf numFmtId="0" fontId="12" fillId="85" borderId="30" xfId="0" applyFont="1" applyFill="1" applyBorder="1" applyAlignment="1" applyProtection="1">
      <alignment horizontal="left" vertical="top" wrapText="1"/>
    </xf>
    <xf numFmtId="0" fontId="14" fillId="29" borderId="0" xfId="0" applyFont="1" applyFill="1" applyAlignment="1" applyProtection="1">
      <alignment horizontal="left" vertical="center"/>
    </xf>
    <xf numFmtId="0" fontId="12" fillId="67" borderId="77" xfId="0" applyFont="1" applyFill="1" applyBorder="1" applyAlignment="1" applyProtection="1">
      <alignment horizontal="center"/>
    </xf>
    <xf numFmtId="0" fontId="12" fillId="67" borderId="13" xfId="0" applyFont="1" applyFill="1" applyBorder="1" applyAlignment="1" applyProtection="1">
      <alignment horizontal="center"/>
    </xf>
    <xf numFmtId="0" fontId="12" fillId="67" borderId="33" xfId="0" applyFont="1" applyFill="1" applyBorder="1" applyAlignment="1" applyProtection="1">
      <alignment horizontal="center"/>
    </xf>
    <xf numFmtId="0" fontId="12" fillId="67" borderId="0" xfId="0" applyFont="1" applyFill="1" applyAlignment="1" applyProtection="1">
      <alignment horizontal="center" wrapText="1"/>
    </xf>
    <xf numFmtId="0" fontId="12" fillId="67" borderId="17" xfId="0" applyFont="1" applyFill="1" applyBorder="1" applyAlignment="1" applyProtection="1">
      <alignment horizontal="center" wrapText="1"/>
    </xf>
    <xf numFmtId="0" fontId="12" fillId="67" borderId="19" xfId="0" applyFont="1" applyFill="1" applyBorder="1" applyAlignment="1" applyProtection="1">
      <alignment horizontal="center" wrapText="1"/>
    </xf>
    <xf numFmtId="0" fontId="38" fillId="25" borderId="0" xfId="0" applyFont="1" applyFill="1" applyBorder="1" applyAlignment="1" applyProtection="1">
      <alignment horizontal="left" indent="7"/>
    </xf>
    <xf numFmtId="0" fontId="16" fillId="67" borderId="0" xfId="0" applyFont="1" applyFill="1" applyAlignment="1" applyProtection="1">
      <alignment horizontal="center"/>
    </xf>
    <xf numFmtId="0" fontId="16" fillId="0" borderId="0" xfId="0" applyFont="1" applyAlignment="1" applyProtection="1">
      <alignment horizontal="center"/>
    </xf>
    <xf numFmtId="0" fontId="12" fillId="0" borderId="62" xfId="46" applyFont="1" applyBorder="1" applyAlignment="1">
      <alignment horizontal="left"/>
    </xf>
    <xf numFmtId="0" fontId="12" fillId="0" borderId="112" xfId="46" applyFont="1" applyBorder="1" applyAlignment="1">
      <alignment horizontal="left"/>
    </xf>
    <xf numFmtId="0" fontId="12" fillId="0" borderId="113" xfId="46" applyFont="1" applyBorder="1" applyAlignment="1">
      <alignment horizontal="left"/>
    </xf>
    <xf numFmtId="0" fontId="9" fillId="0" borderId="54" xfId="46" applyFont="1" applyFill="1" applyBorder="1" applyAlignment="1">
      <alignment horizontal="left" vertical="center" wrapText="1"/>
    </xf>
    <xf numFmtId="0" fontId="9" fillId="0" borderId="12" xfId="46" applyFont="1" applyFill="1" applyBorder="1" applyAlignment="1">
      <alignment horizontal="left" vertical="center" wrapText="1"/>
    </xf>
    <xf numFmtId="0" fontId="9" fillId="0" borderId="56" xfId="46" applyFont="1" applyFill="1" applyBorder="1" applyAlignment="1">
      <alignment horizontal="left" vertical="center" wrapText="1"/>
    </xf>
    <xf numFmtId="165" fontId="9" fillId="29" borderId="13" xfId="29" applyNumberFormat="1" applyFill="1" applyBorder="1" applyAlignment="1"/>
    <xf numFmtId="0" fontId="9" fillId="0" borderId="53" xfId="46" applyBorder="1" applyAlignment="1">
      <alignment horizontal="left" wrapText="1"/>
    </xf>
    <xf numFmtId="0" fontId="9" fillId="0" borderId="125" xfId="46" applyBorder="1" applyAlignment="1">
      <alignment horizontal="left" wrapText="1"/>
    </xf>
    <xf numFmtId="0" fontId="9" fillId="0" borderId="57" xfId="46" applyBorder="1" applyAlignment="1">
      <alignment horizontal="left" wrapText="1"/>
    </xf>
    <xf numFmtId="165" fontId="9" fillId="0" borderId="53" xfId="29" applyNumberFormat="1" applyFill="1" applyBorder="1" applyAlignment="1"/>
    <xf numFmtId="0" fontId="9" fillId="0" borderId="125" xfId="46" applyFill="1" applyBorder="1" applyAlignment="1"/>
    <xf numFmtId="0" fontId="9" fillId="0" borderId="57" xfId="46" applyFill="1" applyBorder="1" applyAlignment="1"/>
    <xf numFmtId="0" fontId="9" fillId="0" borderId="135" xfId="46" applyBorder="1" applyAlignment="1">
      <alignment horizontal="left" wrapText="1"/>
    </xf>
    <xf numFmtId="0" fontId="9" fillId="0" borderId="136" xfId="46" applyBorder="1" applyAlignment="1">
      <alignment horizontal="left" wrapText="1"/>
    </xf>
    <xf numFmtId="0" fontId="9" fillId="0" borderId="137" xfId="46" applyBorder="1" applyAlignment="1">
      <alignment horizontal="left" wrapText="1"/>
    </xf>
    <xf numFmtId="0" fontId="9" fillId="0" borderId="49" xfId="46" applyFont="1" applyFill="1" applyBorder="1" applyAlignment="1">
      <alignment horizontal="left" vertical="center" wrapText="1"/>
    </xf>
    <xf numFmtId="0" fontId="9" fillId="0" borderId="0" xfId="46" applyFont="1" applyFill="1" applyBorder="1" applyAlignment="1">
      <alignment horizontal="left" vertical="center" wrapText="1"/>
    </xf>
    <xf numFmtId="0" fontId="9" fillId="0" borderId="29" xfId="46" applyFont="1" applyFill="1" applyBorder="1" applyAlignment="1">
      <alignment horizontal="left" vertical="center" wrapText="1"/>
    </xf>
    <xf numFmtId="0" fontId="9" fillId="0" borderId="92" xfId="46" applyFont="1" applyFill="1" applyBorder="1" applyAlignment="1">
      <alignment horizontal="left" vertical="center" wrapText="1"/>
    </xf>
    <xf numFmtId="0" fontId="9" fillId="0" borderId="85" xfId="46" applyFont="1" applyFill="1" applyBorder="1" applyAlignment="1">
      <alignment horizontal="left" vertical="center" wrapText="1"/>
    </xf>
    <xf numFmtId="0" fontId="9" fillId="0" borderId="60" xfId="46" applyFont="1" applyFill="1" applyBorder="1" applyAlignment="1">
      <alignment horizontal="left" vertical="center" wrapText="1"/>
    </xf>
    <xf numFmtId="0" fontId="9" fillId="0" borderId="55" xfId="46" applyFont="1" applyFill="1" applyBorder="1" applyAlignment="1">
      <alignment horizontal="left" vertical="center" wrapText="1"/>
    </xf>
    <xf numFmtId="0" fontId="9" fillId="0" borderId="13" xfId="46" applyFont="1" applyFill="1" applyBorder="1" applyAlignment="1">
      <alignment horizontal="left" vertical="center" wrapText="1"/>
    </xf>
    <xf numFmtId="0" fontId="9" fillId="0" borderId="52" xfId="46" applyFont="1" applyFill="1" applyBorder="1" applyAlignment="1">
      <alignment horizontal="left" vertical="center" wrapText="1"/>
    </xf>
    <xf numFmtId="165" fontId="9" fillId="0" borderId="62" xfId="29" applyNumberFormat="1" applyFill="1" applyBorder="1" applyAlignment="1"/>
    <xf numFmtId="0" fontId="9" fillId="0" borderId="112" xfId="46" applyFill="1" applyBorder="1" applyAlignment="1"/>
    <xf numFmtId="0" fontId="9" fillId="0" borderId="113" xfId="46" applyFill="1" applyBorder="1" applyAlignment="1"/>
    <xf numFmtId="0" fontId="12" fillId="0" borderId="71" xfId="46" applyFont="1" applyFill="1" applyBorder="1" applyAlignment="1">
      <alignment vertical="center" wrapText="1"/>
    </xf>
    <xf numFmtId="0" fontId="12" fillId="0" borderId="15" xfId="46" applyFont="1" applyFill="1" applyBorder="1" applyAlignment="1">
      <alignment vertical="center" wrapText="1"/>
    </xf>
    <xf numFmtId="0" fontId="12" fillId="0" borderId="16" xfId="46" applyFont="1" applyFill="1" applyBorder="1" applyAlignment="1">
      <alignment vertical="center" wrapText="1"/>
    </xf>
    <xf numFmtId="0" fontId="122" fillId="77" borderId="172" xfId="0" applyFont="1" applyFill="1" applyBorder="1" applyAlignment="1" applyProtection="1">
      <alignment horizontal="left" vertical="top" wrapText="1"/>
      <protection locked="0"/>
    </xf>
    <xf numFmtId="0" fontId="122" fillId="78" borderId="162" xfId="0" applyFont="1" applyFill="1" applyBorder="1" applyAlignment="1" applyProtection="1">
      <alignment horizontal="left" vertical="top" wrapText="1"/>
      <protection locked="0"/>
    </xf>
    <xf numFmtId="0" fontId="122" fillId="78" borderId="185" xfId="0" applyFont="1" applyFill="1" applyBorder="1" applyAlignment="1" applyProtection="1">
      <alignment horizontal="left" vertical="top" wrapText="1"/>
      <protection locked="0"/>
    </xf>
    <xf numFmtId="0" fontId="60" fillId="77" borderId="10" xfId="0" applyFont="1" applyFill="1" applyBorder="1" applyAlignment="1" applyProtection="1">
      <alignment horizontal="left" vertical="top" wrapText="1"/>
      <protection locked="0"/>
    </xf>
    <xf numFmtId="178" fontId="60" fillId="77" borderId="10" xfId="0" applyNumberFormat="1" applyFont="1" applyFill="1" applyBorder="1" applyAlignment="1" applyProtection="1">
      <alignment horizontal="left" vertical="top" wrapText="1"/>
      <protection locked="0"/>
    </xf>
    <xf numFmtId="0" fontId="122" fillId="67" borderId="0" xfId="0" applyFont="1" applyFill="1" applyBorder="1" applyAlignment="1" applyProtection="1">
      <alignment horizontal="left" vertical="top"/>
      <protection locked="0"/>
    </xf>
    <xf numFmtId="0" fontId="122" fillId="67" borderId="164" xfId="0" applyFont="1" applyFill="1" applyBorder="1" applyAlignment="1" applyProtection="1">
      <alignment horizontal="left" vertical="top"/>
      <protection locked="0"/>
    </xf>
    <xf numFmtId="0" fontId="12" fillId="77" borderId="167" xfId="0" applyFont="1" applyFill="1" applyBorder="1" applyAlignment="1">
      <alignment vertical="center"/>
    </xf>
    <xf numFmtId="0" fontId="12" fillId="77" borderId="131" xfId="0" applyFont="1" applyFill="1" applyBorder="1" applyAlignment="1">
      <alignment vertical="center"/>
    </xf>
    <xf numFmtId="0" fontId="12" fillId="77" borderId="169" xfId="0" applyFont="1" applyFill="1" applyBorder="1" applyAlignment="1">
      <alignment vertical="center"/>
    </xf>
    <xf numFmtId="0" fontId="125" fillId="0" borderId="0" xfId="0" applyFont="1" applyAlignment="1">
      <alignment horizontal="center" vertical="center" wrapText="1"/>
    </xf>
    <xf numFmtId="0" fontId="120" fillId="0" borderId="0" xfId="0" applyFont="1" applyAlignment="1">
      <alignment horizontal="center" vertical="center" wrapText="1"/>
    </xf>
    <xf numFmtId="0" fontId="126" fillId="0" borderId="0" xfId="0" applyFont="1" applyAlignment="1">
      <alignment horizontal="center" vertical="center" wrapText="1"/>
    </xf>
    <xf numFmtId="0" fontId="121" fillId="0" borderId="0" xfId="0" applyFont="1" applyAlignment="1">
      <alignment horizontal="center" vertical="center" wrapText="1"/>
    </xf>
    <xf numFmtId="0" fontId="127" fillId="0" borderId="0" xfId="0" applyFont="1" applyAlignment="1">
      <alignment horizontal="right" vertical="center" wrapText="1"/>
    </xf>
    <xf numFmtId="0" fontId="120" fillId="67" borderId="0" xfId="0" applyFont="1" applyFill="1" applyBorder="1" applyAlignment="1" applyProtection="1">
      <alignment horizontal="left" vertical="center" wrapText="1"/>
      <protection locked="0"/>
    </xf>
    <xf numFmtId="0" fontId="60" fillId="77" borderId="77" xfId="0" applyFont="1" applyFill="1" applyBorder="1" applyAlignment="1" applyProtection="1">
      <alignment horizontal="left" vertical="top" wrapText="1"/>
      <protection locked="0"/>
    </xf>
    <xf numFmtId="0" fontId="60" fillId="77" borderId="13" xfId="0" applyFont="1" applyFill="1" applyBorder="1" applyAlignment="1" applyProtection="1">
      <alignment horizontal="left" vertical="top" wrapText="1"/>
      <protection locked="0"/>
    </xf>
    <xf numFmtId="0" fontId="60" fillId="77" borderId="33" xfId="0" applyFont="1" applyFill="1" applyBorder="1" applyAlignment="1" applyProtection="1">
      <alignment horizontal="left" vertical="top" wrapText="1"/>
      <protection locked="0"/>
    </xf>
    <xf numFmtId="0" fontId="11" fillId="0" borderId="0" xfId="46" applyFont="1" applyAlignment="1">
      <alignment horizontal="right" vertical="top"/>
    </xf>
    <xf numFmtId="49" fontId="0" fillId="0" borderId="0" xfId="0" applyNumberFormat="1" applyAlignment="1">
      <alignment horizontal="left" vertical="center" wrapText="1"/>
    </xf>
    <xf numFmtId="0" fontId="14" fillId="67" borderId="0" xfId="0" applyFont="1" applyFill="1" applyBorder="1" applyAlignment="1">
      <alignment horizontal="left" vertical="top"/>
    </xf>
    <xf numFmtId="0" fontId="14" fillId="67" borderId="171" xfId="0" applyFont="1" applyFill="1" applyBorder="1" applyAlignment="1">
      <alignment horizontal="left" vertical="top"/>
    </xf>
    <xf numFmtId="14" fontId="11" fillId="29" borderId="0" xfId="46" applyNumberFormat="1" applyFont="1" applyFill="1" applyAlignment="1">
      <alignment horizontal="right" vertical="top"/>
    </xf>
    <xf numFmtId="0" fontId="11" fillId="29" borderId="0" xfId="46" applyFont="1" applyFill="1" applyAlignment="1">
      <alignment horizontal="right" vertical="top"/>
    </xf>
    <xf numFmtId="0" fontId="11" fillId="29" borderId="0" xfId="46" applyFont="1" applyFill="1" applyBorder="1" applyAlignment="1">
      <alignment horizontal="right" vertical="top"/>
    </xf>
    <xf numFmtId="178" fontId="120" fillId="67" borderId="0" xfId="0" applyNumberFormat="1" applyFont="1" applyFill="1" applyBorder="1" applyAlignment="1" applyProtection="1">
      <alignment horizontal="left" vertical="center" wrapText="1"/>
      <protection locked="0"/>
    </xf>
    <xf numFmtId="0" fontId="122" fillId="67" borderId="0" xfId="0" applyFont="1" applyFill="1" applyBorder="1" applyAlignment="1" applyProtection="1">
      <alignment horizontal="left" vertical="top" indent="2"/>
      <protection locked="0"/>
    </xf>
    <xf numFmtId="0" fontId="122" fillId="67" borderId="164" xfId="0" applyFont="1" applyFill="1" applyBorder="1" applyAlignment="1" applyProtection="1">
      <alignment horizontal="left" vertical="top" indent="2"/>
      <protection locked="0"/>
    </xf>
    <xf numFmtId="0" fontId="122" fillId="29" borderId="104" xfId="0" applyFont="1" applyFill="1" applyBorder="1" applyAlignment="1" applyProtection="1">
      <alignment horizontal="left" vertical="top" indent="2"/>
      <protection locked="0"/>
    </xf>
    <xf numFmtId="0" fontId="122" fillId="29" borderId="176" xfId="0" applyFont="1" applyFill="1" applyBorder="1" applyAlignment="1" applyProtection="1">
      <alignment horizontal="left" vertical="top" indent="2"/>
      <protection locked="0"/>
    </xf>
    <xf numFmtId="0" fontId="122" fillId="29" borderId="0" xfId="0" applyFont="1" applyFill="1" applyBorder="1" applyAlignment="1" applyProtection="1">
      <alignment horizontal="left" vertical="top" indent="2"/>
      <protection locked="0"/>
    </xf>
    <xf numFmtId="0" fontId="122" fillId="29" borderId="164" xfId="0" applyFont="1" applyFill="1" applyBorder="1" applyAlignment="1" applyProtection="1">
      <alignment horizontal="left" vertical="top" indent="2"/>
      <protection locked="0"/>
    </xf>
    <xf numFmtId="0" fontId="79" fillId="0" borderId="0" xfId="0" applyFont="1" applyFill="1" applyAlignment="1">
      <alignment horizontal="left" vertical="top" wrapText="1"/>
    </xf>
    <xf numFmtId="178" fontId="79" fillId="0" borderId="0" xfId="0" applyNumberFormat="1" applyFont="1" applyFill="1" applyAlignment="1">
      <alignment horizontal="left" vertical="top" wrapText="1"/>
    </xf>
    <xf numFmtId="0" fontId="11" fillId="28" borderId="104" xfId="100" applyFont="1" applyFill="1" applyBorder="1" applyAlignment="1" applyProtection="1">
      <alignment horizontal="left" vertical="center"/>
      <protection locked="0"/>
    </xf>
    <xf numFmtId="0" fontId="11" fillId="28" borderId="131" xfId="100" applyFont="1" applyFill="1" applyBorder="1" applyAlignment="1" applyProtection="1">
      <alignment horizontal="left" vertical="center"/>
      <protection locked="0"/>
    </xf>
    <xf numFmtId="0" fontId="11" fillId="28" borderId="169" xfId="100" applyFont="1" applyFill="1" applyBorder="1" applyAlignment="1" applyProtection="1">
      <alignment horizontal="left" vertical="center"/>
      <protection locked="0"/>
    </xf>
    <xf numFmtId="0" fontId="122" fillId="78" borderId="131" xfId="0" applyFont="1" applyFill="1" applyBorder="1" applyAlignment="1" applyProtection="1">
      <alignment horizontal="left" vertical="top" wrapText="1"/>
      <protection locked="0"/>
    </xf>
    <xf numFmtId="0" fontId="122" fillId="78" borderId="169" xfId="0" applyFont="1" applyFill="1" applyBorder="1" applyAlignment="1" applyProtection="1">
      <alignment horizontal="left" vertical="top" wrapText="1"/>
      <protection locked="0"/>
    </xf>
    <xf numFmtId="0" fontId="122" fillId="78" borderId="179" xfId="0" applyFont="1" applyFill="1" applyBorder="1" applyAlignment="1" applyProtection="1">
      <alignment horizontal="left" vertical="top" wrapText="1"/>
      <protection locked="0"/>
    </xf>
    <xf numFmtId="0" fontId="122" fillId="78" borderId="178" xfId="0" applyFont="1" applyFill="1" applyBorder="1" applyAlignment="1" applyProtection="1">
      <alignment horizontal="left" vertical="top" wrapText="1"/>
      <protection locked="0"/>
    </xf>
    <xf numFmtId="0" fontId="11" fillId="28" borderId="104" xfId="100" applyFont="1" applyFill="1" applyBorder="1" applyAlignment="1" applyProtection="1">
      <alignment horizontal="left" vertical="top"/>
      <protection locked="0"/>
    </xf>
    <xf numFmtId="178" fontId="122" fillId="67" borderId="0" xfId="0" applyNumberFormat="1" applyFont="1" applyFill="1" applyBorder="1" applyAlignment="1" applyProtection="1">
      <alignment horizontal="left" vertical="top"/>
      <protection locked="0"/>
    </xf>
    <xf numFmtId="178" fontId="122" fillId="67" borderId="164" xfId="0" applyNumberFormat="1" applyFont="1" applyFill="1" applyBorder="1" applyAlignment="1" applyProtection="1">
      <alignment horizontal="left" vertical="top"/>
      <protection locked="0"/>
    </xf>
    <xf numFmtId="0" fontId="122" fillId="67" borderId="0" xfId="0" applyFont="1" applyFill="1" applyBorder="1" applyAlignment="1" applyProtection="1">
      <alignment horizontal="left" vertical="top" indent="5"/>
      <protection locked="0"/>
    </xf>
    <xf numFmtId="0" fontId="122" fillId="67" borderId="164" xfId="0" applyFont="1" applyFill="1" applyBorder="1" applyAlignment="1" applyProtection="1">
      <alignment horizontal="left" vertical="top" indent="5"/>
      <protection locked="0"/>
    </xf>
    <xf numFmtId="0" fontId="122" fillId="28" borderId="104" xfId="0" applyFont="1" applyFill="1" applyBorder="1" applyAlignment="1" applyProtection="1">
      <alignment horizontal="left" vertical="top"/>
      <protection locked="0"/>
    </xf>
    <xf numFmtId="184" fontId="9" fillId="0" borderId="10" xfId="104" applyNumberFormat="1" applyFont="1" applyFill="1" applyBorder="1" applyAlignment="1" applyProtection="1">
      <alignment horizontal="center" vertical="center"/>
    </xf>
    <xf numFmtId="184" fontId="86" fillId="0" borderId="10" xfId="104" applyNumberFormat="1" applyFont="1" applyFill="1" applyBorder="1" applyAlignment="1" applyProtection="1">
      <alignment horizontal="center" vertical="center"/>
    </xf>
    <xf numFmtId="184" fontId="12" fillId="65" borderId="26" xfId="104" applyNumberFormat="1" applyFont="1" applyFill="1" applyBorder="1" applyAlignment="1" applyProtection="1">
      <alignment horizontal="center" vertical="center"/>
    </xf>
    <xf numFmtId="184" fontId="12" fillId="76" borderId="77" xfId="104" applyNumberFormat="1" applyFont="1" applyFill="1" applyBorder="1" applyAlignment="1" applyProtection="1">
      <alignment horizontal="center" vertical="center"/>
    </xf>
    <xf numFmtId="184" fontId="12" fillId="76" borderId="33" xfId="104" applyNumberFormat="1" applyFont="1" applyFill="1" applyBorder="1" applyAlignment="1" applyProtection="1">
      <alignment horizontal="center" vertical="center"/>
    </xf>
    <xf numFmtId="184" fontId="12" fillId="65" borderId="10" xfId="104" applyNumberFormat="1" applyFont="1" applyFill="1" applyBorder="1" applyAlignment="1" applyProtection="1">
      <alignment horizontal="center" vertical="center"/>
    </xf>
    <xf numFmtId="184" fontId="9" fillId="0" borderId="10" xfId="103" applyNumberFormat="1" applyFont="1" applyFill="1" applyBorder="1" applyAlignment="1" applyProtection="1">
      <alignment horizontal="center" vertical="center"/>
    </xf>
    <xf numFmtId="184" fontId="12" fillId="0" borderId="10" xfId="104" applyNumberFormat="1" applyFont="1" applyFill="1" applyBorder="1" applyAlignment="1" applyProtection="1">
      <alignment horizontal="center" vertical="center"/>
    </xf>
    <xf numFmtId="0" fontId="122" fillId="0" borderId="0" xfId="0" applyFont="1" applyAlignment="1" applyProtection="1">
      <alignment horizontal="left" vertical="top"/>
      <protection locked="0"/>
    </xf>
  </cellXfs>
  <cellStyles count="166">
    <cellStyle name="$" xfId="111"/>
    <cellStyle name="$.00" xfId="112"/>
    <cellStyle name="$_9. Rev2Cost_GDPIPI" xfId="113"/>
    <cellStyle name="$_lists" xfId="114"/>
    <cellStyle name="$_lists_4. Current Monthly Fixed Charge" xfId="115"/>
    <cellStyle name="$_Sheet4" xfId="116"/>
    <cellStyle name="$M" xfId="117"/>
    <cellStyle name="$M.00" xfId="118"/>
    <cellStyle name="$M_9. Rev2Cost_GDPIPI" xfId="119"/>
    <cellStyle name="20% - Accent1" xfId="1" builtinId="30" customBuiltin="1"/>
    <cellStyle name="20% - Accent1 2" xfId="67"/>
    <cellStyle name="20% - Accent1 2 2" xfId="143"/>
    <cellStyle name="20% - Accent2" xfId="2" builtinId="34" customBuiltin="1"/>
    <cellStyle name="20% - Accent2 2" xfId="71"/>
    <cellStyle name="20% - Accent2 2 2" xfId="145"/>
    <cellStyle name="20% - Accent3" xfId="3" builtinId="38" customBuiltin="1"/>
    <cellStyle name="20% - Accent3 2" xfId="75"/>
    <cellStyle name="20% - Accent3 2 2" xfId="147"/>
    <cellStyle name="20% - Accent4" xfId="4" builtinId="42" customBuiltin="1"/>
    <cellStyle name="20% - Accent4 2" xfId="79"/>
    <cellStyle name="20% - Accent4 2 2" xfId="149"/>
    <cellStyle name="20% - Accent5" xfId="5" builtinId="46" customBuiltin="1"/>
    <cellStyle name="20% - Accent5 2" xfId="83"/>
    <cellStyle name="20% - Accent5 2 2" xfId="151"/>
    <cellStyle name="20% - Accent6" xfId="6" builtinId="50" customBuiltin="1"/>
    <cellStyle name="20% - Accent6 2" xfId="87"/>
    <cellStyle name="20% - Accent6 2 2" xfId="153"/>
    <cellStyle name="40% - Accent1" xfId="7" builtinId="31" customBuiltin="1"/>
    <cellStyle name="40% - Accent1 2" xfId="68"/>
    <cellStyle name="40% - Accent1 2 2" xfId="144"/>
    <cellStyle name="40% - Accent2" xfId="8" builtinId="35" customBuiltin="1"/>
    <cellStyle name="40% - Accent2 2" xfId="72"/>
    <cellStyle name="40% - Accent2 2 2" xfId="146"/>
    <cellStyle name="40% - Accent3" xfId="9" builtinId="39" customBuiltin="1"/>
    <cellStyle name="40% - Accent3 2" xfId="76"/>
    <cellStyle name="40% - Accent3 2 2" xfId="148"/>
    <cellStyle name="40% - Accent4" xfId="10" builtinId="43" customBuiltin="1"/>
    <cellStyle name="40% - Accent4 2" xfId="80"/>
    <cellStyle name="40% - Accent4 2 2" xfId="150"/>
    <cellStyle name="40% - Accent5" xfId="11" builtinId="47" customBuiltin="1"/>
    <cellStyle name="40% - Accent5 2" xfId="84"/>
    <cellStyle name="40% - Accent5 2 2" xfId="152"/>
    <cellStyle name="40% - Accent6" xfId="12" builtinId="51" customBuiltin="1"/>
    <cellStyle name="40% - Accent6 2" xfId="88"/>
    <cellStyle name="40% - Accent6 2 2" xfId="154"/>
    <cellStyle name="60% - Accent1" xfId="13" builtinId="32" customBuiltin="1"/>
    <cellStyle name="60% - Accent1 2" xfId="69"/>
    <cellStyle name="60% - Accent2" xfId="14" builtinId="36" customBuiltin="1"/>
    <cellStyle name="60% - Accent2 2" xfId="73"/>
    <cellStyle name="60% - Accent3" xfId="15" builtinId="40" customBuiltin="1"/>
    <cellStyle name="60% - Accent3 2" xfId="77"/>
    <cellStyle name="60% - Accent4" xfId="16" builtinId="44" customBuiltin="1"/>
    <cellStyle name="60% - Accent4 2" xfId="81"/>
    <cellStyle name="60% - Accent5" xfId="17" builtinId="48" customBuiltin="1"/>
    <cellStyle name="60% - Accent5 2" xfId="85"/>
    <cellStyle name="60% - Accent6" xfId="18" builtinId="52" customBuiltin="1"/>
    <cellStyle name="60% - Accent6 2" xfId="89"/>
    <cellStyle name="Accent1" xfId="19" builtinId="29" customBuiltin="1"/>
    <cellStyle name="Accent1 2" xfId="66"/>
    <cellStyle name="Accent2" xfId="20" builtinId="33" customBuiltin="1"/>
    <cellStyle name="Accent2 2" xfId="70"/>
    <cellStyle name="Accent3" xfId="21" builtinId="37" customBuiltin="1"/>
    <cellStyle name="Accent3 2" xfId="74"/>
    <cellStyle name="Accent4" xfId="22" builtinId="41" customBuiltin="1"/>
    <cellStyle name="Accent4 2" xfId="78"/>
    <cellStyle name="Accent5" xfId="23" builtinId="45" customBuiltin="1"/>
    <cellStyle name="Accent5 2" xfId="82"/>
    <cellStyle name="Accent6" xfId="24" builtinId="49" customBuiltin="1"/>
    <cellStyle name="Accent6 2" xfId="86"/>
    <cellStyle name="Bad" xfId="25" builtinId="27" customBuiltin="1"/>
    <cellStyle name="Bad 2" xfId="55"/>
    <cellStyle name="Calculation" xfId="26" builtinId="22" customBuiltin="1"/>
    <cellStyle name="Calculation 2" xfId="59"/>
    <cellStyle name="Check Cell" xfId="27" builtinId="23" customBuiltin="1"/>
    <cellStyle name="Check Cell 2" xfId="61"/>
    <cellStyle name="Comma" xfId="28" builtinId="3"/>
    <cellStyle name="Comma 2" xfId="91"/>
    <cellStyle name="Comma 2 2" xfId="156"/>
    <cellStyle name="Comma 3" xfId="94"/>
    <cellStyle name="Comma 3 2" xfId="159"/>
    <cellStyle name="Comma 4" xfId="109"/>
    <cellStyle name="Comma 4 2" xfId="164"/>
    <cellStyle name="Comma0" xfId="120"/>
    <cellStyle name="Currency" xfId="29" builtinId="4"/>
    <cellStyle name="Currency 2" xfId="108"/>
    <cellStyle name="Currency 2 2" xfId="163"/>
    <cellStyle name="Currency_Final - 2004 RAM for rate schedule - milton_2008_IRM_Model_Final Model_Version2.0" xfId="104"/>
    <cellStyle name="Currency0" xfId="121"/>
    <cellStyle name="Date" xfId="122"/>
    <cellStyle name="Explanatory Text" xfId="30" builtinId="53" customBuiltin="1"/>
    <cellStyle name="Explanatory Text 2" xfId="64"/>
    <cellStyle name="Fixed" xfId="123"/>
    <cellStyle name="Good" xfId="31" builtinId="26" customBuiltin="1"/>
    <cellStyle name="Good 2" xfId="54"/>
    <cellStyle name="Grey" xfId="124"/>
    <cellStyle name="Heading 1" xfId="32" builtinId="16" customBuiltin="1"/>
    <cellStyle name="Heading 1 2" xfId="50"/>
    <cellStyle name="Heading 2" xfId="33" builtinId="17" customBuiltin="1"/>
    <cellStyle name="Heading 2 2" xfId="49"/>
    <cellStyle name="Heading 3" xfId="34" builtinId="18" customBuiltin="1"/>
    <cellStyle name="Heading 3 2" xfId="52"/>
    <cellStyle name="Heading 4" xfId="35" builtinId="19" customBuiltin="1"/>
    <cellStyle name="Heading 4 2" xfId="53"/>
    <cellStyle name="Hyperlink" xfId="36" builtinId="8"/>
    <cellStyle name="Input" xfId="37" builtinId="20" customBuiltin="1"/>
    <cellStyle name="Input [yellow]" xfId="125"/>
    <cellStyle name="Input 2" xfId="57"/>
    <cellStyle name="Linked Cell" xfId="38" builtinId="24" customBuiltin="1"/>
    <cellStyle name="Linked Cell 2" xfId="60"/>
    <cellStyle name="M" xfId="126"/>
    <cellStyle name="M.00" xfId="127"/>
    <cellStyle name="M_9. Rev2Cost_GDPIPI" xfId="128"/>
    <cellStyle name="M_lists" xfId="129"/>
    <cellStyle name="M_lists_4. Current Monthly Fixed Charge" xfId="130"/>
    <cellStyle name="M_Sheet4" xfId="131"/>
    <cellStyle name="Neutral" xfId="39" builtinId="28" customBuiltin="1"/>
    <cellStyle name="Neutral 2" xfId="56"/>
    <cellStyle name="Normal" xfId="0" builtinId="0"/>
    <cellStyle name="Normal - Style1" xfId="132"/>
    <cellStyle name="Normal 10" xfId="165"/>
    <cellStyle name="Normal 11" xfId="136"/>
    <cellStyle name="Normal 12" xfId="137"/>
    <cellStyle name="Normal 13" xfId="135"/>
    <cellStyle name="Normal 2" xfId="46"/>
    <cellStyle name="Normal 3" xfId="51"/>
    <cellStyle name="Normal 3 2" xfId="140"/>
    <cellStyle name="Normal 4" xfId="90"/>
    <cellStyle name="Normal 4 2" xfId="155"/>
    <cellStyle name="Normal 5" xfId="93"/>
    <cellStyle name="Normal 5 2" xfId="158"/>
    <cellStyle name="Normal 6" xfId="101"/>
    <cellStyle name="Normal 6 2" xfId="161"/>
    <cellStyle name="Normal 7" xfId="134"/>
    <cellStyle name="Normal 8" xfId="141"/>
    <cellStyle name="Normal 9" xfId="138"/>
    <cellStyle name="Normal_14. Bill Impacts" xfId="103"/>
    <cellStyle name="Normal_3. Rate Class Selection" xfId="107"/>
    <cellStyle name="Normal_lists" xfId="102"/>
    <cellStyle name="Normal_lists_1" xfId="100"/>
    <cellStyle name="Normal_PPE Deferral Account Schedule for 2013 MIFRS CoS applications (2)" xfId="47"/>
    <cellStyle name="Normal_Service Quality" xfId="96"/>
    <cellStyle name="Normal_Sheet1" xfId="106"/>
    <cellStyle name="Normal_Sheet2" xfId="97"/>
    <cellStyle name="Normal_Sheet3" xfId="98"/>
    <cellStyle name="Normal_Sheet3 2" xfId="110"/>
    <cellStyle name="Normal_Sheet4" xfId="99"/>
    <cellStyle name="Note" xfId="40" builtinId="10" customBuiltin="1"/>
    <cellStyle name="Note 2" xfId="63"/>
    <cellStyle name="Note 2 2" xfId="142"/>
    <cellStyle name="Note 3" xfId="139"/>
    <cellStyle name="Output" xfId="41" builtinId="21" customBuiltin="1"/>
    <cellStyle name="Output 2" xfId="58"/>
    <cellStyle name="Percent" xfId="42" builtinId="5"/>
    <cellStyle name="Percent [2]" xfId="133"/>
    <cellStyle name="Percent 2" xfId="92"/>
    <cellStyle name="Percent 2 2" xfId="157"/>
    <cellStyle name="Percent 3" xfId="95"/>
    <cellStyle name="Percent 3 2" xfId="160"/>
    <cellStyle name="Percent 4" xfId="105"/>
    <cellStyle name="Percent 4 2" xfId="162"/>
    <cellStyle name="Title" xfId="43" builtinId="15" customBuiltin="1"/>
    <cellStyle name="Title 2" xfId="48"/>
    <cellStyle name="Total" xfId="44" builtinId="25" customBuiltin="1"/>
    <cellStyle name="Total 2" xfId="65"/>
    <cellStyle name="Warning Text" xfId="45" builtinId="11" customBuiltin="1"/>
    <cellStyle name="Warning Text 2" xfId="62"/>
  </cellStyles>
  <dxfs count="60">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323020</xdr:colOff>
      <xdr:row>11</xdr:row>
      <xdr:rowOff>142874</xdr:rowOff>
    </xdr:to>
    <xdr:grpSp>
      <xdr:nvGrpSpPr>
        <xdr:cNvPr id="2" name="Group 1"/>
        <xdr:cNvGrpSpPr/>
      </xdr:nvGrpSpPr>
      <xdr:grpSpPr>
        <a:xfrm>
          <a:off x="0" y="0"/>
          <a:ext cx="10500916" cy="1921163"/>
          <a:chOff x="9524" y="19051"/>
          <a:chExt cx="8537711" cy="1924049"/>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 name="Rectangle 4"/>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2300" b="1" i="0" baseline="0">
                <a:effectLst/>
                <a:latin typeface="+mn-lt"/>
                <a:ea typeface="+mn-ea"/>
                <a:cs typeface="+mn-cs"/>
              </a:rPr>
              <a:t>Filing Requirements for Electricity </a:t>
            </a:r>
          </a:p>
          <a:p>
            <a:pPr marL="0" marR="0" indent="0" algn="ctr" defTabSz="914400" rtl="0" eaLnBrk="1" fontAlgn="auto" latinLnBrk="0" hangingPunct="1">
              <a:lnSpc>
                <a:spcPct val="100000"/>
              </a:lnSpc>
              <a:spcBef>
                <a:spcPts val="0"/>
              </a:spcBef>
              <a:spcAft>
                <a:spcPts val="0"/>
              </a:spcAft>
              <a:buClrTx/>
              <a:buSzTx/>
              <a:buFontTx/>
              <a:buNone/>
              <a:tabLst/>
              <a:defRPr/>
            </a:pPr>
            <a:r>
              <a:rPr lang="en-CA" sz="2300" b="1" i="0" baseline="0">
                <a:effectLst/>
                <a:latin typeface="+mn-lt"/>
                <a:ea typeface="+mn-ea"/>
                <a:cs typeface="+mn-cs"/>
              </a:rPr>
              <a:t>Distribution Rate Applications </a:t>
            </a:r>
            <a:endParaRPr lang="en-CA" sz="2300">
              <a:effectLst/>
            </a:endParaRP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Chapter 2 Appendices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3</xdr:col>
          <xdr:colOff>533400</xdr:colOff>
          <xdr:row>52</xdr:row>
          <xdr:rowOff>47625</xdr:rowOff>
        </xdr:from>
        <xdr:to>
          <xdr:col>6</xdr:col>
          <xdr:colOff>257175</xdr:colOff>
          <xdr:row>53</xdr:row>
          <xdr:rowOff>152400</xdr:rowOff>
        </xdr:to>
        <xdr:sp macro="" textlink="">
          <xdr:nvSpPr>
            <xdr:cNvPr id="1038" name="Button 14" hidden="1">
              <a:extLst>
                <a:ext uri="{63B3BB69-23CF-44E3-9099-C40C66FF867C}">
                  <a14:compatExt spid="_x0000_s10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Update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56</xdr:row>
          <xdr:rowOff>123825</xdr:rowOff>
        </xdr:from>
        <xdr:to>
          <xdr:col>6</xdr:col>
          <xdr:colOff>257175</xdr:colOff>
          <xdr:row>58</xdr:row>
          <xdr:rowOff>66675</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Unhide All Sheets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5520</xdr:colOff>
      <xdr:row>11</xdr:row>
      <xdr:rowOff>76199</xdr:rowOff>
    </xdr:to>
    <xdr:grpSp>
      <xdr:nvGrpSpPr>
        <xdr:cNvPr id="9" name="Group 8"/>
        <xdr:cNvGrpSpPr/>
      </xdr:nvGrpSpPr>
      <xdr:grpSpPr>
        <a:xfrm>
          <a:off x="0" y="0"/>
          <a:ext cx="9319827" cy="1880615"/>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10"/>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2400" b="1" i="0" baseline="0">
                <a:effectLst/>
                <a:latin typeface="+mn-lt"/>
                <a:ea typeface="+mn-ea"/>
                <a:cs typeface="+mn-cs"/>
              </a:rPr>
              <a:t>Filing Requirements for Transmission </a:t>
            </a:r>
          </a:p>
          <a:p>
            <a:pPr marL="0" marR="0" indent="0" algn="ctr" defTabSz="914400" rtl="0" eaLnBrk="1" fontAlgn="auto" latinLnBrk="0" hangingPunct="1">
              <a:lnSpc>
                <a:spcPct val="100000"/>
              </a:lnSpc>
              <a:spcBef>
                <a:spcPts val="0"/>
              </a:spcBef>
              <a:spcAft>
                <a:spcPts val="0"/>
              </a:spcAft>
              <a:buClrTx/>
              <a:buSzTx/>
              <a:buFontTx/>
              <a:buNone/>
              <a:tabLst/>
              <a:defRPr/>
            </a:pPr>
            <a:r>
              <a:rPr lang="en-CA" sz="2400" b="1" i="0" baseline="0">
                <a:effectLst/>
                <a:latin typeface="+mn-lt"/>
                <a:ea typeface="+mn-ea"/>
                <a:cs typeface="+mn-cs"/>
              </a:rPr>
              <a:t>and Distribution Applications </a:t>
            </a:r>
            <a:endParaRPr lang="en-CA" sz="2400">
              <a:effectLst/>
            </a:endParaRP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Chapter 2 Appendices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333375</xdr:colOff>
      <xdr:row>38</xdr:row>
      <xdr:rowOff>114300</xdr:rowOff>
    </xdr:to>
    <xdr:pic>
      <xdr:nvPicPr>
        <xdr:cNvPr id="409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590675"/>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409575</xdr:colOff>
          <xdr:row>5</xdr:row>
          <xdr:rowOff>76200</xdr:rowOff>
        </xdr:from>
        <xdr:to>
          <xdr:col>7</xdr:col>
          <xdr:colOff>57150</xdr:colOff>
          <xdr:row>11</xdr:row>
          <xdr:rowOff>38100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514350</xdr:colOff>
      <xdr:row>20</xdr:row>
      <xdr:rowOff>38100</xdr:rowOff>
    </xdr:from>
    <xdr:to>
      <xdr:col>1</xdr:col>
      <xdr:colOff>692150</xdr:colOff>
      <xdr:row>24</xdr:row>
      <xdr:rowOff>133350</xdr:rowOff>
    </xdr:to>
    <xdr:sp macro="" textlink="">
      <xdr:nvSpPr>
        <xdr:cNvPr id="2" name="Right Brace 1"/>
        <xdr:cNvSpPr/>
      </xdr:nvSpPr>
      <xdr:spPr>
        <a:xfrm>
          <a:off x="1123950" y="3695700"/>
          <a:ext cx="177800" cy="8667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twoCellAnchor>
    <xdr:from>
      <xdr:col>2</xdr:col>
      <xdr:colOff>292100</xdr:colOff>
      <xdr:row>26</xdr:row>
      <xdr:rowOff>25400</xdr:rowOff>
    </xdr:from>
    <xdr:to>
      <xdr:col>2</xdr:col>
      <xdr:colOff>381000</xdr:colOff>
      <xdr:row>26</xdr:row>
      <xdr:rowOff>139700</xdr:rowOff>
    </xdr:to>
    <xdr:sp macro="" textlink="">
      <xdr:nvSpPr>
        <xdr:cNvPr id="3" name="Right Brace 2"/>
        <xdr:cNvSpPr/>
      </xdr:nvSpPr>
      <xdr:spPr>
        <a:xfrm>
          <a:off x="1720850" y="4749800"/>
          <a:ext cx="88900" cy="114300"/>
        </a:xfrm>
        <a:prstGeom prst="rightBrace">
          <a:avLst>
            <a:gd name="adj1" fmla="val 8333"/>
            <a:gd name="adj2" fmla="val 4393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8956" name="Option Button 44" hidden="1">
              <a:extLst>
                <a:ext uri="{63B3BB69-23CF-44E3-9099-C40C66FF867C}">
                  <a14:compatExt spid="_x0000_s38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38957" name="Option Button 45" hidden="1">
              <a:extLst>
                <a:ext uri="{63B3BB69-23CF-44E3-9099-C40C66FF867C}">
                  <a14:compatExt spid="_x0000_s389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2466975</xdr:colOff>
          <xdr:row>34</xdr:row>
          <xdr:rowOff>476250</xdr:rowOff>
        </xdr:from>
        <xdr:to>
          <xdr:col>1</xdr:col>
          <xdr:colOff>104775</xdr:colOff>
          <xdr:row>35</xdr:row>
          <xdr:rowOff>47625</xdr:rowOff>
        </xdr:to>
        <xdr:sp macro="" textlink="">
          <xdr:nvSpPr>
            <xdr:cNvPr id="105475" name="Button 3" hidden="1">
              <a:extLst>
                <a:ext uri="{63B3BB69-23CF-44E3-9099-C40C66FF867C}">
                  <a14:compatExt spid="_x0000_s10547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Update Tariff Schedule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7</xdr:row>
          <xdr:rowOff>47625</xdr:rowOff>
        </xdr:from>
        <xdr:to>
          <xdr:col>3</xdr:col>
          <xdr:colOff>571500</xdr:colOff>
          <xdr:row>7</xdr:row>
          <xdr:rowOff>323850</xdr:rowOff>
        </xdr:to>
        <xdr:sp macro="" textlink="">
          <xdr:nvSpPr>
            <xdr:cNvPr id="105478" name="Button 6" hidden="1">
              <a:extLst>
                <a:ext uri="{63B3BB69-23CF-44E3-9099-C40C66FF867C}">
                  <a14:compatExt spid="_x0000_s10547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Print Tariff Schedule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kent.ASCENT\AppData\Local\Microsoft\Windows\Temporary%20Internet%20Files\Content.Outlook\3WM5YGQ1\Recent%20Drafts\Filing_Requirements_Chapter2_Appendices%20-%20Excel%20(May%2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E24">
            <v>2014</v>
          </cell>
          <cell r="AA24" t="str">
            <v>Fort Albany Power Corporation</v>
          </cell>
        </row>
        <row r="25">
          <cell r="AA25" t="str">
            <v>Fort Frances Power Corporation</v>
          </cell>
        </row>
        <row r="26">
          <cell r="E26">
            <v>2013</v>
          </cell>
          <cell r="AA26" t="str">
            <v>Greater Sudbury Hydro Inc.</v>
          </cell>
        </row>
        <row r="27">
          <cell r="AA27" t="str">
            <v>Grimsby Power Inc.</v>
          </cell>
        </row>
        <row r="28">
          <cell r="E28">
            <v>2010</v>
          </cell>
          <cell r="AA28" t="str">
            <v>Guelph Hydro Electric Systems Inc.</v>
          </cell>
        </row>
        <row r="29">
          <cell r="AA29" t="str">
            <v>Haldimand County Hydro Inc.</v>
          </cell>
        </row>
        <row r="48">
          <cell r="AA48" t="str">
            <v>Guelph Hydro Electric Systems Inc.</v>
          </cell>
        </row>
        <row r="49">
          <cell r="AA49" t="str">
            <v>Halton Hills Hydro Inc.</v>
          </cell>
        </row>
        <row r="50">
          <cell r="AA50" t="str">
            <v>Hearst Power Distribution Co. Ltd.</v>
          </cell>
        </row>
        <row r="51">
          <cell r="AA51" t="str">
            <v>Horizon Utilities Corporation</v>
          </cell>
        </row>
        <row r="52">
          <cell r="AA52" t="str">
            <v>Hydro 2000 Inc.</v>
          </cell>
        </row>
        <row r="53">
          <cell r="AA53" t="str">
            <v>Hydro Hawkesbury Inc.</v>
          </cell>
        </row>
        <row r="54">
          <cell r="AA54" t="str">
            <v>Hydro One Brampton Networks Inc.</v>
          </cell>
        </row>
        <row r="55">
          <cell r="AA55" t="str">
            <v>Hydro One Networks Inc.</v>
          </cell>
        </row>
        <row r="56">
          <cell r="AA56" t="str">
            <v>Hydro One Remote Communities Inc.</v>
          </cell>
        </row>
        <row r="57">
          <cell r="AA57" t="str">
            <v>Hydro Ottawa Limited</v>
          </cell>
        </row>
        <row r="58">
          <cell r="AA58" t="str">
            <v>Innisfil Hydro Dist. Systems Limited</v>
          </cell>
        </row>
        <row r="59">
          <cell r="AA59" t="str">
            <v>Kashechewan Power Corporation</v>
          </cell>
        </row>
        <row r="60">
          <cell r="AA60" t="str">
            <v>Kenora Hydro Electric Corporation Ltd.</v>
          </cell>
        </row>
        <row r="61">
          <cell r="AA61" t="str">
            <v>Kingston Hydro Corporation</v>
          </cell>
        </row>
        <row r="62">
          <cell r="AA62" t="str">
            <v>Kitchener-Wilmot Hydro Inc.</v>
          </cell>
        </row>
        <row r="63">
          <cell r="AA63" t="str">
            <v>Lakefront Utilities Inc.</v>
          </cell>
        </row>
        <row r="64">
          <cell r="AA64" t="str">
            <v>Lakeland Power Distribution Ltd.</v>
          </cell>
        </row>
        <row r="65">
          <cell r="AA65" t="str">
            <v>London Hydro Inc.</v>
          </cell>
        </row>
        <row r="66">
          <cell r="AA66" t="str">
            <v>Midland Power Utility Corporation</v>
          </cell>
        </row>
        <row r="67">
          <cell r="AA67" t="str">
            <v>Milton Hydro Distribution Inc.</v>
          </cell>
        </row>
        <row r="68">
          <cell r="AA68" t="str">
            <v>Newmarket – Tay Power Distribution Ltd.</v>
          </cell>
        </row>
        <row r="69">
          <cell r="AA69" t="str">
            <v>Niagara Peninsula Energy Inc.</v>
          </cell>
        </row>
        <row r="70">
          <cell r="AA70" t="str">
            <v>Niagara-on-the-Lake Hydro Inc.</v>
          </cell>
        </row>
        <row r="71">
          <cell r="AA71" t="str">
            <v>Norfolk Power Distribution Ltd.</v>
          </cell>
        </row>
        <row r="72">
          <cell r="AA72" t="str">
            <v>North Bay Hydro Distribution Limited</v>
          </cell>
        </row>
        <row r="73">
          <cell r="AA73" t="str">
            <v>Northern Ontario Wires Inc.</v>
          </cell>
        </row>
        <row r="74">
          <cell r="AA74" t="str">
            <v>Oakville Hydro Distribution Inc.</v>
          </cell>
        </row>
        <row r="75">
          <cell r="AA75" t="str">
            <v>Orangeville Hydro Limited</v>
          </cell>
        </row>
        <row r="76">
          <cell r="AA76" t="str">
            <v>Orillia Power Distribution Corp.</v>
          </cell>
        </row>
        <row r="77">
          <cell r="AA77" t="str">
            <v>Oshawa PUC Networks Inc.</v>
          </cell>
        </row>
        <row r="78">
          <cell r="AA78" t="str">
            <v>Ottawa River Power Corporation</v>
          </cell>
        </row>
        <row r="79">
          <cell r="AA79" t="str">
            <v>Parry Sound Power Corporation</v>
          </cell>
        </row>
        <row r="80">
          <cell r="AA80" t="str">
            <v>Peterborough Distribution Inc.</v>
          </cell>
        </row>
        <row r="81">
          <cell r="AA81" t="str">
            <v>PowerStream Inc.</v>
          </cell>
        </row>
        <row r="82">
          <cell r="AA82" t="str">
            <v>PUC Distribution Inc.</v>
          </cell>
        </row>
        <row r="83">
          <cell r="AA83" t="str">
            <v>Renfrew Hydro Inc.</v>
          </cell>
        </row>
        <row r="84">
          <cell r="AA84" t="str">
            <v>Rideau St. Lawrence Distribution Inc.</v>
          </cell>
        </row>
        <row r="85">
          <cell r="AA85" t="str">
            <v>St. Thomas Energy Inc.</v>
          </cell>
        </row>
        <row r="86">
          <cell r="AA86" t="str">
            <v>Sioux Lookout Hydro Inc.</v>
          </cell>
        </row>
        <row r="87">
          <cell r="AA87" t="str">
            <v>Thunder Bay Hydro Electricity Distribution</v>
          </cell>
        </row>
        <row r="88">
          <cell r="AA88" t="str">
            <v>Tillsonburg Hydro Inc.</v>
          </cell>
        </row>
        <row r="89">
          <cell r="AA89" t="str">
            <v>Toronto Hydro-Electric System Limited</v>
          </cell>
        </row>
        <row r="90">
          <cell r="AA90" t="str">
            <v>Veridian Connections Inc.</v>
          </cell>
        </row>
        <row r="91">
          <cell r="AA91" t="str">
            <v>Wasaga Distribution Inc.</v>
          </cell>
        </row>
        <row r="92">
          <cell r="AA92" t="str">
            <v>Waterloo North Hydro Inc.</v>
          </cell>
        </row>
        <row r="93">
          <cell r="AA93" t="str">
            <v>Welland Hydro Electric System Corp.</v>
          </cell>
        </row>
        <row r="94">
          <cell r="AA94" t="str">
            <v>Wellington North Power Inc.</v>
          </cell>
        </row>
        <row r="95">
          <cell r="AA95" t="str">
            <v>West Coast Huron Energy Inc.</v>
          </cell>
        </row>
        <row r="96">
          <cell r="AA96" t="str">
            <v>Westario Power Inc.</v>
          </cell>
        </row>
        <row r="97">
          <cell r="AA97" t="str">
            <v>Whitby Hydro Electric Corporation</v>
          </cell>
        </row>
        <row r="98">
          <cell r="AA98"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kent@sttenergy.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ontarioenergyboard.ca/OEB/_Documents/EB-2010-0178/Kinetrics-418033-OEB%20Asset%20Amortization-%20Final%20Rep.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3:AA109"/>
  <sheetViews>
    <sheetView showGridLines="0" topLeftCell="A4" zoomScaleNormal="100" workbookViewId="0">
      <selection activeCell="J39" sqref="J39"/>
    </sheetView>
  </sheetViews>
  <sheetFormatPr defaultRowHeight="12.75" x14ac:dyDescent="0.2"/>
  <cols>
    <col min="3" max="3" width="13.5703125" customWidth="1"/>
    <col min="4" max="4" width="18.7109375" customWidth="1"/>
    <col min="27" max="27" width="0" hidden="1" customWidth="1"/>
  </cols>
  <sheetData>
    <row r="3" spans="4:27" x14ac:dyDescent="0.2">
      <c r="AA3" s="185" t="s">
        <v>437</v>
      </c>
    </row>
    <row r="4" spans="4:27" x14ac:dyDescent="0.2">
      <c r="AA4" s="185" t="s">
        <v>438</v>
      </c>
    </row>
    <row r="5" spans="4:27" x14ac:dyDescent="0.2">
      <c r="AA5" s="185" t="s">
        <v>439</v>
      </c>
    </row>
    <row r="6" spans="4:27" x14ac:dyDescent="0.2">
      <c r="AA6" s="185" t="s">
        <v>440</v>
      </c>
    </row>
    <row r="7" spans="4:27" x14ac:dyDescent="0.2">
      <c r="AA7" s="185" t="s">
        <v>441</v>
      </c>
    </row>
    <row r="8" spans="4:27" x14ac:dyDescent="0.2">
      <c r="AA8" s="185" t="s">
        <v>442</v>
      </c>
    </row>
    <row r="9" spans="4:27" x14ac:dyDescent="0.2">
      <c r="AA9" s="185" t="s">
        <v>443</v>
      </c>
    </row>
    <row r="10" spans="4:27" x14ac:dyDescent="0.2">
      <c r="AA10" s="185" t="s">
        <v>444</v>
      </c>
    </row>
    <row r="11" spans="4:27" x14ac:dyDescent="0.2">
      <c r="AA11" s="185" t="s">
        <v>445</v>
      </c>
    </row>
    <row r="12" spans="4:27" x14ac:dyDescent="0.2">
      <c r="AA12" s="185" t="s">
        <v>446</v>
      </c>
    </row>
    <row r="13" spans="4:27" ht="13.5" thickBot="1" x14ac:dyDescent="0.25">
      <c r="N13" s="663" t="s">
        <v>721</v>
      </c>
      <c r="AA13" s="185" t="s">
        <v>447</v>
      </c>
    </row>
    <row r="14" spans="4:27" ht="32.25" customHeight="1" thickTop="1" thickBot="1" x14ac:dyDescent="0.25">
      <c r="D14" s="189" t="s">
        <v>433</v>
      </c>
      <c r="E14" s="1736" t="s">
        <v>500</v>
      </c>
      <c r="F14" s="1737"/>
      <c r="G14" s="1737"/>
      <c r="H14" s="1737"/>
      <c r="I14" s="1737"/>
      <c r="J14" s="1737"/>
      <c r="K14" s="1738"/>
      <c r="AA14" s="185" t="s">
        <v>448</v>
      </c>
    </row>
    <row r="15" spans="4:27" ht="13.5" thickBot="1" x14ac:dyDescent="0.25">
      <c r="D15" s="190"/>
      <c r="E15" s="18"/>
      <c r="F15" s="19"/>
      <c r="G15" s="18"/>
      <c r="H15" s="18"/>
      <c r="I15" s="18"/>
      <c r="J15" s="4"/>
      <c r="K15" s="4"/>
      <c r="AA15" s="185" t="s">
        <v>449</v>
      </c>
    </row>
    <row r="16" spans="4:27" ht="16.5" thickTop="1" thickBot="1" x14ac:dyDescent="0.25">
      <c r="D16" s="191" t="s">
        <v>434</v>
      </c>
      <c r="E16" s="1739" t="s">
        <v>2030</v>
      </c>
      <c r="F16" s="1740"/>
      <c r="G16" s="1740"/>
      <c r="H16" s="1740"/>
      <c r="I16" s="1741"/>
      <c r="J16" s="4"/>
      <c r="K16" s="4"/>
      <c r="AA16" s="185" t="s">
        <v>450</v>
      </c>
    </row>
    <row r="17" spans="1:27" ht="13.5" thickBot="1" x14ac:dyDescent="0.25">
      <c r="D17" s="151"/>
      <c r="E17" s="4"/>
      <c r="F17" s="4"/>
      <c r="G17" s="4"/>
      <c r="H17" s="4"/>
      <c r="I17" s="4"/>
      <c r="J17" s="4"/>
      <c r="K17" s="4"/>
      <c r="AA17" s="185" t="s">
        <v>451</v>
      </c>
    </row>
    <row r="18" spans="1:27" ht="16.5" thickTop="1" thickBot="1" x14ac:dyDescent="0.25">
      <c r="D18" s="191" t="s">
        <v>706</v>
      </c>
      <c r="E18" s="1733" t="s">
        <v>1967</v>
      </c>
      <c r="F18" s="1734"/>
      <c r="G18" s="1734"/>
      <c r="H18" s="1734"/>
      <c r="I18" s="1734"/>
      <c r="J18" s="1734"/>
      <c r="K18" s="1735"/>
      <c r="AA18" s="185" t="s">
        <v>452</v>
      </c>
    </row>
    <row r="19" spans="1:27" ht="14.25" thickTop="1" thickBot="1" x14ac:dyDescent="0.25">
      <c r="D19" s="190"/>
      <c r="E19" s="18"/>
      <c r="F19" s="19"/>
      <c r="G19" s="18"/>
      <c r="H19" s="18"/>
      <c r="I19" s="18"/>
      <c r="J19" s="4"/>
      <c r="K19" s="4"/>
      <c r="AA19" s="185" t="s">
        <v>453</v>
      </c>
    </row>
    <row r="20" spans="1:27" ht="16.5" thickTop="1" thickBot="1" x14ac:dyDescent="0.25">
      <c r="D20" s="189" t="s">
        <v>435</v>
      </c>
      <c r="E20" s="1742" t="s">
        <v>1968</v>
      </c>
      <c r="F20" s="1740"/>
      <c r="G20" s="1740"/>
      <c r="H20" s="1740"/>
      <c r="I20" s="1741"/>
      <c r="J20" s="4"/>
      <c r="K20" s="4"/>
      <c r="AA20" s="185" t="s">
        <v>454</v>
      </c>
    </row>
    <row r="21" spans="1:27" ht="13.5" thickBot="1" x14ac:dyDescent="0.25">
      <c r="D21" s="190"/>
      <c r="E21" s="18"/>
      <c r="F21" s="19"/>
      <c r="G21" s="18"/>
      <c r="H21" s="18"/>
      <c r="I21" s="18"/>
      <c r="J21" s="4"/>
      <c r="K21" s="4"/>
      <c r="AA21" s="185" t="s">
        <v>455</v>
      </c>
    </row>
    <row r="22" spans="1:27" ht="16.5" thickTop="1" thickBot="1" x14ac:dyDescent="0.25">
      <c r="D22" s="189" t="s">
        <v>436</v>
      </c>
      <c r="E22" s="1441" t="s">
        <v>1969</v>
      </c>
      <c r="F22" s="924"/>
      <c r="G22" s="924"/>
      <c r="H22" s="924"/>
      <c r="I22" s="925"/>
      <c r="J22" s="4"/>
      <c r="K22" s="4"/>
      <c r="AA22" s="185" t="s">
        <v>456</v>
      </c>
    </row>
    <row r="23" spans="1:27" ht="13.5" thickBot="1" x14ac:dyDescent="0.25">
      <c r="D23" s="190"/>
      <c r="E23" s="18"/>
      <c r="F23" s="19"/>
      <c r="G23" s="18"/>
      <c r="H23" s="18"/>
      <c r="I23" s="18"/>
      <c r="J23" s="4"/>
      <c r="K23" s="4"/>
      <c r="AA23" s="185" t="s">
        <v>457</v>
      </c>
    </row>
    <row r="24" spans="1:27" ht="16.5" thickTop="1" thickBot="1" x14ac:dyDescent="0.25">
      <c r="D24" s="191" t="s">
        <v>432</v>
      </c>
      <c r="E24" s="1717">
        <v>2015</v>
      </c>
      <c r="F24" s="1718"/>
      <c r="G24" s="1719"/>
      <c r="H24" s="18"/>
      <c r="I24" s="18"/>
      <c r="J24" s="4"/>
      <c r="K24" s="4"/>
      <c r="AA24" s="185" t="s">
        <v>458</v>
      </c>
    </row>
    <row r="25" spans="1:27" ht="13.5" thickBot="1" x14ac:dyDescent="0.25">
      <c r="D25" s="95"/>
      <c r="AA25" s="185" t="s">
        <v>459</v>
      </c>
    </row>
    <row r="26" spans="1:27" ht="16.5" thickTop="1" thickBot="1" x14ac:dyDescent="0.25">
      <c r="D26" s="191" t="s">
        <v>431</v>
      </c>
      <c r="E26" s="1743">
        <v>2014</v>
      </c>
      <c r="F26" s="1744"/>
      <c r="G26" s="1745"/>
      <c r="AA26" s="185" t="s">
        <v>460</v>
      </c>
    </row>
    <row r="27" spans="1:27" ht="13.5" thickBot="1" x14ac:dyDescent="0.25">
      <c r="D27" s="192"/>
      <c r="AA27" s="185" t="s">
        <v>461</v>
      </c>
    </row>
    <row r="28" spans="1:27" ht="16.5" thickTop="1" thickBot="1" x14ac:dyDescent="0.25">
      <c r="D28" s="191" t="s">
        <v>430</v>
      </c>
      <c r="E28" s="1717">
        <v>2011</v>
      </c>
      <c r="F28" s="1718"/>
      <c r="G28" s="1719"/>
      <c r="AA28" s="185" t="s">
        <v>462</v>
      </c>
    </row>
    <row r="29" spans="1:27" x14ac:dyDescent="0.2">
      <c r="AA29" s="185" t="s">
        <v>463</v>
      </c>
    </row>
    <row r="30" spans="1:27" ht="14.25" customHeight="1" thickBot="1" x14ac:dyDescent="0.25">
      <c r="A30" s="1728" t="s">
        <v>743</v>
      </c>
      <c r="B30" s="1728"/>
      <c r="C30" s="1728"/>
      <c r="D30" s="1728"/>
      <c r="AA30" s="185"/>
    </row>
    <row r="31" spans="1:27" ht="15.75" customHeight="1" thickTop="1" thickBot="1" x14ac:dyDescent="0.25">
      <c r="A31" s="1728"/>
      <c r="B31" s="1728"/>
      <c r="C31" s="1728"/>
      <c r="D31" s="1728"/>
      <c r="E31" s="1717" t="s">
        <v>162</v>
      </c>
      <c r="F31" s="1718"/>
      <c r="G31" s="1719"/>
      <c r="H31" s="917"/>
      <c r="I31" s="917"/>
      <c r="J31" s="917"/>
      <c r="AA31" s="185"/>
    </row>
    <row r="32" spans="1:27" ht="15.75" customHeight="1" x14ac:dyDescent="0.2">
      <c r="A32" s="667"/>
      <c r="B32" s="667"/>
      <c r="C32" s="667"/>
      <c r="D32" s="667"/>
      <c r="AA32" s="185"/>
    </row>
    <row r="33" spans="1:27" ht="15.75" customHeight="1" thickBot="1" x14ac:dyDescent="0.25">
      <c r="A33" s="1728" t="s">
        <v>1245</v>
      </c>
      <c r="B33" s="1728"/>
      <c r="C33" s="1728"/>
      <c r="D33" s="1728"/>
      <c r="AA33" s="185"/>
    </row>
    <row r="34" spans="1:27" ht="15.75" customHeight="1" thickTop="1" thickBot="1" x14ac:dyDescent="0.25">
      <c r="A34" s="1728"/>
      <c r="B34" s="1728"/>
      <c r="C34" s="1728"/>
      <c r="D34" s="1728"/>
      <c r="E34" s="1717" t="s">
        <v>724</v>
      </c>
      <c r="F34" s="1718"/>
      <c r="G34" s="1719"/>
      <c r="AA34" s="185"/>
    </row>
    <row r="35" spans="1:27" ht="15.75" customHeight="1" x14ac:dyDescent="0.2">
      <c r="A35" s="926"/>
      <c r="B35" s="926"/>
      <c r="C35" s="926"/>
      <c r="D35" s="926"/>
      <c r="AA35" s="185"/>
    </row>
    <row r="36" spans="1:27" ht="15.75" customHeight="1" thickBot="1" x14ac:dyDescent="0.25">
      <c r="A36" s="1728" t="s">
        <v>1246</v>
      </c>
      <c r="B36" s="1728"/>
      <c r="C36" s="1728"/>
      <c r="D36" s="1728"/>
      <c r="AA36" s="185"/>
    </row>
    <row r="37" spans="1:27" ht="15.75" customHeight="1" thickTop="1" thickBot="1" x14ac:dyDescent="0.25">
      <c r="A37" s="1728"/>
      <c r="B37" s="1728"/>
      <c r="C37" s="1728"/>
      <c r="D37" s="1728"/>
      <c r="E37" s="1730">
        <v>2012</v>
      </c>
      <c r="F37" s="1731"/>
      <c r="G37" s="1731"/>
      <c r="H37" s="1731"/>
      <c r="I37" s="1732"/>
      <c r="AA37" s="185"/>
    </row>
    <row r="38" spans="1:27" ht="15.75" customHeight="1" x14ac:dyDescent="0.2">
      <c r="A38" s="926"/>
      <c r="B38" s="926"/>
      <c r="C38" s="926"/>
      <c r="AA38" s="185"/>
    </row>
    <row r="39" spans="1:27" ht="20.25" customHeight="1" thickBot="1" x14ac:dyDescent="0.25">
      <c r="A39" s="1728" t="s">
        <v>1944</v>
      </c>
      <c r="B39" s="1728"/>
      <c r="C39" s="1728"/>
      <c r="D39" s="1728"/>
      <c r="AA39" s="185"/>
    </row>
    <row r="40" spans="1:27" ht="26.25" customHeight="1" thickTop="1" thickBot="1" x14ac:dyDescent="0.25">
      <c r="A40" s="1728"/>
      <c r="B40" s="1728"/>
      <c r="C40" s="1728"/>
      <c r="D40" s="1728"/>
      <c r="E40" s="1717" t="s">
        <v>1946</v>
      </c>
      <c r="F40" s="1718"/>
      <c r="G40" s="1719"/>
      <c r="AA40" s="185"/>
    </row>
    <row r="41" spans="1:27" ht="12.75" customHeight="1" x14ac:dyDescent="0.2">
      <c r="A41" s="667"/>
      <c r="B41" s="667"/>
      <c r="C41" s="667"/>
      <c r="D41" s="667"/>
      <c r="AA41" s="185"/>
    </row>
    <row r="42" spans="1:27" ht="24.75" customHeight="1" thickBot="1" x14ac:dyDescent="0.25">
      <c r="A42" s="1729" t="s">
        <v>1945</v>
      </c>
      <c r="B42" s="1729"/>
      <c r="C42" s="1729"/>
      <c r="D42" s="1729"/>
      <c r="E42" s="120"/>
      <c r="N42" s="120"/>
      <c r="AA42" s="185"/>
    </row>
    <row r="43" spans="1:27" ht="34.5" customHeight="1" thickTop="1" thickBot="1" x14ac:dyDescent="0.25">
      <c r="A43" s="1729"/>
      <c r="B43" s="1729"/>
      <c r="C43" s="1729"/>
      <c r="D43" s="1729"/>
      <c r="E43" s="1717">
        <v>2012</v>
      </c>
      <c r="F43" s="1718"/>
      <c r="G43" s="1719"/>
      <c r="I43" s="120"/>
      <c r="N43" s="120"/>
      <c r="AA43" s="185"/>
    </row>
    <row r="44" spans="1:27" ht="12.75" customHeight="1" x14ac:dyDescent="0.2">
      <c r="A44" s="881"/>
      <c r="B44" s="881"/>
      <c r="C44" s="881"/>
      <c r="D44" s="881"/>
      <c r="N44" s="120"/>
      <c r="AA44" s="185"/>
    </row>
    <row r="45" spans="1:27" ht="12.75" customHeight="1" thickBot="1" x14ac:dyDescent="0.25">
      <c r="A45" s="1729" t="s">
        <v>744</v>
      </c>
      <c r="B45" s="1729"/>
      <c r="C45" s="1729"/>
      <c r="D45" s="1729"/>
      <c r="AA45" s="185"/>
    </row>
    <row r="46" spans="1:27" ht="49.5" customHeight="1" thickTop="1" thickBot="1" x14ac:dyDescent="0.25">
      <c r="A46" s="1729"/>
      <c r="B46" s="1729"/>
      <c r="C46" s="1729"/>
      <c r="D46" s="1729"/>
      <c r="E46" s="1717" t="s">
        <v>1794</v>
      </c>
      <c r="F46" s="1718"/>
      <c r="G46" s="1719"/>
      <c r="AA46" s="185"/>
    </row>
    <row r="47" spans="1:27" ht="12.75" customHeight="1" thickBot="1" x14ac:dyDescent="0.25">
      <c r="B47" s="666"/>
      <c r="C47" s="666"/>
      <c r="D47" s="666"/>
      <c r="AA47" s="185"/>
    </row>
    <row r="48" spans="1:27" ht="49.5" customHeight="1" thickTop="1" thickBot="1" x14ac:dyDescent="0.25">
      <c r="A48" s="1720" t="str">
        <f>"Is " &amp; E14 &amp; " an embedded distributor?"</f>
        <v>Is St. Thomas Energy Inc. an embedded distributor?</v>
      </c>
      <c r="B48" s="1720"/>
      <c r="C48" s="1720"/>
      <c r="D48" s="1721"/>
      <c r="E48" s="1717" t="s">
        <v>1794</v>
      </c>
      <c r="F48" s="1718"/>
      <c r="G48" s="1719"/>
      <c r="AA48" s="185"/>
    </row>
    <row r="49" spans="1:27" ht="12.75" customHeight="1" x14ac:dyDescent="0.2">
      <c r="B49" s="666"/>
      <c r="C49" s="666"/>
      <c r="D49" s="666"/>
      <c r="AA49" s="185"/>
    </row>
    <row r="50" spans="1:27" ht="12.75" customHeight="1" x14ac:dyDescent="0.2">
      <c r="B50" s="666"/>
      <c r="C50" s="666"/>
      <c r="D50" s="666"/>
      <c r="AA50" s="185"/>
    </row>
    <row r="51" spans="1:27" ht="12.75" customHeight="1" x14ac:dyDescent="0.2">
      <c r="B51" s="666"/>
      <c r="C51" s="666"/>
      <c r="D51" s="666"/>
      <c r="AA51" s="185"/>
    </row>
    <row r="52" spans="1:27" ht="12.75" customHeight="1" x14ac:dyDescent="0.2">
      <c r="A52" s="1727" t="s">
        <v>1258</v>
      </c>
      <c r="B52" s="1727"/>
      <c r="C52" s="1727"/>
      <c r="D52" s="1727"/>
      <c r="E52" s="1727"/>
      <c r="F52" s="1727"/>
      <c r="G52" s="1727"/>
      <c r="H52" s="1727"/>
      <c r="I52" s="1727"/>
      <c r="J52" s="1727"/>
      <c r="K52" s="1727"/>
      <c r="L52" s="1727"/>
      <c r="AA52" s="185"/>
    </row>
    <row r="53" spans="1:27" ht="12.75" customHeight="1" x14ac:dyDescent="0.2">
      <c r="B53" s="666"/>
      <c r="C53" s="666"/>
      <c r="D53" s="666"/>
      <c r="AA53" s="185"/>
    </row>
    <row r="54" spans="1:27" ht="12.75" customHeight="1" x14ac:dyDescent="0.2">
      <c r="B54" s="666"/>
      <c r="C54" s="666"/>
      <c r="D54" s="666"/>
      <c r="AA54" s="185"/>
    </row>
    <row r="55" spans="1:27" ht="12.75" customHeight="1" x14ac:dyDescent="0.2">
      <c r="B55" s="666"/>
      <c r="C55" s="666"/>
      <c r="D55" s="666"/>
      <c r="AA55" s="185"/>
    </row>
    <row r="56" spans="1:27" ht="12.75" customHeight="1" x14ac:dyDescent="0.2">
      <c r="A56" s="1727" t="s">
        <v>1257</v>
      </c>
      <c r="B56" s="1727"/>
      <c r="C56" s="1727"/>
      <c r="D56" s="1727"/>
      <c r="E56" s="1727"/>
      <c r="F56" s="1727"/>
      <c r="G56" s="1727"/>
      <c r="H56" s="1727"/>
      <c r="I56" s="1727"/>
      <c r="J56" s="1727"/>
      <c r="AA56" s="185"/>
    </row>
    <row r="57" spans="1:27" ht="12.75" customHeight="1" x14ac:dyDescent="0.2">
      <c r="B57" s="666"/>
      <c r="C57" s="666"/>
      <c r="D57" s="666"/>
      <c r="AA57" s="185"/>
    </row>
    <row r="58" spans="1:27" ht="12.75" customHeight="1" x14ac:dyDescent="0.2">
      <c r="B58" s="666"/>
      <c r="C58" s="666"/>
      <c r="D58" s="666"/>
      <c r="AA58" s="185"/>
    </row>
    <row r="59" spans="1:27" x14ac:dyDescent="0.2">
      <c r="B59" s="38" t="s">
        <v>429</v>
      </c>
      <c r="AA59" s="185" t="s">
        <v>462</v>
      </c>
    </row>
    <row r="60" spans="1:27" ht="13.5" thickBot="1" x14ac:dyDescent="0.25">
      <c r="AA60" s="185" t="s">
        <v>464</v>
      </c>
    </row>
    <row r="61" spans="1:27" ht="13.5" thickBot="1" x14ac:dyDescent="0.25">
      <c r="B61" s="186"/>
      <c r="C61" s="1722" t="s">
        <v>288</v>
      </c>
      <c r="D61" s="1722"/>
      <c r="E61" s="1722"/>
      <c r="F61" s="1722"/>
      <c r="G61" s="1722"/>
      <c r="H61" s="1722"/>
      <c r="I61" s="1722"/>
      <c r="J61" s="1722"/>
      <c r="K61" s="1722"/>
      <c r="L61" s="1722"/>
      <c r="AA61" s="185" t="s">
        <v>465</v>
      </c>
    </row>
    <row r="62" spans="1:27" ht="13.5" thickBot="1" x14ac:dyDescent="0.25">
      <c r="AA62" s="185" t="s">
        <v>466</v>
      </c>
    </row>
    <row r="63" spans="1:27" ht="13.5" thickBot="1" x14ac:dyDescent="0.25">
      <c r="B63" s="187"/>
      <c r="C63" s="1725" t="s">
        <v>514</v>
      </c>
      <c r="D63" s="1726"/>
      <c r="E63" s="1726"/>
      <c r="F63" s="1726"/>
      <c r="G63" s="1726"/>
      <c r="H63" s="1726"/>
      <c r="I63" s="1726"/>
      <c r="J63" s="1726"/>
      <c r="K63" s="1726"/>
      <c r="L63" s="1726"/>
      <c r="M63" s="1726"/>
      <c r="N63" s="1726"/>
      <c r="AA63" s="185" t="s">
        <v>467</v>
      </c>
    </row>
    <row r="64" spans="1:27" ht="13.5" thickBot="1" x14ac:dyDescent="0.25">
      <c r="B64" s="93"/>
      <c r="AA64" s="185" t="s">
        <v>468</v>
      </c>
    </row>
    <row r="65" spans="2:27" ht="13.5" customHeight="1" thickBot="1" x14ac:dyDescent="0.25">
      <c r="B65" s="47"/>
      <c r="C65" s="1723" t="s">
        <v>707</v>
      </c>
      <c r="D65" s="1724"/>
      <c r="E65" s="1724"/>
      <c r="F65" s="1724"/>
      <c r="G65" s="1724"/>
      <c r="H65" s="1724"/>
      <c r="I65" s="1724"/>
      <c r="J65" s="1724"/>
      <c r="K65" s="1724"/>
      <c r="L65" s="1724"/>
      <c r="M65" s="1724"/>
      <c r="AA65" s="185" t="s">
        <v>469</v>
      </c>
    </row>
    <row r="66" spans="2:27" x14ac:dyDescent="0.2">
      <c r="AA66" s="185" t="s">
        <v>470</v>
      </c>
    </row>
    <row r="67" spans="2:27" x14ac:dyDescent="0.2">
      <c r="AA67" s="185" t="s">
        <v>471</v>
      </c>
    </row>
    <row r="68" spans="2:27" x14ac:dyDescent="0.2">
      <c r="AA68" s="185" t="s">
        <v>472</v>
      </c>
    </row>
    <row r="69" spans="2:27" x14ac:dyDescent="0.2">
      <c r="AA69" s="185" t="s">
        <v>473</v>
      </c>
    </row>
    <row r="70" spans="2:27" x14ac:dyDescent="0.2">
      <c r="AA70" s="185" t="s">
        <v>474</v>
      </c>
    </row>
    <row r="71" spans="2:27" x14ac:dyDescent="0.2">
      <c r="AA71" s="185" t="s">
        <v>475</v>
      </c>
    </row>
    <row r="72" spans="2:27" x14ac:dyDescent="0.2">
      <c r="AA72" s="185" t="s">
        <v>476</v>
      </c>
    </row>
    <row r="73" spans="2:27" x14ac:dyDescent="0.2">
      <c r="AA73" s="185" t="s">
        <v>477</v>
      </c>
    </row>
    <row r="74" spans="2:27" x14ac:dyDescent="0.2">
      <c r="AA74" s="185" t="s">
        <v>478</v>
      </c>
    </row>
    <row r="75" spans="2:27" x14ac:dyDescent="0.2">
      <c r="AA75" s="185" t="s">
        <v>479</v>
      </c>
    </row>
    <row r="76" spans="2:27" x14ac:dyDescent="0.2">
      <c r="AA76" s="185" t="s">
        <v>480</v>
      </c>
    </row>
    <row r="77" spans="2:27" x14ac:dyDescent="0.2">
      <c r="AA77" s="185" t="s">
        <v>481</v>
      </c>
    </row>
    <row r="78" spans="2:27" x14ac:dyDescent="0.2">
      <c r="AA78" s="185" t="s">
        <v>482</v>
      </c>
    </row>
    <row r="79" spans="2:27" x14ac:dyDescent="0.2">
      <c r="AA79" s="185" t="s">
        <v>483</v>
      </c>
    </row>
    <row r="80" spans="2:27" x14ac:dyDescent="0.2">
      <c r="AA80" s="185" t="s">
        <v>484</v>
      </c>
    </row>
    <row r="81" spans="27:27" x14ac:dyDescent="0.2">
      <c r="AA81" s="185" t="s">
        <v>485</v>
      </c>
    </row>
    <row r="82" spans="27:27" x14ac:dyDescent="0.2">
      <c r="AA82" s="185" t="s">
        <v>486</v>
      </c>
    </row>
    <row r="83" spans="27:27" x14ac:dyDescent="0.2">
      <c r="AA83" s="185" t="s">
        <v>487</v>
      </c>
    </row>
    <row r="84" spans="27:27" x14ac:dyDescent="0.2">
      <c r="AA84" s="185" t="s">
        <v>488</v>
      </c>
    </row>
    <row r="85" spans="27:27" x14ac:dyDescent="0.2">
      <c r="AA85" s="185" t="s">
        <v>489</v>
      </c>
    </row>
    <row r="86" spans="27:27" x14ac:dyDescent="0.2">
      <c r="AA86" s="185" t="s">
        <v>490</v>
      </c>
    </row>
    <row r="87" spans="27:27" x14ac:dyDescent="0.2">
      <c r="AA87" s="185" t="s">
        <v>491</v>
      </c>
    </row>
    <row r="88" spans="27:27" x14ac:dyDescent="0.2">
      <c r="AA88" s="185" t="s">
        <v>492</v>
      </c>
    </row>
    <row r="89" spans="27:27" x14ac:dyDescent="0.2">
      <c r="AA89" s="185" t="s">
        <v>493</v>
      </c>
    </row>
    <row r="90" spans="27:27" x14ac:dyDescent="0.2">
      <c r="AA90" s="185" t="s">
        <v>494</v>
      </c>
    </row>
    <row r="91" spans="27:27" x14ac:dyDescent="0.2">
      <c r="AA91" s="185" t="s">
        <v>495</v>
      </c>
    </row>
    <row r="92" spans="27:27" x14ac:dyDescent="0.2">
      <c r="AA92" s="185" t="s">
        <v>496</v>
      </c>
    </row>
    <row r="93" spans="27:27" x14ac:dyDescent="0.2">
      <c r="AA93" s="185" t="s">
        <v>497</v>
      </c>
    </row>
    <row r="94" spans="27:27" x14ac:dyDescent="0.2">
      <c r="AA94" s="185" t="s">
        <v>498</v>
      </c>
    </row>
    <row r="95" spans="27:27" x14ac:dyDescent="0.2">
      <c r="AA95" s="185" t="s">
        <v>499</v>
      </c>
    </row>
    <row r="96" spans="27:27" x14ac:dyDescent="0.2">
      <c r="AA96" s="185" t="s">
        <v>500</v>
      </c>
    </row>
    <row r="97" spans="27:27" x14ac:dyDescent="0.2">
      <c r="AA97" s="185" t="s">
        <v>501</v>
      </c>
    </row>
    <row r="98" spans="27:27" x14ac:dyDescent="0.2">
      <c r="AA98" s="185" t="s">
        <v>502</v>
      </c>
    </row>
    <row r="99" spans="27:27" x14ac:dyDescent="0.2">
      <c r="AA99" s="185" t="s">
        <v>503</v>
      </c>
    </row>
    <row r="100" spans="27:27" x14ac:dyDescent="0.2">
      <c r="AA100" s="185" t="s">
        <v>504</v>
      </c>
    </row>
    <row r="101" spans="27:27" x14ac:dyDescent="0.2">
      <c r="AA101" s="185" t="s">
        <v>505</v>
      </c>
    </row>
    <row r="102" spans="27:27" x14ac:dyDescent="0.2">
      <c r="AA102" s="185" t="s">
        <v>506</v>
      </c>
    </row>
    <row r="103" spans="27:27" x14ac:dyDescent="0.2">
      <c r="AA103" s="185" t="s">
        <v>507</v>
      </c>
    </row>
    <row r="104" spans="27:27" x14ac:dyDescent="0.2">
      <c r="AA104" s="185" t="s">
        <v>508</v>
      </c>
    </row>
    <row r="105" spans="27:27" x14ac:dyDescent="0.2">
      <c r="AA105" s="185" t="s">
        <v>509</v>
      </c>
    </row>
    <row r="106" spans="27:27" x14ac:dyDescent="0.2">
      <c r="AA106" s="185" t="s">
        <v>510</v>
      </c>
    </row>
    <row r="107" spans="27:27" x14ac:dyDescent="0.2">
      <c r="AA107" s="185" t="s">
        <v>511</v>
      </c>
    </row>
    <row r="108" spans="27:27" x14ac:dyDescent="0.2">
      <c r="AA108" s="185" t="s">
        <v>512</v>
      </c>
    </row>
    <row r="109" spans="27:27" x14ac:dyDescent="0.2">
      <c r="AA109" s="185" t="s">
        <v>513</v>
      </c>
    </row>
  </sheetData>
  <mergeCells count="26">
    <mergeCell ref="E18:K18"/>
    <mergeCell ref="E14:K14"/>
    <mergeCell ref="E16:I16"/>
    <mergeCell ref="E20:I20"/>
    <mergeCell ref="E26:G26"/>
    <mergeCell ref="E24:G24"/>
    <mergeCell ref="E28:G28"/>
    <mergeCell ref="E31:G31"/>
    <mergeCell ref="A30:D31"/>
    <mergeCell ref="A45:D46"/>
    <mergeCell ref="A39:D40"/>
    <mergeCell ref="E40:G40"/>
    <mergeCell ref="A42:D43"/>
    <mergeCell ref="A33:D34"/>
    <mergeCell ref="E34:G34"/>
    <mergeCell ref="A36:D37"/>
    <mergeCell ref="E37:I37"/>
    <mergeCell ref="E43:G43"/>
    <mergeCell ref="E46:G46"/>
    <mergeCell ref="E48:G48"/>
    <mergeCell ref="A48:D48"/>
    <mergeCell ref="C61:L61"/>
    <mergeCell ref="C65:M65"/>
    <mergeCell ref="C63:N63"/>
    <mergeCell ref="A56:J56"/>
    <mergeCell ref="A52:L52"/>
  </mergeCells>
  <phoneticPr fontId="11" type="noConversion"/>
  <dataValidations count="8">
    <dataValidation type="list" allowBlank="1" showErrorMessage="1" error="Use the following date format when inserting a date:_x000a__x000a_Eg:  &quot;January 1, 2013&quot;" prompt="Use the following format eg: January 1, 2013" sqref="E24:G24">
      <formula1>"2010,2011,2012,2013, 2014,2015"</formula1>
    </dataValidation>
    <dataValidation type="list" allowBlank="1" showErrorMessage="1" error="Use the following date format when inserting a date:_x000a__x000a_Eg:  &quot;January 1, 2013&quot;" prompt="Use the following format eg: January 1, 2013" sqref="E28:G28">
      <formula1>"2008,2009,2010,2011,2012,2013"</formula1>
    </dataValidation>
    <dataValidation allowBlank="1" showErrorMessage="1" error="Use the following date format when inserting a date:_x000a__x000a_Eg:  &quot;January 1, 2013&quot;" prompt="Use the following format eg: January 1, 2013" sqref="E26:G26"/>
    <dataValidation type="list" allowBlank="1" showErrorMessage="1" error="Use the following date format when inserting a date:_x000a__x000a_Eg:  &quot;January 1, 2013&quot;" prompt="Use the following format eg: January 1, 2013" sqref="E31:G31">
      <formula1>"CGAAP, MIFRS,USGAAP, ASPE"</formula1>
    </dataValidation>
    <dataValidation type="list" allowBlank="1" showErrorMessage="1" prompt="Use the following format eg: January 1, 2013" sqref="E46">
      <formula1>"Yes, No"</formula1>
    </dataValidation>
    <dataValidation type="list" allowBlank="1" showErrorMessage="1" error="Use the following date format when inserting a date:_x000a__x000a_Eg:  &quot;January 1, 2013&quot;" prompt="Use the following format eg: January 1, 2013" sqref="E40:G40">
      <formula1>"2012,2013, 2014 or Later"</formula1>
    </dataValidation>
    <dataValidation type="list" allowBlank="1" showErrorMessage="1" error="Use the following date format when inserting a date:_x000a__x000a_Eg:  &quot;January 1, 2013&quot;" prompt="Use the following format eg: January 1, 2013" sqref="E43:G43">
      <formula1>"N/A, 2012,2013"</formula1>
    </dataValidation>
    <dataValidation type="list" allowBlank="1" showErrorMessage="1" error="Use the following date format when inserting a date:_x000a__x000a_Eg:  &quot;January 1, 2013&quot;" prompt="Use the following format eg: January 1, 2013" sqref="E34:G34 E48:G48">
      <formula1>"Yes, No"</formula1>
    </dataValidation>
  </dataValidations>
  <hyperlinks>
    <hyperlink ref="E22" r:id="rId1"/>
  </hyperlinks>
  <pageMargins left="0.75" right="0.75" top="1" bottom="1" header="0.5" footer="0.5"/>
  <pageSetup scale="66" orientation="portrait" r:id="rId2"/>
  <headerFooter alignWithMargins="0"/>
  <colBreaks count="1" manualBreakCount="1">
    <brk id="1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38" r:id="rId5" name="Button 14">
              <controlPr defaultSize="0" print="0" autoFill="0" autoPict="0" macro="[0]!hidecertainsheets">
                <anchor moveWithCells="1">
                  <from>
                    <xdr:col>3</xdr:col>
                    <xdr:colOff>533400</xdr:colOff>
                    <xdr:row>52</xdr:row>
                    <xdr:rowOff>47625</xdr:rowOff>
                  </from>
                  <to>
                    <xdr:col>6</xdr:col>
                    <xdr:colOff>257175</xdr:colOff>
                    <xdr:row>53</xdr:row>
                    <xdr:rowOff>152400</xdr:rowOff>
                  </to>
                </anchor>
              </controlPr>
            </control>
          </mc:Choice>
        </mc:AlternateContent>
        <mc:AlternateContent xmlns:mc="http://schemas.openxmlformats.org/markup-compatibility/2006">
          <mc:Choice Requires="x14">
            <control shapeId="1040" r:id="rId6" name="Button 16">
              <controlPr defaultSize="0" print="0" autoFill="0" autoPict="0" macro="[0]!unhideallsheetsbutton">
                <anchor moveWithCells="1">
                  <from>
                    <xdr:col>3</xdr:col>
                    <xdr:colOff>533400</xdr:colOff>
                    <xdr:row>56</xdr:row>
                    <xdr:rowOff>123825</xdr:rowOff>
                  </from>
                  <to>
                    <xdr:col>6</xdr:col>
                    <xdr:colOff>257175</xdr:colOff>
                    <xdr:row>58</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lists!$AL$1:$AL$90</xm:f>
          </x14:formula1>
          <xm:sqref>E14:K14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T152"/>
  <sheetViews>
    <sheetView showGridLines="0" zoomScaleNormal="100" workbookViewId="0">
      <selection activeCell="A8" sqref="A8:K10"/>
    </sheetView>
  </sheetViews>
  <sheetFormatPr defaultColWidth="9.140625" defaultRowHeight="12.75" x14ac:dyDescent="0.2"/>
  <cols>
    <col min="1" max="1" width="9.140625" style="216"/>
    <col min="2" max="2" width="12.28515625" style="216" customWidth="1"/>
    <col min="3" max="3" width="13.28515625" style="216" bestFit="1" customWidth="1"/>
    <col min="4" max="4" width="2.5703125" style="216" customWidth="1"/>
    <col min="5" max="7" width="15.7109375" style="216" customWidth="1"/>
    <col min="8" max="16384" width="9.140625" style="216"/>
  </cols>
  <sheetData>
    <row r="1" spans="1:20" ht="18" x14ac:dyDescent="0.25">
      <c r="A1" s="1856" t="s">
        <v>823</v>
      </c>
      <c r="B1" s="1856"/>
      <c r="C1" s="1856"/>
      <c r="D1" s="1856"/>
      <c r="E1" s="1856"/>
      <c r="F1" s="1856"/>
      <c r="G1" s="1856"/>
      <c r="H1" s="1856"/>
      <c r="I1" s="1856"/>
      <c r="J1" s="1856"/>
      <c r="K1" s="1856"/>
    </row>
    <row r="2" spans="1:20" ht="18" x14ac:dyDescent="0.25">
      <c r="A2" s="1856" t="s">
        <v>824</v>
      </c>
      <c r="B2" s="1856"/>
      <c r="C2" s="1856"/>
      <c r="D2" s="1856"/>
      <c r="E2" s="1856"/>
      <c r="F2" s="1856"/>
      <c r="G2" s="1856"/>
      <c r="H2" s="1856"/>
      <c r="I2" s="1856"/>
      <c r="J2" s="1856"/>
      <c r="K2" s="1856"/>
    </row>
    <row r="4" spans="1:20" x14ac:dyDescent="0.2">
      <c r="A4" s="236" t="s">
        <v>825</v>
      </c>
      <c r="B4" s="236"/>
      <c r="C4" s="236"/>
      <c r="D4" s="236"/>
    </row>
    <row r="5" spans="1:20" x14ac:dyDescent="0.2">
      <c r="A5" s="236"/>
      <c r="B5" s="236"/>
      <c r="C5" s="236"/>
      <c r="D5" s="236"/>
    </row>
    <row r="6" spans="1:20" x14ac:dyDescent="0.2">
      <c r="A6" s="853" t="s">
        <v>1931</v>
      </c>
      <c r="B6" s="853"/>
      <c r="C6" s="236"/>
      <c r="D6" s="236"/>
    </row>
    <row r="7" spans="1:20" x14ac:dyDescent="0.2">
      <c r="A7" s="854"/>
      <c r="B7" s="854"/>
      <c r="C7" s="236"/>
      <c r="D7" s="236"/>
    </row>
    <row r="8" spans="1:20" ht="12.75" customHeight="1" x14ac:dyDescent="0.2">
      <c r="A8" s="1859" t="s">
        <v>1932</v>
      </c>
      <c r="B8" s="1859"/>
      <c r="C8" s="1859"/>
      <c r="D8" s="1859"/>
      <c r="E8" s="1859"/>
      <c r="F8" s="1859"/>
      <c r="G8" s="1859"/>
      <c r="H8" s="1859"/>
      <c r="I8" s="1859"/>
      <c r="J8" s="1859"/>
      <c r="K8" s="1859"/>
      <c r="L8" s="855"/>
      <c r="M8" s="855"/>
      <c r="N8" s="855"/>
      <c r="O8" s="855"/>
      <c r="P8" s="855"/>
      <c r="Q8" s="855"/>
      <c r="R8" s="855"/>
      <c r="S8" s="855"/>
      <c r="T8" s="855"/>
    </row>
    <row r="9" spans="1:20" x14ac:dyDescent="0.2">
      <c r="A9" s="1859"/>
      <c r="B9" s="1859"/>
      <c r="C9" s="1859"/>
      <c r="D9" s="1859"/>
      <c r="E9" s="1859"/>
      <c r="F9" s="1859"/>
      <c r="G9" s="1859"/>
      <c r="H9" s="1859"/>
      <c r="I9" s="1859"/>
      <c r="J9" s="1859"/>
      <c r="K9" s="1859"/>
      <c r="L9" s="855"/>
      <c r="M9" s="855"/>
      <c r="N9" s="855"/>
      <c r="O9" s="855"/>
      <c r="P9" s="855"/>
      <c r="Q9" s="855"/>
      <c r="R9" s="855"/>
      <c r="S9" s="855"/>
      <c r="T9" s="855"/>
    </row>
    <row r="10" spans="1:20" ht="30" customHeight="1" x14ac:dyDescent="0.2">
      <c r="A10" s="1859"/>
      <c r="B10" s="1859"/>
      <c r="C10" s="1859"/>
      <c r="D10" s="1859"/>
      <c r="E10" s="1859"/>
      <c r="F10" s="1859"/>
      <c r="G10" s="1859"/>
      <c r="H10" s="1859"/>
      <c r="I10" s="1859"/>
      <c r="J10" s="1859"/>
      <c r="K10" s="1859"/>
      <c r="L10" s="855"/>
      <c r="M10" s="855"/>
      <c r="N10" s="855"/>
      <c r="O10" s="855"/>
      <c r="P10" s="855"/>
      <c r="Q10" s="855"/>
      <c r="R10" s="855"/>
      <c r="S10" s="855"/>
      <c r="T10" s="855"/>
    </row>
    <row r="11" spans="1:20" ht="12.75" customHeight="1" x14ac:dyDescent="0.2">
      <c r="A11" s="1859" t="s">
        <v>826</v>
      </c>
      <c r="B11" s="1859"/>
      <c r="C11" s="1859"/>
      <c r="D11" s="1859"/>
      <c r="E11" s="1859"/>
      <c r="F11" s="1859"/>
      <c r="G11" s="1859"/>
      <c r="H11" s="1859"/>
      <c r="I11" s="1859"/>
      <c r="J11" s="1859"/>
      <c r="K11" s="1859"/>
      <c r="L11" s="855"/>
      <c r="M11" s="855"/>
      <c r="N11" s="855"/>
      <c r="O11" s="855"/>
      <c r="P11" s="855"/>
      <c r="Q11" s="855"/>
      <c r="R11" s="855"/>
      <c r="S11" s="855"/>
      <c r="T11" s="855"/>
    </row>
    <row r="12" spans="1:20" x14ac:dyDescent="0.2">
      <c r="A12" s="1859"/>
      <c r="B12" s="1859"/>
      <c r="C12" s="1859"/>
      <c r="D12" s="1859"/>
      <c r="E12" s="1859"/>
      <c r="F12" s="1859"/>
      <c r="G12" s="1859"/>
      <c r="H12" s="1859"/>
      <c r="I12" s="1859"/>
      <c r="J12" s="1859"/>
      <c r="K12" s="1859"/>
      <c r="L12" s="855"/>
      <c r="M12" s="855"/>
      <c r="N12" s="855"/>
      <c r="O12" s="855"/>
      <c r="P12" s="855"/>
      <c r="Q12" s="855"/>
      <c r="R12" s="855"/>
      <c r="S12" s="855"/>
      <c r="T12" s="855"/>
    </row>
    <row r="13" spans="1:20" ht="19.5" customHeight="1" x14ac:dyDescent="0.2">
      <c r="A13" s="1859"/>
      <c r="B13" s="1859"/>
      <c r="C13" s="1859"/>
      <c r="D13" s="1859"/>
      <c r="E13" s="1859"/>
      <c r="F13" s="1859"/>
      <c r="G13" s="1859"/>
      <c r="H13" s="1859"/>
      <c r="I13" s="1859"/>
      <c r="J13" s="1859"/>
      <c r="K13" s="1859"/>
      <c r="L13" s="855"/>
      <c r="M13" s="855"/>
      <c r="N13" s="855"/>
      <c r="O13" s="855"/>
      <c r="P13" s="855"/>
      <c r="Q13" s="855"/>
      <c r="R13" s="855"/>
      <c r="S13" s="855"/>
      <c r="T13" s="855"/>
    </row>
    <row r="14" spans="1:20" ht="12.75" customHeight="1" x14ac:dyDescent="0.2">
      <c r="A14" s="1859" t="s">
        <v>827</v>
      </c>
      <c r="B14" s="1859"/>
      <c r="C14" s="1859"/>
      <c r="D14" s="1859"/>
      <c r="E14" s="1859"/>
      <c r="F14" s="1859"/>
      <c r="G14" s="1859"/>
      <c r="H14" s="1859"/>
      <c r="I14" s="1859"/>
      <c r="J14" s="1859"/>
      <c r="K14" s="1859"/>
      <c r="L14" s="855"/>
      <c r="M14" s="855"/>
      <c r="N14" s="855"/>
      <c r="O14" s="855"/>
      <c r="P14" s="855"/>
      <c r="Q14" s="855"/>
      <c r="R14" s="855"/>
      <c r="S14" s="855"/>
      <c r="T14" s="855"/>
    </row>
    <row r="15" spans="1:20" x14ac:dyDescent="0.2">
      <c r="A15" s="1859"/>
      <c r="B15" s="1859"/>
      <c r="C15" s="1859"/>
      <c r="D15" s="1859"/>
      <c r="E15" s="1859"/>
      <c r="F15" s="1859"/>
      <c r="G15" s="1859"/>
      <c r="H15" s="1859"/>
      <c r="I15" s="1859"/>
      <c r="J15" s="1859"/>
      <c r="K15" s="1859"/>
      <c r="L15" s="855"/>
      <c r="M15" s="855"/>
      <c r="N15" s="855"/>
      <c r="O15" s="855"/>
      <c r="P15" s="855"/>
      <c r="Q15" s="855"/>
      <c r="R15" s="855"/>
      <c r="S15" s="855"/>
      <c r="T15" s="855"/>
    </row>
    <row r="16" spans="1:20" ht="20.25" customHeight="1" x14ac:dyDescent="0.2">
      <c r="A16" s="1859"/>
      <c r="B16" s="1859"/>
      <c r="C16" s="1859"/>
      <c r="D16" s="1859"/>
      <c r="E16" s="1859"/>
      <c r="F16" s="1859"/>
      <c r="G16" s="1859"/>
      <c r="H16" s="1859"/>
      <c r="I16" s="1859"/>
      <c r="J16" s="1859"/>
      <c r="K16" s="1859"/>
      <c r="L16" s="855"/>
      <c r="M16" s="855"/>
      <c r="N16" s="855"/>
      <c r="O16" s="855"/>
      <c r="P16" s="855"/>
      <c r="Q16" s="855"/>
      <c r="R16" s="855"/>
      <c r="S16" s="855"/>
      <c r="T16" s="855"/>
    </row>
    <row r="17" spans="1:7" ht="13.5" thickBot="1" x14ac:dyDescent="0.25">
      <c r="A17" s="853"/>
      <c r="B17" s="853"/>
      <c r="C17" s="236"/>
      <c r="D17" s="236"/>
    </row>
    <row r="18" spans="1:7" x14ac:dyDescent="0.2">
      <c r="A18" s="853"/>
      <c r="B18" s="853"/>
      <c r="C18" s="236"/>
      <c r="D18" s="236"/>
      <c r="E18" s="1860" t="s">
        <v>828</v>
      </c>
      <c r="F18" s="1861"/>
      <c r="G18" s="1862"/>
    </row>
    <row r="19" spans="1:7" x14ac:dyDescent="0.2">
      <c r="A19" s="853"/>
      <c r="B19" s="853"/>
      <c r="C19" s="236"/>
      <c r="D19" s="236"/>
      <c r="E19" s="1863" t="s">
        <v>829</v>
      </c>
      <c r="F19" s="1864"/>
      <c r="G19" s="1865"/>
    </row>
    <row r="20" spans="1:7" ht="13.5" thickBot="1" x14ac:dyDescent="0.25">
      <c r="C20" s="236"/>
      <c r="D20" s="236"/>
      <c r="E20" s="856" t="s">
        <v>830</v>
      </c>
      <c r="F20" s="857" t="s">
        <v>831</v>
      </c>
      <c r="G20" s="858" t="s">
        <v>832</v>
      </c>
    </row>
    <row r="21" spans="1:7" ht="13.5" thickBot="1" x14ac:dyDescent="0.25">
      <c r="A21" s="859" t="s">
        <v>833</v>
      </c>
      <c r="B21" s="860"/>
      <c r="C21" s="861" t="s">
        <v>834</v>
      </c>
      <c r="D21" s="803"/>
      <c r="E21" s="862" t="s">
        <v>161</v>
      </c>
      <c r="F21" s="862" t="s">
        <v>161</v>
      </c>
      <c r="G21" s="862" t="s">
        <v>161</v>
      </c>
    </row>
    <row r="22" spans="1:7" ht="15.75" thickBot="1" x14ac:dyDescent="0.3">
      <c r="A22" s="863" t="s">
        <v>835</v>
      </c>
      <c r="B22" s="864"/>
      <c r="C22" s="865" t="s">
        <v>836</v>
      </c>
      <c r="D22" s="252"/>
      <c r="E22" s="866" t="s">
        <v>837</v>
      </c>
      <c r="F22" s="862" t="s">
        <v>161</v>
      </c>
      <c r="G22" s="862" t="s">
        <v>161</v>
      </c>
    </row>
    <row r="23" spans="1:7" ht="15.75" thickBot="1" x14ac:dyDescent="0.3">
      <c r="A23" s="863" t="s">
        <v>838</v>
      </c>
      <c r="B23" s="864"/>
      <c r="C23" s="865" t="s">
        <v>839</v>
      </c>
      <c r="D23" s="252"/>
      <c r="E23" s="862" t="s">
        <v>162</v>
      </c>
      <c r="F23" s="866" t="s">
        <v>837</v>
      </c>
      <c r="G23" s="862" t="s">
        <v>161</v>
      </c>
    </row>
    <row r="24" spans="1:7" ht="15.75" thickBot="1" x14ac:dyDescent="0.3">
      <c r="A24" s="863" t="s">
        <v>840</v>
      </c>
      <c r="B24" s="864"/>
      <c r="C24" s="865" t="s">
        <v>841</v>
      </c>
      <c r="D24" s="252"/>
      <c r="E24" s="862" t="s">
        <v>162</v>
      </c>
      <c r="F24" s="862" t="s">
        <v>162</v>
      </c>
      <c r="G24" s="866" t="s">
        <v>837</v>
      </c>
    </row>
    <row r="25" spans="1:7" ht="13.5" thickBot="1" x14ac:dyDescent="0.25">
      <c r="A25" s="867"/>
      <c r="B25" s="868"/>
      <c r="C25" s="869" t="s">
        <v>842</v>
      </c>
      <c r="D25" s="252"/>
      <c r="E25" s="862" t="s">
        <v>162</v>
      </c>
      <c r="F25" s="862" t="s">
        <v>162</v>
      </c>
      <c r="G25" s="862" t="s">
        <v>162</v>
      </c>
    </row>
    <row r="26" spans="1:7" ht="9.75" customHeight="1" thickBot="1" x14ac:dyDescent="0.25">
      <c r="A26" s="870"/>
      <c r="B26" s="870"/>
      <c r="C26" s="252"/>
      <c r="D26" s="252"/>
      <c r="E26" s="801"/>
      <c r="F26" s="801"/>
      <c r="G26" s="801"/>
    </row>
    <row r="27" spans="1:7" ht="13.5" thickBot="1" x14ac:dyDescent="0.25">
      <c r="A27" s="871" t="s">
        <v>843</v>
      </c>
      <c r="B27" s="872"/>
      <c r="C27" s="873"/>
      <c r="D27" s="236"/>
      <c r="E27" s="874" t="s">
        <v>844</v>
      </c>
      <c r="F27" s="874" t="s">
        <v>830</v>
      </c>
      <c r="G27" s="874" t="s">
        <v>831</v>
      </c>
    </row>
    <row r="28" spans="1:7" x14ac:dyDescent="0.2">
      <c r="A28" s="853"/>
      <c r="B28" s="853"/>
      <c r="C28" s="236"/>
      <c r="D28" s="236"/>
    </row>
    <row r="29" spans="1:7" x14ac:dyDescent="0.2">
      <c r="A29" s="875" t="s">
        <v>845</v>
      </c>
      <c r="B29" s="853"/>
      <c r="C29" s="236"/>
      <c r="D29" s="236"/>
    </row>
    <row r="30" spans="1:7" x14ac:dyDescent="0.2">
      <c r="A30" s="875" t="s">
        <v>1933</v>
      </c>
      <c r="B30" s="853"/>
      <c r="C30" s="236"/>
      <c r="D30" s="236"/>
    </row>
    <row r="31" spans="1:7" ht="13.5" customHeight="1" thickBot="1" x14ac:dyDescent="0.25">
      <c r="A31" s="875" t="s">
        <v>846</v>
      </c>
      <c r="B31" s="853"/>
      <c r="C31" s="236"/>
      <c r="D31" s="236"/>
    </row>
    <row r="32" spans="1:7" ht="13.5" customHeight="1" thickBot="1" x14ac:dyDescent="0.25">
      <c r="A32" s="876"/>
      <c r="B32" s="875" t="s">
        <v>847</v>
      </c>
      <c r="C32" s="236"/>
      <c r="D32" s="236"/>
    </row>
    <row r="33" spans="1:20" x14ac:dyDescent="0.2">
      <c r="A33" s="875"/>
      <c r="B33" s="875"/>
      <c r="C33" s="236"/>
      <c r="D33" s="236"/>
    </row>
    <row r="34" spans="1:20" ht="12.75" customHeight="1" x14ac:dyDescent="0.2">
      <c r="A34" s="1857" t="s">
        <v>848</v>
      </c>
      <c r="B34" s="1857"/>
      <c r="C34" s="1857"/>
      <c r="D34" s="1857"/>
      <c r="E34" s="1857"/>
      <c r="F34" s="1857"/>
      <c r="G34" s="1857"/>
      <c r="H34" s="1857"/>
      <c r="I34" s="1857"/>
      <c r="J34" s="1857"/>
      <c r="K34" s="1857"/>
      <c r="L34" s="877"/>
      <c r="M34" s="877"/>
      <c r="N34" s="877"/>
      <c r="O34" s="877"/>
      <c r="P34" s="877"/>
      <c r="Q34" s="877"/>
      <c r="R34" s="877"/>
      <c r="S34" s="877"/>
      <c r="T34" s="877"/>
    </row>
    <row r="35" spans="1:20" x14ac:dyDescent="0.2">
      <c r="A35" s="1857"/>
      <c r="B35" s="1857"/>
      <c r="C35" s="1857"/>
      <c r="D35" s="1857"/>
      <c r="E35" s="1857"/>
      <c r="F35" s="1857"/>
      <c r="G35" s="1857"/>
      <c r="H35" s="1857"/>
      <c r="I35" s="1857"/>
      <c r="J35" s="1857"/>
      <c r="K35" s="1857"/>
      <c r="L35" s="877"/>
      <c r="M35" s="877"/>
      <c r="N35" s="877"/>
      <c r="O35" s="877"/>
      <c r="P35" s="877"/>
      <c r="Q35" s="877"/>
      <c r="R35" s="877"/>
      <c r="S35" s="877"/>
      <c r="T35" s="877"/>
    </row>
    <row r="36" spans="1:20" ht="23.25" customHeight="1" x14ac:dyDescent="0.2">
      <c r="A36" s="1857"/>
      <c r="B36" s="1857"/>
      <c r="C36" s="1857"/>
      <c r="D36" s="1857"/>
      <c r="E36" s="1857"/>
      <c r="F36" s="1857"/>
      <c r="G36" s="1857"/>
      <c r="H36" s="1857"/>
      <c r="I36" s="1857"/>
      <c r="J36" s="1857"/>
      <c r="K36" s="1857"/>
      <c r="L36" s="877"/>
      <c r="M36" s="877"/>
      <c r="N36" s="877"/>
      <c r="O36" s="877"/>
      <c r="P36" s="877"/>
      <c r="Q36" s="877"/>
      <c r="R36" s="877"/>
      <c r="S36" s="877"/>
      <c r="T36" s="877"/>
    </row>
    <row r="37" spans="1:20" x14ac:dyDescent="0.2">
      <c r="A37" s="674"/>
      <c r="B37" s="674"/>
      <c r="C37" s="674"/>
      <c r="D37" s="674"/>
      <c r="E37" s="674"/>
      <c r="F37" s="674"/>
      <c r="G37" s="674"/>
      <c r="H37" s="674"/>
      <c r="I37" s="674"/>
      <c r="J37" s="674"/>
      <c r="K37" s="674"/>
      <c r="L37" s="674"/>
      <c r="M37" s="674"/>
      <c r="N37" s="674"/>
      <c r="O37" s="674"/>
      <c r="P37" s="674"/>
      <c r="Q37" s="674"/>
      <c r="R37" s="674"/>
      <c r="S37" s="674"/>
      <c r="T37" s="674"/>
    </row>
    <row r="38" spans="1:20" x14ac:dyDescent="0.2">
      <c r="A38" s="674"/>
      <c r="B38" s="674"/>
      <c r="C38" s="674"/>
      <c r="D38" s="674"/>
      <c r="E38" s="674"/>
      <c r="F38" s="674"/>
      <c r="G38" s="674"/>
      <c r="H38" s="674"/>
      <c r="I38" s="674"/>
      <c r="J38" s="674"/>
      <c r="K38" s="674"/>
      <c r="L38" s="674"/>
      <c r="M38" s="674"/>
      <c r="N38" s="674"/>
      <c r="O38" s="674"/>
      <c r="P38" s="674"/>
      <c r="Q38" s="674"/>
      <c r="R38" s="674"/>
      <c r="S38" s="674"/>
      <c r="T38" s="674"/>
    </row>
    <row r="39" spans="1:20" x14ac:dyDescent="0.2">
      <c r="A39" s="217" t="s">
        <v>1845</v>
      </c>
      <c r="B39" s="236"/>
      <c r="C39" s="236"/>
      <c r="D39" s="236"/>
    </row>
    <row r="40" spans="1:20" ht="12.75" customHeight="1" x14ac:dyDescent="0.2">
      <c r="A40" s="1857" t="s">
        <v>849</v>
      </c>
      <c r="B40" s="1857"/>
      <c r="C40" s="1857"/>
      <c r="D40" s="1857"/>
      <c r="E40" s="1857"/>
      <c r="F40" s="1857"/>
      <c r="G40" s="1857"/>
      <c r="H40" s="1857"/>
      <c r="I40" s="1857"/>
      <c r="J40" s="1857"/>
      <c r="K40" s="1857"/>
      <c r="L40" s="877"/>
      <c r="M40" s="877"/>
      <c r="N40" s="877"/>
      <c r="O40" s="877"/>
      <c r="P40" s="877"/>
      <c r="Q40" s="877"/>
      <c r="R40" s="877"/>
      <c r="S40" s="877"/>
      <c r="T40" s="877"/>
    </row>
    <row r="41" spans="1:20" x14ac:dyDescent="0.2">
      <c r="A41" s="1857"/>
      <c r="B41" s="1857"/>
      <c r="C41" s="1857"/>
      <c r="D41" s="1857"/>
      <c r="E41" s="1857"/>
      <c r="F41" s="1857"/>
      <c r="G41" s="1857"/>
      <c r="H41" s="1857"/>
      <c r="I41" s="1857"/>
      <c r="J41" s="1857"/>
      <c r="K41" s="1857"/>
      <c r="L41" s="877"/>
      <c r="M41" s="877"/>
      <c r="N41" s="877"/>
      <c r="O41" s="877"/>
      <c r="P41" s="877"/>
      <c r="Q41" s="877"/>
      <c r="R41" s="877"/>
      <c r="S41" s="877"/>
      <c r="T41" s="877"/>
    </row>
    <row r="42" spans="1:20" ht="16.5" customHeight="1" x14ac:dyDescent="0.2">
      <c r="A42" s="1857"/>
      <c r="B42" s="1857"/>
      <c r="C42" s="1857"/>
      <c r="D42" s="1857"/>
      <c r="E42" s="1857"/>
      <c r="F42" s="1857"/>
      <c r="G42" s="1857"/>
      <c r="H42" s="1857"/>
      <c r="I42" s="1857"/>
      <c r="J42" s="1857"/>
      <c r="K42" s="1857"/>
      <c r="L42" s="877"/>
      <c r="M42" s="877"/>
      <c r="N42" s="877"/>
      <c r="O42" s="877"/>
      <c r="P42" s="877"/>
      <c r="Q42" s="877"/>
      <c r="R42" s="877"/>
      <c r="S42" s="877"/>
      <c r="T42" s="877"/>
    </row>
    <row r="45" spans="1:20" x14ac:dyDescent="0.2">
      <c r="A45" s="217" t="s">
        <v>850</v>
      </c>
      <c r="B45" s="217"/>
    </row>
    <row r="46" spans="1:20" x14ac:dyDescent="0.2">
      <c r="A46" s="853" t="s">
        <v>851</v>
      </c>
      <c r="B46" s="853"/>
    </row>
    <row r="47" spans="1:20" x14ac:dyDescent="0.2">
      <c r="A47" s="853" t="s">
        <v>852</v>
      </c>
      <c r="B47" s="853"/>
    </row>
    <row r="48" spans="1:20" x14ac:dyDescent="0.2">
      <c r="A48" s="853" t="s">
        <v>853</v>
      </c>
      <c r="B48" s="853"/>
    </row>
    <row r="51" spans="1:19" x14ac:dyDescent="0.2">
      <c r="A51" s="1858" t="s">
        <v>1846</v>
      </c>
      <c r="B51" s="1858"/>
      <c r="C51" s="1858"/>
      <c r="D51" s="1858"/>
      <c r="E51" s="1858"/>
      <c r="F51" s="1858"/>
      <c r="G51" s="1858"/>
      <c r="H51" s="1858"/>
      <c r="I51" s="1858"/>
      <c r="J51" s="1858"/>
      <c r="K51" s="1858"/>
      <c r="L51" s="1858"/>
      <c r="M51" s="1858"/>
      <c r="N51" s="1858"/>
      <c r="O51" s="1858"/>
      <c r="P51" s="1858"/>
      <c r="Q51" s="1858"/>
      <c r="R51" s="1858"/>
      <c r="S51" s="1858"/>
    </row>
    <row r="53" spans="1:19" x14ac:dyDescent="0.2">
      <c r="A53" s="878" t="s">
        <v>854</v>
      </c>
      <c r="B53" s="878"/>
    </row>
    <row r="54" spans="1:19" ht="12.75" customHeight="1" x14ac:dyDescent="0.2">
      <c r="A54" s="1857" t="s">
        <v>1847</v>
      </c>
      <c r="B54" s="1857"/>
      <c r="C54" s="1857"/>
      <c r="D54" s="1857"/>
      <c r="E54" s="1857"/>
      <c r="F54" s="1857"/>
      <c r="G54" s="1857"/>
      <c r="H54" s="1857"/>
      <c r="I54" s="1857"/>
      <c r="J54" s="1857"/>
      <c r="K54" s="1857"/>
      <c r="L54" s="1857"/>
      <c r="M54" s="1857"/>
      <c r="N54" s="1857"/>
      <c r="O54" s="1857"/>
      <c r="P54" s="1857"/>
      <c r="Q54" s="1857"/>
      <c r="R54" s="1857"/>
      <c r="S54" s="1857"/>
    </row>
    <row r="55" spans="1:19" x14ac:dyDescent="0.2">
      <c r="A55" s="1857"/>
      <c r="B55" s="1857"/>
      <c r="C55" s="1857"/>
      <c r="D55" s="1857"/>
      <c r="E55" s="1857"/>
      <c r="F55" s="1857"/>
      <c r="G55" s="1857"/>
      <c r="H55" s="1857"/>
      <c r="I55" s="1857"/>
      <c r="J55" s="1857"/>
      <c r="K55" s="1857"/>
      <c r="L55" s="1857"/>
      <c r="M55" s="1857"/>
      <c r="N55" s="1857"/>
      <c r="O55" s="1857"/>
      <c r="P55" s="1857"/>
      <c r="Q55" s="1857"/>
      <c r="R55" s="1857"/>
      <c r="S55" s="1857"/>
    </row>
    <row r="56" spans="1:19" ht="30" customHeight="1" x14ac:dyDescent="0.2">
      <c r="A56" s="1857"/>
      <c r="B56" s="1857"/>
      <c r="C56" s="1857"/>
      <c r="D56" s="1857"/>
      <c r="E56" s="1857"/>
      <c r="F56" s="1857"/>
      <c r="G56" s="1857"/>
      <c r="H56" s="1857"/>
      <c r="I56" s="1857"/>
      <c r="J56" s="1857"/>
      <c r="K56" s="1857"/>
      <c r="L56" s="1857"/>
      <c r="M56" s="1857"/>
      <c r="N56" s="1857"/>
      <c r="O56" s="1857"/>
      <c r="P56" s="1857"/>
      <c r="Q56" s="1857"/>
      <c r="R56" s="1857"/>
      <c r="S56" s="1857"/>
    </row>
    <row r="57" spans="1:19" x14ac:dyDescent="0.2">
      <c r="A57" s="1857"/>
      <c r="B57" s="1857"/>
      <c r="C57" s="1857"/>
      <c r="D57" s="1857"/>
      <c r="E57" s="1857"/>
      <c r="F57" s="1857"/>
      <c r="G57" s="1857"/>
      <c r="H57" s="1857"/>
      <c r="I57" s="1857"/>
      <c r="J57" s="1857"/>
      <c r="K57" s="1857"/>
      <c r="L57" s="1857"/>
      <c r="M57" s="1857"/>
      <c r="N57" s="1857"/>
      <c r="O57" s="1857"/>
      <c r="P57" s="1857"/>
      <c r="Q57" s="1857"/>
      <c r="R57" s="1857"/>
      <c r="S57" s="1857"/>
    </row>
    <row r="58" spans="1:19" x14ac:dyDescent="0.2">
      <c r="A58" s="879" t="s">
        <v>855</v>
      </c>
      <c r="B58" s="879"/>
      <c r="C58" s="236"/>
      <c r="D58" s="236"/>
      <c r="E58" s="236"/>
      <c r="F58" s="236"/>
      <c r="G58" s="236"/>
      <c r="H58" s="236"/>
      <c r="I58" s="236"/>
      <c r="J58" s="236"/>
      <c r="K58" s="236"/>
      <c r="L58" s="236"/>
      <c r="M58" s="236"/>
      <c r="N58" s="236"/>
      <c r="O58" s="236"/>
      <c r="P58" s="236"/>
      <c r="Q58" s="236"/>
      <c r="R58" s="236"/>
      <c r="S58" s="236"/>
    </row>
    <row r="59" spans="1:19" x14ac:dyDescent="0.2">
      <c r="A59" s="879" t="s">
        <v>856</v>
      </c>
      <c r="B59" s="879"/>
      <c r="C59" s="236"/>
      <c r="D59" s="236"/>
      <c r="E59" s="236"/>
      <c r="F59" s="236"/>
      <c r="G59" s="236"/>
      <c r="H59" s="236"/>
      <c r="I59" s="236"/>
      <c r="J59" s="236"/>
      <c r="K59" s="236"/>
      <c r="L59" s="236"/>
      <c r="M59" s="236"/>
      <c r="N59" s="236"/>
      <c r="O59" s="236"/>
      <c r="P59" s="236"/>
      <c r="Q59" s="236"/>
      <c r="R59" s="236"/>
      <c r="S59" s="236"/>
    </row>
    <row r="60" spans="1:19" x14ac:dyDescent="0.2">
      <c r="A60" s="853"/>
      <c r="B60" s="853"/>
      <c r="C60" s="236"/>
      <c r="D60" s="236"/>
      <c r="E60" s="236"/>
      <c r="F60" s="236"/>
      <c r="G60" s="236"/>
      <c r="H60" s="236"/>
      <c r="I60" s="236"/>
      <c r="J60" s="236"/>
      <c r="K60" s="236"/>
      <c r="L60" s="236"/>
      <c r="M60" s="236"/>
      <c r="N60" s="236"/>
      <c r="O60" s="236"/>
      <c r="P60" s="236"/>
      <c r="Q60" s="236"/>
      <c r="R60" s="236"/>
      <c r="S60" s="236"/>
    </row>
    <row r="61" spans="1:19" ht="12.75" customHeight="1" x14ac:dyDescent="0.2">
      <c r="A61" s="1857" t="s">
        <v>1848</v>
      </c>
      <c r="B61" s="1857"/>
      <c r="C61" s="1857"/>
      <c r="D61" s="1857"/>
      <c r="E61" s="1857"/>
      <c r="F61" s="1857"/>
      <c r="G61" s="1857"/>
      <c r="H61" s="1857"/>
      <c r="I61" s="1857"/>
      <c r="J61" s="1857"/>
      <c r="K61" s="1857"/>
      <c r="L61" s="1857"/>
      <c r="M61" s="1857"/>
      <c r="N61" s="1857"/>
      <c r="O61" s="1857"/>
      <c r="P61" s="1857"/>
      <c r="Q61" s="1857"/>
      <c r="R61" s="1857"/>
      <c r="S61" s="1857"/>
    </row>
    <row r="62" spans="1:19" x14ac:dyDescent="0.2">
      <c r="A62" s="1857"/>
      <c r="B62" s="1857"/>
      <c r="C62" s="1857"/>
      <c r="D62" s="1857"/>
      <c r="E62" s="1857"/>
      <c r="F62" s="1857"/>
      <c r="G62" s="1857"/>
      <c r="H62" s="1857"/>
      <c r="I62" s="1857"/>
      <c r="J62" s="1857"/>
      <c r="K62" s="1857"/>
      <c r="L62" s="1857"/>
      <c r="M62" s="1857"/>
      <c r="N62" s="1857"/>
      <c r="O62" s="1857"/>
      <c r="P62" s="1857"/>
      <c r="Q62" s="1857"/>
      <c r="R62" s="1857"/>
      <c r="S62" s="1857"/>
    </row>
    <row r="63" spans="1:19" ht="30.75" customHeight="1" x14ac:dyDescent="0.2">
      <c r="A63" s="1857"/>
      <c r="B63" s="1857"/>
      <c r="C63" s="1857"/>
      <c r="D63" s="1857"/>
      <c r="E63" s="1857"/>
      <c r="F63" s="1857"/>
      <c r="G63" s="1857"/>
      <c r="H63" s="1857"/>
      <c r="I63" s="1857"/>
      <c r="J63" s="1857"/>
      <c r="K63" s="1857"/>
      <c r="L63" s="1857"/>
      <c r="M63" s="1857"/>
      <c r="N63" s="1857"/>
      <c r="O63" s="1857"/>
      <c r="P63" s="1857"/>
      <c r="Q63" s="1857"/>
      <c r="R63" s="1857"/>
      <c r="S63" s="1857"/>
    </row>
    <row r="64" spans="1:19" x14ac:dyDescent="0.2">
      <c r="A64" s="1857"/>
      <c r="B64" s="1857"/>
      <c r="C64" s="1857"/>
      <c r="D64" s="1857"/>
      <c r="E64" s="1857"/>
      <c r="F64" s="1857"/>
      <c r="G64" s="1857"/>
      <c r="H64" s="1857"/>
      <c r="I64" s="1857"/>
      <c r="J64" s="1857"/>
      <c r="K64" s="1857"/>
      <c r="L64" s="1857"/>
      <c r="M64" s="1857"/>
      <c r="N64" s="1857"/>
      <c r="O64" s="1857"/>
      <c r="P64" s="1857"/>
      <c r="Q64" s="1857"/>
      <c r="R64" s="1857"/>
      <c r="S64" s="1857"/>
    </row>
    <row r="65" spans="1:19" x14ac:dyDescent="0.2">
      <c r="A65" s="879" t="s">
        <v>857</v>
      </c>
      <c r="B65" s="879"/>
      <c r="C65" s="236"/>
      <c r="D65" s="236"/>
      <c r="E65" s="236"/>
      <c r="F65" s="236"/>
      <c r="G65" s="236"/>
      <c r="H65" s="236"/>
      <c r="I65" s="236"/>
      <c r="J65" s="236"/>
      <c r="K65" s="236"/>
      <c r="L65" s="236"/>
      <c r="M65" s="236"/>
      <c r="N65" s="236"/>
      <c r="O65" s="236"/>
      <c r="P65" s="236"/>
      <c r="Q65" s="236"/>
      <c r="R65" s="236"/>
      <c r="S65" s="236"/>
    </row>
    <row r="66" spans="1:19" x14ac:dyDescent="0.2">
      <c r="A66" s="879" t="s">
        <v>858</v>
      </c>
      <c r="B66" s="879"/>
      <c r="C66" s="236"/>
      <c r="D66" s="236"/>
      <c r="E66" s="236"/>
      <c r="F66" s="236"/>
      <c r="G66" s="236"/>
      <c r="H66" s="236"/>
      <c r="I66" s="236"/>
      <c r="J66" s="236"/>
      <c r="K66" s="236"/>
      <c r="L66" s="236"/>
      <c r="M66" s="236"/>
      <c r="N66" s="236"/>
      <c r="O66" s="236"/>
      <c r="P66" s="236"/>
      <c r="Q66" s="236"/>
      <c r="R66" s="236"/>
      <c r="S66" s="236"/>
    </row>
    <row r="67" spans="1:19" x14ac:dyDescent="0.2">
      <c r="A67" s="853"/>
      <c r="B67" s="853"/>
      <c r="C67" s="236"/>
      <c r="D67" s="236"/>
      <c r="E67" s="236"/>
      <c r="F67" s="236"/>
      <c r="G67" s="236"/>
      <c r="H67" s="236"/>
      <c r="I67" s="236"/>
      <c r="J67" s="236"/>
      <c r="K67" s="236"/>
      <c r="L67" s="236"/>
      <c r="M67" s="236"/>
      <c r="N67" s="236"/>
      <c r="O67" s="236"/>
      <c r="P67" s="236"/>
      <c r="Q67" s="236"/>
      <c r="R67" s="236"/>
      <c r="S67" s="236"/>
    </row>
    <row r="68" spans="1:19" ht="12.75" customHeight="1" x14ac:dyDescent="0.2">
      <c r="A68" s="1857" t="s">
        <v>1849</v>
      </c>
      <c r="B68" s="1857"/>
      <c r="C68" s="1857"/>
      <c r="D68" s="1857"/>
      <c r="E68" s="1857"/>
      <c r="F68" s="1857"/>
      <c r="G68" s="1857"/>
      <c r="H68" s="1857"/>
      <c r="I68" s="1857"/>
      <c r="J68" s="1857"/>
      <c r="K68" s="1857"/>
      <c r="L68" s="1857"/>
      <c r="M68" s="1857"/>
      <c r="N68" s="1857"/>
      <c r="O68" s="1857"/>
      <c r="P68" s="1857"/>
      <c r="Q68" s="1857"/>
      <c r="R68" s="1857"/>
      <c r="S68" s="1857"/>
    </row>
    <row r="69" spans="1:19" x14ac:dyDescent="0.2">
      <c r="A69" s="1857"/>
      <c r="B69" s="1857"/>
      <c r="C69" s="1857"/>
      <c r="D69" s="1857"/>
      <c r="E69" s="1857"/>
      <c r="F69" s="1857"/>
      <c r="G69" s="1857"/>
      <c r="H69" s="1857"/>
      <c r="I69" s="1857"/>
      <c r="J69" s="1857"/>
      <c r="K69" s="1857"/>
      <c r="L69" s="1857"/>
      <c r="M69" s="1857"/>
      <c r="N69" s="1857"/>
      <c r="O69" s="1857"/>
      <c r="P69" s="1857"/>
      <c r="Q69" s="1857"/>
      <c r="R69" s="1857"/>
      <c r="S69" s="1857"/>
    </row>
    <row r="70" spans="1:19" x14ac:dyDescent="0.2">
      <c r="A70" s="1857"/>
      <c r="B70" s="1857"/>
      <c r="C70" s="1857"/>
      <c r="D70" s="1857"/>
      <c r="E70" s="1857"/>
      <c r="F70" s="1857"/>
      <c r="G70" s="1857"/>
      <c r="H70" s="1857"/>
      <c r="I70" s="1857"/>
      <c r="J70" s="1857"/>
      <c r="K70" s="1857"/>
      <c r="L70" s="1857"/>
      <c r="M70" s="1857"/>
      <c r="N70" s="1857"/>
      <c r="O70" s="1857"/>
      <c r="P70" s="1857"/>
      <c r="Q70" s="1857"/>
      <c r="R70" s="1857"/>
      <c r="S70" s="1857"/>
    </row>
    <row r="71" spans="1:19" x14ac:dyDescent="0.2">
      <c r="A71" s="1857"/>
      <c r="B71" s="1857"/>
      <c r="C71" s="1857"/>
      <c r="D71" s="1857"/>
      <c r="E71" s="1857"/>
      <c r="F71" s="1857"/>
      <c r="G71" s="1857"/>
      <c r="H71" s="1857"/>
      <c r="I71" s="1857"/>
      <c r="J71" s="1857"/>
      <c r="K71" s="1857"/>
      <c r="L71" s="1857"/>
      <c r="M71" s="1857"/>
      <c r="N71" s="1857"/>
      <c r="O71" s="1857"/>
      <c r="P71" s="1857"/>
      <c r="Q71" s="1857"/>
      <c r="R71" s="1857"/>
      <c r="S71" s="1857"/>
    </row>
    <row r="72" spans="1:19" x14ac:dyDescent="0.2">
      <c r="A72" s="879" t="s">
        <v>859</v>
      </c>
      <c r="B72" s="879"/>
      <c r="C72" s="236"/>
      <c r="D72" s="236"/>
      <c r="E72" s="236"/>
      <c r="F72" s="236"/>
      <c r="G72" s="236"/>
      <c r="H72" s="236"/>
      <c r="I72" s="236"/>
      <c r="J72" s="236"/>
      <c r="K72" s="236"/>
      <c r="L72" s="236"/>
      <c r="M72" s="236"/>
      <c r="N72" s="236"/>
      <c r="O72" s="236"/>
      <c r="P72" s="236"/>
      <c r="Q72" s="236"/>
      <c r="R72" s="236"/>
      <c r="S72" s="236"/>
    </row>
    <row r="73" spans="1:19" x14ac:dyDescent="0.2">
      <c r="A73" s="879" t="s">
        <v>860</v>
      </c>
      <c r="B73" s="879"/>
      <c r="C73" s="236"/>
      <c r="D73" s="236"/>
      <c r="E73" s="236"/>
      <c r="F73" s="236"/>
      <c r="G73" s="236"/>
      <c r="H73" s="236"/>
      <c r="I73" s="236"/>
      <c r="J73" s="236"/>
      <c r="K73" s="236"/>
      <c r="L73" s="236"/>
      <c r="M73" s="236"/>
      <c r="N73" s="236"/>
      <c r="O73" s="236"/>
      <c r="P73" s="236"/>
      <c r="Q73" s="236"/>
      <c r="R73" s="236"/>
      <c r="S73" s="236"/>
    </row>
    <row r="75" spans="1:19" x14ac:dyDescent="0.2">
      <c r="A75" s="878" t="s">
        <v>381</v>
      </c>
      <c r="B75" s="878"/>
    </row>
    <row r="76" spans="1:19" ht="12.75" customHeight="1" x14ac:dyDescent="0.2">
      <c r="A76" s="1857" t="s">
        <v>1850</v>
      </c>
      <c r="B76" s="1857"/>
      <c r="C76" s="1857"/>
      <c r="D76" s="1857"/>
      <c r="E76" s="1857"/>
      <c r="F76" s="1857"/>
      <c r="G76" s="1857"/>
      <c r="H76" s="1857"/>
      <c r="I76" s="1857"/>
      <c r="J76" s="1857"/>
      <c r="K76" s="1857"/>
      <c r="L76" s="1857"/>
      <c r="M76" s="1857"/>
      <c r="N76" s="1857"/>
      <c r="O76" s="1857"/>
      <c r="P76" s="1857"/>
      <c r="Q76" s="1857"/>
      <c r="R76" s="1857"/>
      <c r="S76" s="1857"/>
    </row>
    <row r="77" spans="1:19" x14ac:dyDescent="0.2">
      <c r="A77" s="1857"/>
      <c r="B77" s="1857"/>
      <c r="C77" s="1857"/>
      <c r="D77" s="1857"/>
      <c r="E77" s="1857"/>
      <c r="F77" s="1857"/>
      <c r="G77" s="1857"/>
      <c r="H77" s="1857"/>
      <c r="I77" s="1857"/>
      <c r="J77" s="1857"/>
      <c r="K77" s="1857"/>
      <c r="L77" s="1857"/>
      <c r="M77" s="1857"/>
      <c r="N77" s="1857"/>
      <c r="O77" s="1857"/>
      <c r="P77" s="1857"/>
      <c r="Q77" s="1857"/>
      <c r="R77" s="1857"/>
      <c r="S77" s="1857"/>
    </row>
    <row r="78" spans="1:19" x14ac:dyDescent="0.2">
      <c r="A78" s="1857"/>
      <c r="B78" s="1857"/>
      <c r="C78" s="1857"/>
      <c r="D78" s="1857"/>
      <c r="E78" s="1857"/>
      <c r="F78" s="1857"/>
      <c r="G78" s="1857"/>
      <c r="H78" s="1857"/>
      <c r="I78" s="1857"/>
      <c r="J78" s="1857"/>
      <c r="K78" s="1857"/>
      <c r="L78" s="1857"/>
      <c r="M78" s="1857"/>
      <c r="N78" s="1857"/>
      <c r="O78" s="1857"/>
      <c r="P78" s="1857"/>
      <c r="Q78" s="1857"/>
      <c r="R78" s="1857"/>
      <c r="S78" s="1857"/>
    </row>
    <row r="79" spans="1:19" x14ac:dyDescent="0.2">
      <c r="A79" s="879" t="s">
        <v>861</v>
      </c>
      <c r="B79" s="879"/>
    </row>
    <row r="80" spans="1:19" x14ac:dyDescent="0.2">
      <c r="A80" s="879" t="s">
        <v>862</v>
      </c>
      <c r="B80" s="879"/>
    </row>
    <row r="81" spans="1:19" x14ac:dyDescent="0.2">
      <c r="A81" s="853"/>
      <c r="B81" s="853"/>
    </row>
    <row r="82" spans="1:19" ht="12.75" customHeight="1" x14ac:dyDescent="0.2">
      <c r="A82" s="1857" t="s">
        <v>1851</v>
      </c>
      <c r="B82" s="1857"/>
      <c r="C82" s="1857"/>
      <c r="D82" s="1857"/>
      <c r="E82" s="1857"/>
      <c r="F82" s="1857"/>
      <c r="G82" s="1857"/>
      <c r="H82" s="1857"/>
      <c r="I82" s="1857"/>
      <c r="J82" s="1857"/>
      <c r="K82" s="1857"/>
      <c r="L82" s="1857"/>
      <c r="M82" s="1857"/>
      <c r="N82" s="1857"/>
      <c r="O82" s="1857"/>
      <c r="P82" s="1857"/>
      <c r="Q82" s="1857"/>
      <c r="R82" s="1857"/>
      <c r="S82" s="1857"/>
    </row>
    <row r="83" spans="1:19" x14ac:dyDescent="0.2">
      <c r="A83" s="1857"/>
      <c r="B83" s="1857"/>
      <c r="C83" s="1857"/>
      <c r="D83" s="1857"/>
      <c r="E83" s="1857"/>
      <c r="F83" s="1857"/>
      <c r="G83" s="1857"/>
      <c r="H83" s="1857"/>
      <c r="I83" s="1857"/>
      <c r="J83" s="1857"/>
      <c r="K83" s="1857"/>
      <c r="L83" s="1857"/>
      <c r="M83" s="1857"/>
      <c r="N83" s="1857"/>
      <c r="O83" s="1857"/>
      <c r="P83" s="1857"/>
      <c r="Q83" s="1857"/>
      <c r="R83" s="1857"/>
      <c r="S83" s="1857"/>
    </row>
    <row r="84" spans="1:19" x14ac:dyDescent="0.2">
      <c r="A84" s="1857"/>
      <c r="B84" s="1857"/>
      <c r="C84" s="1857"/>
      <c r="D84" s="1857"/>
      <c r="E84" s="1857"/>
      <c r="F84" s="1857"/>
      <c r="G84" s="1857"/>
      <c r="H84" s="1857"/>
      <c r="I84" s="1857"/>
      <c r="J84" s="1857"/>
      <c r="K84" s="1857"/>
      <c r="L84" s="1857"/>
      <c r="M84" s="1857"/>
      <c r="N84" s="1857"/>
      <c r="O84" s="1857"/>
      <c r="P84" s="1857"/>
      <c r="Q84" s="1857"/>
      <c r="R84" s="1857"/>
      <c r="S84" s="1857"/>
    </row>
    <row r="85" spans="1:19" x14ac:dyDescent="0.2">
      <c r="A85" s="879" t="s">
        <v>863</v>
      </c>
      <c r="B85" s="879"/>
    </row>
    <row r="86" spans="1:19" x14ac:dyDescent="0.2">
      <c r="A86" s="879" t="s">
        <v>864</v>
      </c>
      <c r="B86" s="879"/>
    </row>
    <row r="87" spans="1:19" x14ac:dyDescent="0.2">
      <c r="A87" s="853"/>
      <c r="B87" s="853"/>
    </row>
    <row r="88" spans="1:19" ht="12.75" customHeight="1" x14ac:dyDescent="0.2">
      <c r="A88" s="1857" t="s">
        <v>1852</v>
      </c>
      <c r="B88" s="1857"/>
      <c r="C88" s="1857"/>
      <c r="D88" s="1857"/>
      <c r="E88" s="1857"/>
      <c r="F88" s="1857"/>
      <c r="G88" s="1857"/>
      <c r="H88" s="1857"/>
      <c r="I88" s="1857"/>
      <c r="J88" s="1857"/>
      <c r="K88" s="1857"/>
      <c r="L88" s="1857"/>
      <c r="M88" s="1857"/>
      <c r="N88" s="1857"/>
      <c r="O88" s="1857"/>
      <c r="P88" s="1857"/>
      <c r="Q88" s="1857"/>
      <c r="R88" s="1857"/>
      <c r="S88" s="1857"/>
    </row>
    <row r="89" spans="1:19" x14ac:dyDescent="0.2">
      <c r="A89" s="1857"/>
      <c r="B89" s="1857"/>
      <c r="C89" s="1857"/>
      <c r="D89" s="1857"/>
      <c r="E89" s="1857"/>
      <c r="F89" s="1857"/>
      <c r="G89" s="1857"/>
      <c r="H89" s="1857"/>
      <c r="I89" s="1857"/>
      <c r="J89" s="1857"/>
      <c r="K89" s="1857"/>
      <c r="L89" s="1857"/>
      <c r="M89" s="1857"/>
      <c r="N89" s="1857"/>
      <c r="O89" s="1857"/>
      <c r="P89" s="1857"/>
      <c r="Q89" s="1857"/>
      <c r="R89" s="1857"/>
      <c r="S89" s="1857"/>
    </row>
    <row r="90" spans="1:19" x14ac:dyDescent="0.2">
      <c r="A90" s="1857"/>
      <c r="B90" s="1857"/>
      <c r="C90" s="1857"/>
      <c r="D90" s="1857"/>
      <c r="E90" s="1857"/>
      <c r="F90" s="1857"/>
      <c r="G90" s="1857"/>
      <c r="H90" s="1857"/>
      <c r="I90" s="1857"/>
      <c r="J90" s="1857"/>
      <c r="K90" s="1857"/>
      <c r="L90" s="1857"/>
      <c r="M90" s="1857"/>
      <c r="N90" s="1857"/>
      <c r="O90" s="1857"/>
      <c r="P90" s="1857"/>
      <c r="Q90" s="1857"/>
      <c r="R90" s="1857"/>
      <c r="S90" s="1857"/>
    </row>
    <row r="91" spans="1:19" x14ac:dyDescent="0.2">
      <c r="A91" s="879" t="s">
        <v>865</v>
      </c>
      <c r="B91" s="879"/>
    </row>
    <row r="92" spans="1:19" x14ac:dyDescent="0.2">
      <c r="A92" s="879" t="s">
        <v>866</v>
      </c>
      <c r="B92" s="879"/>
    </row>
    <row r="94" spans="1:19" x14ac:dyDescent="0.2">
      <c r="A94" s="1858" t="s">
        <v>1843</v>
      </c>
      <c r="B94" s="1858"/>
      <c r="C94" s="1858"/>
      <c r="D94" s="1858"/>
      <c r="E94" s="1858"/>
      <c r="F94" s="1858"/>
      <c r="G94" s="1858"/>
      <c r="H94" s="1858"/>
      <c r="I94" s="1858"/>
      <c r="J94" s="1858"/>
      <c r="K94" s="1858"/>
      <c r="L94" s="1858"/>
      <c r="M94" s="1858"/>
      <c r="N94" s="1858"/>
      <c r="O94" s="1858"/>
      <c r="P94" s="1858"/>
      <c r="Q94" s="1858"/>
      <c r="R94" s="1858"/>
      <c r="S94" s="1858"/>
    </row>
    <row r="95" spans="1:19" x14ac:dyDescent="0.2">
      <c r="A95" s="800" t="s">
        <v>1841</v>
      </c>
      <c r="B95" s="880"/>
      <c r="C95" s="880"/>
      <c r="D95" s="880"/>
      <c r="E95" s="880"/>
      <c r="F95" s="880"/>
      <c r="G95" s="880"/>
      <c r="H95" s="880"/>
      <c r="I95" s="880"/>
      <c r="J95" s="880"/>
      <c r="K95" s="880"/>
      <c r="L95" s="880"/>
      <c r="M95" s="880"/>
      <c r="N95" s="880"/>
      <c r="O95" s="880"/>
      <c r="P95" s="880"/>
      <c r="Q95" s="880"/>
      <c r="R95" s="880"/>
      <c r="S95" s="880"/>
    </row>
    <row r="96" spans="1:19" x14ac:dyDescent="0.2">
      <c r="A96" s="1857"/>
      <c r="B96" s="1857"/>
      <c r="C96" s="1857"/>
      <c r="D96" s="1857"/>
      <c r="E96" s="1857"/>
      <c r="F96" s="1857"/>
      <c r="G96" s="1857"/>
      <c r="H96" s="1857"/>
      <c r="I96" s="1857"/>
      <c r="J96" s="1857"/>
      <c r="K96" s="1857"/>
      <c r="L96" s="1857"/>
      <c r="M96" s="1857"/>
      <c r="N96" s="1857"/>
      <c r="O96" s="1857"/>
      <c r="P96" s="1857"/>
      <c r="Q96" s="1857"/>
      <c r="R96" s="1857"/>
      <c r="S96" s="1857"/>
    </row>
    <row r="97" spans="1:19" x14ac:dyDescent="0.2">
      <c r="A97" s="1866" t="s">
        <v>1844</v>
      </c>
      <c r="B97" s="1866"/>
      <c r="C97" s="1866"/>
      <c r="D97" s="1866"/>
      <c r="E97" s="1866"/>
      <c r="F97" s="1866"/>
      <c r="G97" s="1866"/>
      <c r="H97" s="1866"/>
      <c r="I97" s="1866"/>
      <c r="J97" s="1866"/>
      <c r="K97" s="1866"/>
      <c r="L97" s="1857"/>
      <c r="M97" s="1857"/>
      <c r="N97" s="1857"/>
      <c r="O97" s="1857"/>
      <c r="P97" s="1857"/>
      <c r="Q97" s="1857"/>
      <c r="R97" s="1857"/>
      <c r="S97" s="1857"/>
    </row>
    <row r="98" spans="1:19" x14ac:dyDescent="0.2">
      <c r="A98" s="1857" t="s">
        <v>1842</v>
      </c>
      <c r="B98" s="1857"/>
      <c r="C98" s="1857"/>
      <c r="D98" s="1857"/>
      <c r="E98" s="1857"/>
      <c r="F98" s="1857"/>
      <c r="G98" s="1857"/>
      <c r="H98" s="1857"/>
      <c r="I98" s="1857"/>
      <c r="J98" s="1857"/>
      <c r="K98" s="1857"/>
      <c r="L98" s="1857"/>
      <c r="M98" s="1857"/>
      <c r="N98" s="1857"/>
      <c r="O98" s="1857"/>
      <c r="P98" s="1857"/>
      <c r="Q98" s="1857"/>
      <c r="R98" s="1857"/>
      <c r="S98" s="1857"/>
    </row>
    <row r="99" spans="1:19" x14ac:dyDescent="0.2">
      <c r="A99" s="1857"/>
      <c r="B99" s="1857"/>
      <c r="C99" s="1857"/>
      <c r="D99" s="1857"/>
      <c r="E99" s="1857"/>
      <c r="F99" s="1857"/>
      <c r="G99" s="1857"/>
      <c r="H99" s="1857"/>
      <c r="I99" s="1857"/>
      <c r="J99" s="1857"/>
      <c r="K99" s="1857"/>
      <c r="L99" s="1857"/>
      <c r="M99" s="1857"/>
      <c r="N99" s="1857"/>
      <c r="O99" s="1857"/>
      <c r="P99" s="1857"/>
      <c r="Q99" s="1857"/>
      <c r="R99" s="1857"/>
      <c r="S99" s="1857"/>
    </row>
    <row r="100" spans="1:19" x14ac:dyDescent="0.2">
      <c r="A100" s="1857"/>
      <c r="B100" s="1857"/>
      <c r="C100" s="1857"/>
      <c r="D100" s="1857"/>
      <c r="E100" s="1857"/>
      <c r="F100" s="1857"/>
      <c r="G100" s="1857"/>
      <c r="H100" s="1857"/>
      <c r="I100" s="1857"/>
      <c r="J100" s="1857"/>
      <c r="K100" s="1857"/>
      <c r="L100" s="1857"/>
      <c r="M100" s="1857"/>
      <c r="N100" s="1857"/>
      <c r="O100" s="1857"/>
      <c r="P100" s="1857"/>
      <c r="Q100" s="1857"/>
      <c r="R100" s="1857"/>
      <c r="S100" s="1857"/>
    </row>
    <row r="101" spans="1:19" x14ac:dyDescent="0.2">
      <c r="A101" s="1857"/>
      <c r="B101" s="1857"/>
      <c r="C101" s="1857"/>
      <c r="D101" s="1857"/>
      <c r="E101" s="1857"/>
      <c r="F101" s="1857"/>
      <c r="G101" s="1857"/>
      <c r="H101" s="1857"/>
      <c r="I101" s="1857"/>
      <c r="J101" s="1857"/>
      <c r="K101" s="1857"/>
      <c r="L101" s="1857"/>
      <c r="M101" s="1857"/>
      <c r="N101" s="1857"/>
      <c r="O101" s="1857"/>
      <c r="P101" s="1857"/>
      <c r="Q101" s="1857"/>
      <c r="R101" s="1857"/>
      <c r="S101" s="1857"/>
    </row>
    <row r="102" spans="1:19" x14ac:dyDescent="0.2">
      <c r="L102" s="1857"/>
      <c r="M102" s="1857"/>
      <c r="N102" s="1857"/>
      <c r="O102" s="1857"/>
      <c r="P102" s="1857"/>
      <c r="Q102" s="1857"/>
      <c r="R102" s="1857"/>
      <c r="S102" s="1857"/>
    </row>
    <row r="103" spans="1:19" x14ac:dyDescent="0.2">
      <c r="A103" s="1857"/>
      <c r="B103" s="1857"/>
      <c r="C103" s="1857"/>
      <c r="D103" s="1857"/>
      <c r="E103" s="1857"/>
      <c r="F103" s="1857"/>
      <c r="G103" s="1857"/>
      <c r="H103" s="1857"/>
      <c r="I103" s="1857"/>
      <c r="J103" s="1857"/>
      <c r="K103" s="1857"/>
      <c r="L103" s="1857"/>
      <c r="M103" s="1857"/>
      <c r="N103" s="1857"/>
      <c r="O103" s="1857"/>
      <c r="P103" s="1857"/>
      <c r="Q103" s="1857"/>
      <c r="R103" s="1857"/>
      <c r="S103" s="1857"/>
    </row>
    <row r="104" spans="1:19" x14ac:dyDescent="0.2">
      <c r="A104" s="1857"/>
      <c r="B104" s="1857"/>
      <c r="C104" s="1857"/>
      <c r="D104" s="1857"/>
      <c r="E104" s="1857"/>
      <c r="F104" s="1857"/>
      <c r="G104" s="1857"/>
      <c r="H104" s="1857"/>
      <c r="I104" s="1857"/>
      <c r="J104" s="1857"/>
      <c r="K104" s="1857"/>
      <c r="L104" s="1857"/>
      <c r="M104" s="1857"/>
      <c r="N104" s="1857"/>
      <c r="O104" s="1857"/>
      <c r="P104" s="1857"/>
      <c r="Q104" s="1857"/>
      <c r="R104" s="1857"/>
      <c r="S104" s="1857"/>
    </row>
    <row r="105" spans="1:19" x14ac:dyDescent="0.2">
      <c r="A105" s="1857"/>
      <c r="B105" s="1857"/>
      <c r="C105" s="1857"/>
      <c r="D105" s="1857"/>
      <c r="E105" s="1857"/>
      <c r="F105" s="1857"/>
      <c r="G105" s="1857"/>
      <c r="H105" s="1857"/>
      <c r="I105" s="1857"/>
      <c r="J105" s="1857"/>
      <c r="K105" s="1857"/>
      <c r="L105" s="1857"/>
      <c r="M105" s="1857"/>
      <c r="N105" s="1857"/>
      <c r="O105" s="1857"/>
      <c r="P105" s="1857"/>
      <c r="Q105" s="1857"/>
      <c r="R105" s="1857"/>
      <c r="S105" s="1857"/>
    </row>
    <row r="106" spans="1:19" x14ac:dyDescent="0.2">
      <c r="A106" s="1857"/>
      <c r="B106" s="1857"/>
      <c r="C106" s="1857"/>
      <c r="D106" s="1857"/>
      <c r="E106" s="1857"/>
      <c r="F106" s="1857"/>
      <c r="G106" s="1857"/>
      <c r="H106" s="1857"/>
      <c r="I106" s="1857"/>
      <c r="J106" s="1857"/>
      <c r="K106" s="1857"/>
      <c r="L106" s="1857"/>
      <c r="M106" s="1857"/>
      <c r="N106" s="1857"/>
      <c r="O106" s="1857"/>
      <c r="P106" s="1857"/>
      <c r="Q106" s="1857"/>
      <c r="R106" s="1857"/>
      <c r="S106" s="1857"/>
    </row>
    <row r="107" spans="1:19" x14ac:dyDescent="0.2">
      <c r="A107" s="1857"/>
      <c r="B107" s="1857"/>
      <c r="C107" s="1857"/>
      <c r="D107" s="1857"/>
      <c r="E107" s="1857"/>
      <c r="F107" s="1857"/>
      <c r="G107" s="1857"/>
      <c r="H107" s="1857"/>
      <c r="I107" s="1857"/>
      <c r="J107" s="1857"/>
      <c r="K107" s="1857"/>
      <c r="L107" s="1857"/>
      <c r="M107" s="1857"/>
      <c r="N107" s="1857"/>
      <c r="O107" s="1857"/>
      <c r="P107" s="1857"/>
      <c r="Q107" s="1857"/>
      <c r="R107" s="1857"/>
      <c r="S107" s="1857"/>
    </row>
    <row r="108" spans="1:19" x14ac:dyDescent="0.2">
      <c r="A108" s="1857"/>
      <c r="B108" s="1857"/>
      <c r="C108" s="1857"/>
      <c r="D108" s="1857"/>
      <c r="E108" s="1857"/>
      <c r="F108" s="1857"/>
      <c r="G108" s="1857"/>
      <c r="H108" s="1857"/>
      <c r="I108" s="1857"/>
      <c r="J108" s="1857"/>
      <c r="K108" s="1857"/>
      <c r="L108" s="1857"/>
      <c r="M108" s="1857"/>
      <c r="N108" s="1857"/>
      <c r="O108" s="1857"/>
      <c r="P108" s="1857"/>
      <c r="Q108" s="1857"/>
      <c r="R108" s="1857"/>
      <c r="S108" s="1857"/>
    </row>
    <row r="109" spans="1:19" x14ac:dyDescent="0.2">
      <c r="A109" s="1857"/>
      <c r="B109" s="1857"/>
      <c r="C109" s="1857"/>
      <c r="D109" s="1857"/>
      <c r="E109" s="1857"/>
      <c r="F109" s="1857"/>
      <c r="G109" s="1857"/>
      <c r="H109" s="1857"/>
      <c r="I109" s="1857"/>
      <c r="J109" s="1857"/>
      <c r="K109" s="1857"/>
      <c r="L109" s="1857"/>
      <c r="M109" s="1857"/>
      <c r="N109" s="1857"/>
      <c r="O109" s="1857"/>
      <c r="P109" s="1857"/>
      <c r="Q109" s="1857"/>
      <c r="R109" s="1857"/>
      <c r="S109" s="1857"/>
    </row>
    <row r="110" spans="1:19" x14ac:dyDescent="0.2">
      <c r="A110" s="1857"/>
      <c r="B110" s="1857"/>
      <c r="C110" s="1857"/>
      <c r="D110" s="1857"/>
      <c r="E110" s="1857"/>
      <c r="F110" s="1857"/>
      <c r="G110" s="1857"/>
      <c r="H110" s="1857"/>
      <c r="I110" s="1857"/>
      <c r="J110" s="1857"/>
      <c r="K110" s="1857"/>
      <c r="L110" s="1857"/>
      <c r="M110" s="1857"/>
      <c r="N110" s="1857"/>
      <c r="O110" s="1857"/>
      <c r="P110" s="1857"/>
      <c r="Q110" s="1857"/>
      <c r="R110" s="1857"/>
      <c r="S110" s="1857"/>
    </row>
    <row r="111" spans="1:19" x14ac:dyDescent="0.2">
      <c r="A111" s="1857"/>
      <c r="B111" s="1857"/>
      <c r="C111" s="1857"/>
      <c r="D111" s="1857"/>
      <c r="E111" s="1857"/>
      <c r="F111" s="1857"/>
      <c r="G111" s="1857"/>
      <c r="H111" s="1857"/>
      <c r="I111" s="1857"/>
      <c r="J111" s="1857"/>
      <c r="K111" s="1857"/>
      <c r="L111" s="1857"/>
      <c r="M111" s="1857"/>
      <c r="N111" s="1857"/>
      <c r="O111" s="1857"/>
      <c r="P111" s="1857"/>
      <c r="Q111" s="1857"/>
      <c r="R111" s="1857"/>
      <c r="S111" s="1857"/>
    </row>
    <row r="112" spans="1:19" x14ac:dyDescent="0.2">
      <c r="A112" s="1857"/>
      <c r="B112" s="1857"/>
      <c r="C112" s="1857"/>
      <c r="D112" s="1857"/>
      <c r="E112" s="1857"/>
      <c r="F112" s="1857"/>
      <c r="G112" s="1857"/>
      <c r="H112" s="1857"/>
      <c r="I112" s="1857"/>
      <c r="J112" s="1857"/>
      <c r="K112" s="1857"/>
      <c r="L112" s="1857"/>
      <c r="M112" s="1857"/>
      <c r="N112" s="1857"/>
      <c r="O112" s="1857"/>
      <c r="P112" s="1857"/>
      <c r="Q112" s="1857"/>
      <c r="R112" s="1857"/>
      <c r="S112" s="1857"/>
    </row>
    <row r="113" spans="1:19" x14ac:dyDescent="0.2">
      <c r="A113" s="1857"/>
      <c r="B113" s="1857"/>
      <c r="C113" s="1857"/>
      <c r="D113" s="1857"/>
      <c r="E113" s="1857"/>
      <c r="F113" s="1857"/>
      <c r="G113" s="1857"/>
      <c r="H113" s="1857"/>
      <c r="I113" s="1857"/>
      <c r="J113" s="1857"/>
      <c r="K113" s="1857"/>
      <c r="L113" s="1857"/>
      <c r="M113" s="1857"/>
      <c r="N113" s="1857"/>
      <c r="O113" s="1857"/>
      <c r="P113" s="1857"/>
      <c r="Q113" s="1857"/>
      <c r="R113" s="1857"/>
      <c r="S113" s="1857"/>
    </row>
    <row r="114" spans="1:19" x14ac:dyDescent="0.2">
      <c r="A114" s="1857"/>
      <c r="B114" s="1857"/>
      <c r="C114" s="1857"/>
      <c r="D114" s="1857"/>
      <c r="E114" s="1857"/>
      <c r="F114" s="1857"/>
      <c r="G114" s="1857"/>
      <c r="H114" s="1857"/>
      <c r="I114" s="1857"/>
      <c r="J114" s="1857"/>
      <c r="K114" s="1857"/>
      <c r="L114" s="1857"/>
      <c r="M114" s="1857"/>
      <c r="N114" s="1857"/>
      <c r="O114" s="1857"/>
      <c r="P114" s="1857"/>
      <c r="Q114" s="1857"/>
      <c r="R114" s="1857"/>
      <c r="S114" s="1857"/>
    </row>
    <row r="115" spans="1:19" x14ac:dyDescent="0.2">
      <c r="A115" s="1857"/>
      <c r="B115" s="1857"/>
      <c r="C115" s="1857"/>
      <c r="D115" s="1857"/>
      <c r="E115" s="1857"/>
      <c r="F115" s="1857"/>
      <c r="G115" s="1857"/>
      <c r="H115" s="1857"/>
      <c r="I115" s="1857"/>
      <c r="J115" s="1857"/>
      <c r="K115" s="1857"/>
      <c r="L115" s="1857"/>
      <c r="M115" s="1857"/>
      <c r="N115" s="1857"/>
      <c r="O115" s="1857"/>
      <c r="P115" s="1857"/>
      <c r="Q115" s="1857"/>
      <c r="R115" s="1857"/>
      <c r="S115" s="1857"/>
    </row>
    <row r="116" spans="1:19" x14ac:dyDescent="0.2">
      <c r="A116" s="1867"/>
      <c r="B116" s="1867"/>
      <c r="C116" s="1867"/>
      <c r="D116" s="1867"/>
      <c r="E116" s="1867"/>
      <c r="F116" s="1867"/>
      <c r="G116" s="1867"/>
      <c r="H116" s="1867"/>
      <c r="I116" s="1867"/>
      <c r="J116" s="1867"/>
      <c r="K116" s="1867"/>
      <c r="L116" s="1857"/>
      <c r="M116" s="1857"/>
      <c r="N116" s="1857"/>
      <c r="O116" s="1857"/>
      <c r="P116" s="1857"/>
      <c r="Q116" s="1857"/>
      <c r="R116" s="1857"/>
      <c r="S116" s="1857"/>
    </row>
    <row r="117" spans="1:19" x14ac:dyDescent="0.2">
      <c r="A117" s="1867"/>
      <c r="B117" s="1867"/>
      <c r="C117" s="1867"/>
      <c r="D117" s="1867"/>
      <c r="E117" s="1867"/>
      <c r="F117" s="1867"/>
      <c r="G117" s="1867"/>
      <c r="H117" s="1867"/>
      <c r="I117" s="1867"/>
      <c r="J117" s="1867"/>
      <c r="K117" s="1867"/>
      <c r="L117" s="1857"/>
      <c r="M117" s="1857"/>
      <c r="N117" s="1857"/>
      <c r="O117" s="1857"/>
      <c r="P117" s="1857"/>
      <c r="Q117" s="1857"/>
      <c r="R117" s="1857"/>
      <c r="S117" s="1857"/>
    </row>
    <row r="118" spans="1:19" x14ac:dyDescent="0.2">
      <c r="A118" s="1857"/>
      <c r="B118" s="1857"/>
      <c r="C118" s="1857"/>
      <c r="D118" s="1857"/>
      <c r="E118" s="1857"/>
      <c r="F118" s="1857"/>
      <c r="G118" s="1857"/>
      <c r="H118" s="1857"/>
      <c r="I118" s="1857"/>
      <c r="J118" s="1857"/>
      <c r="K118" s="1857"/>
      <c r="L118" s="1857"/>
      <c r="M118" s="1857"/>
      <c r="N118" s="1857"/>
      <c r="O118" s="1857"/>
      <c r="P118" s="1857"/>
      <c r="Q118" s="1857"/>
      <c r="R118" s="1857"/>
      <c r="S118" s="1857"/>
    </row>
    <row r="119" spans="1:19" x14ac:dyDescent="0.2">
      <c r="L119" s="1857"/>
      <c r="M119" s="1857"/>
      <c r="N119" s="1857"/>
      <c r="O119" s="1857"/>
      <c r="P119" s="1857"/>
      <c r="Q119" s="1857"/>
      <c r="R119" s="1857"/>
      <c r="S119" s="1857"/>
    </row>
    <row r="120" spans="1:19" x14ac:dyDescent="0.2">
      <c r="A120" s="1857"/>
      <c r="B120" s="1857"/>
      <c r="C120" s="1857"/>
      <c r="D120" s="1857"/>
      <c r="E120" s="1857"/>
      <c r="F120" s="1857"/>
      <c r="G120" s="1857"/>
      <c r="H120" s="1857"/>
      <c r="I120" s="1857"/>
      <c r="J120" s="1857"/>
      <c r="K120" s="1857"/>
      <c r="L120" s="1857"/>
      <c r="M120" s="1857"/>
      <c r="N120" s="1857"/>
      <c r="O120" s="1857"/>
      <c r="P120" s="1857"/>
      <c r="Q120" s="1857"/>
      <c r="R120" s="1857"/>
      <c r="S120" s="1857"/>
    </row>
    <row r="121" spans="1:19" x14ac:dyDescent="0.2">
      <c r="A121" s="1857"/>
      <c r="B121" s="1857"/>
      <c r="C121" s="1857"/>
      <c r="D121" s="1857"/>
      <c r="E121" s="1857"/>
      <c r="F121" s="1857"/>
      <c r="G121" s="1857"/>
      <c r="H121" s="1857"/>
      <c r="I121" s="1857"/>
      <c r="J121" s="1857"/>
      <c r="K121" s="1857"/>
      <c r="L121" s="1857"/>
      <c r="M121" s="1857"/>
      <c r="N121" s="1857"/>
      <c r="O121" s="1857"/>
      <c r="P121" s="1857"/>
      <c r="Q121" s="1857"/>
      <c r="R121" s="1857"/>
      <c r="S121" s="1857"/>
    </row>
    <row r="122" spans="1:19" x14ac:dyDescent="0.2">
      <c r="A122" s="1857"/>
      <c r="B122" s="1857"/>
      <c r="C122" s="1857"/>
      <c r="D122" s="1857"/>
      <c r="E122" s="1857"/>
      <c r="F122" s="1857"/>
      <c r="G122" s="1857"/>
      <c r="H122" s="1857"/>
      <c r="I122" s="1857"/>
      <c r="J122" s="1857"/>
      <c r="K122" s="1857"/>
      <c r="L122" s="1857"/>
      <c r="M122" s="1857"/>
      <c r="N122" s="1857"/>
      <c r="O122" s="1857"/>
      <c r="P122" s="1857"/>
      <c r="Q122" s="1857"/>
      <c r="R122" s="1857"/>
      <c r="S122" s="1857"/>
    </row>
    <row r="123" spans="1:19" x14ac:dyDescent="0.2">
      <c r="A123" s="1857"/>
      <c r="B123" s="1857"/>
      <c r="C123" s="1857"/>
      <c r="D123" s="1857"/>
      <c r="E123" s="1857"/>
      <c r="F123" s="1857"/>
      <c r="G123" s="1857"/>
      <c r="H123" s="1857"/>
      <c r="I123" s="1857"/>
      <c r="J123" s="1857"/>
      <c r="K123" s="1857"/>
      <c r="L123" s="1857"/>
      <c r="M123" s="1857"/>
      <c r="N123" s="1857"/>
      <c r="O123" s="1857"/>
      <c r="P123" s="1857"/>
      <c r="Q123" s="1857"/>
      <c r="R123" s="1857"/>
      <c r="S123" s="1857"/>
    </row>
    <row r="124" spans="1:19" x14ac:dyDescent="0.2">
      <c r="A124" s="1857"/>
      <c r="B124" s="1857"/>
      <c r="C124" s="1857"/>
      <c r="D124" s="1857"/>
      <c r="E124" s="1857"/>
      <c r="F124" s="1857"/>
      <c r="G124" s="1857"/>
      <c r="H124" s="1857"/>
      <c r="I124" s="1857"/>
      <c r="J124" s="1857"/>
      <c r="K124" s="1857"/>
      <c r="L124" s="1857"/>
      <c r="M124" s="1857"/>
      <c r="N124" s="1857"/>
      <c r="O124" s="1857"/>
      <c r="P124" s="1857"/>
      <c r="Q124" s="1857"/>
      <c r="R124" s="1857"/>
      <c r="S124" s="1857"/>
    </row>
    <row r="125" spans="1:19" x14ac:dyDescent="0.2">
      <c r="A125" s="1857"/>
      <c r="B125" s="1857"/>
      <c r="C125" s="1857"/>
      <c r="D125" s="1857"/>
      <c r="E125" s="1857"/>
      <c r="F125" s="1857"/>
      <c r="G125" s="1857"/>
      <c r="H125" s="1857"/>
      <c r="I125" s="1857"/>
      <c r="J125" s="1857"/>
      <c r="K125" s="1857"/>
      <c r="L125" s="1857"/>
      <c r="M125" s="1857"/>
      <c r="N125" s="1857"/>
      <c r="O125" s="1857"/>
      <c r="P125" s="1857"/>
      <c r="Q125" s="1857"/>
      <c r="R125" s="1857"/>
      <c r="S125" s="1857"/>
    </row>
    <row r="126" spans="1:19" x14ac:dyDescent="0.2">
      <c r="A126" s="1857"/>
      <c r="B126" s="1857"/>
      <c r="C126" s="1857"/>
      <c r="D126" s="1857"/>
      <c r="E126" s="1857"/>
      <c r="F126" s="1857"/>
      <c r="G126" s="1857"/>
      <c r="H126" s="1857"/>
      <c r="I126" s="1857"/>
      <c r="J126" s="1857"/>
      <c r="K126" s="1857"/>
      <c r="L126" s="1857"/>
      <c r="M126" s="1857"/>
      <c r="N126" s="1857"/>
      <c r="O126" s="1857"/>
      <c r="P126" s="1857"/>
      <c r="Q126" s="1857"/>
      <c r="R126" s="1857"/>
      <c r="S126" s="1857"/>
    </row>
    <row r="127" spans="1:19" x14ac:dyDescent="0.2">
      <c r="A127" s="1857"/>
      <c r="B127" s="1857"/>
      <c r="C127" s="1857"/>
      <c r="D127" s="1857"/>
      <c r="E127" s="1857"/>
      <c r="F127" s="1857"/>
      <c r="G127" s="1857"/>
      <c r="H127" s="1857"/>
      <c r="I127" s="1857"/>
      <c r="J127" s="1857"/>
      <c r="K127" s="1857"/>
      <c r="L127" s="1857"/>
      <c r="M127" s="1857"/>
      <c r="N127" s="1857"/>
      <c r="O127" s="1857"/>
      <c r="P127" s="1857"/>
      <c r="Q127" s="1857"/>
      <c r="R127" s="1857"/>
      <c r="S127" s="1857"/>
    </row>
    <row r="128" spans="1:19" x14ac:dyDescent="0.2">
      <c r="A128" s="1857"/>
      <c r="B128" s="1857"/>
      <c r="C128" s="1857"/>
      <c r="D128" s="1857"/>
      <c r="E128" s="1857"/>
      <c r="F128" s="1857"/>
      <c r="G128" s="1857"/>
      <c r="H128" s="1857"/>
      <c r="I128" s="1857"/>
      <c r="J128" s="1857"/>
      <c r="K128" s="1857"/>
      <c r="L128" s="1857"/>
      <c r="M128" s="1857"/>
      <c r="N128" s="1857"/>
      <c r="O128" s="1857"/>
      <c r="P128" s="1857"/>
      <c r="Q128" s="1857"/>
      <c r="R128" s="1857"/>
      <c r="S128" s="1857"/>
    </row>
    <row r="129" spans="1:19" x14ac:dyDescent="0.2">
      <c r="A129" s="1857"/>
      <c r="B129" s="1857"/>
      <c r="C129" s="1857"/>
      <c r="D129" s="1857"/>
      <c r="E129" s="1857"/>
      <c r="F129" s="1857"/>
      <c r="G129" s="1857"/>
      <c r="H129" s="1857"/>
      <c r="I129" s="1857"/>
      <c r="J129" s="1857"/>
      <c r="K129" s="1857"/>
      <c r="L129" s="1857"/>
      <c r="M129" s="1857"/>
      <c r="N129" s="1857"/>
      <c r="O129" s="1857"/>
      <c r="P129" s="1857"/>
      <c r="Q129" s="1857"/>
      <c r="R129" s="1857"/>
      <c r="S129" s="1857"/>
    </row>
    <row r="130" spans="1:19" x14ac:dyDescent="0.2">
      <c r="A130" s="1857"/>
      <c r="B130" s="1857"/>
      <c r="C130" s="1857"/>
      <c r="D130" s="1857"/>
      <c r="E130" s="1857"/>
      <c r="F130" s="1857"/>
      <c r="G130" s="1857"/>
      <c r="H130" s="1857"/>
      <c r="I130" s="1857"/>
      <c r="J130" s="1857"/>
      <c r="K130" s="1857"/>
      <c r="L130" s="1857"/>
      <c r="M130" s="1857"/>
      <c r="N130" s="1857"/>
      <c r="O130" s="1857"/>
      <c r="P130" s="1857"/>
      <c r="Q130" s="1857"/>
      <c r="R130" s="1857"/>
      <c r="S130" s="1857"/>
    </row>
    <row r="131" spans="1:19" x14ac:dyDescent="0.2">
      <c r="A131" s="1857"/>
      <c r="B131" s="1857"/>
      <c r="C131" s="1857"/>
      <c r="D131" s="1857"/>
      <c r="E131" s="1857"/>
      <c r="F131" s="1857"/>
      <c r="G131" s="1857"/>
      <c r="H131" s="1857"/>
      <c r="I131" s="1857"/>
      <c r="J131" s="1857"/>
      <c r="K131" s="1857"/>
      <c r="L131" s="1857"/>
      <c r="M131" s="1857"/>
      <c r="N131" s="1857"/>
      <c r="O131" s="1857"/>
      <c r="P131" s="1857"/>
      <c r="Q131" s="1857"/>
      <c r="R131" s="1857"/>
      <c r="S131" s="1857"/>
    </row>
    <row r="132" spans="1:19" x14ac:dyDescent="0.2">
      <c r="A132" s="1857"/>
      <c r="B132" s="1857"/>
      <c r="C132" s="1857"/>
      <c r="D132" s="1857"/>
      <c r="E132" s="1857"/>
      <c r="F132" s="1857"/>
      <c r="G132" s="1857"/>
      <c r="H132" s="1857"/>
      <c r="I132" s="1857"/>
      <c r="J132" s="1857"/>
      <c r="K132" s="1857"/>
      <c r="L132" s="1857"/>
      <c r="M132" s="1857"/>
      <c r="N132" s="1857"/>
      <c r="O132" s="1857"/>
      <c r="P132" s="1857"/>
      <c r="Q132" s="1857"/>
      <c r="R132" s="1857"/>
      <c r="S132" s="1857"/>
    </row>
    <row r="133" spans="1:19" x14ac:dyDescent="0.2">
      <c r="A133" s="1857"/>
      <c r="B133" s="1857"/>
      <c r="C133" s="1857"/>
      <c r="D133" s="1857"/>
      <c r="E133" s="1857"/>
      <c r="F133" s="1857"/>
      <c r="G133" s="1857"/>
      <c r="H133" s="1857"/>
      <c r="I133" s="1857"/>
      <c r="J133" s="1857"/>
      <c r="K133" s="1857"/>
      <c r="L133" s="1857"/>
      <c r="M133" s="1857"/>
      <c r="N133" s="1857"/>
      <c r="O133" s="1857"/>
      <c r="P133" s="1857"/>
      <c r="Q133" s="1857"/>
      <c r="R133" s="1857"/>
      <c r="S133" s="1857"/>
    </row>
    <row r="134" spans="1:19" x14ac:dyDescent="0.2">
      <c r="A134" s="1857"/>
      <c r="B134" s="1857"/>
      <c r="C134" s="1857"/>
      <c r="D134" s="1857"/>
      <c r="E134" s="1857"/>
      <c r="F134" s="1857"/>
      <c r="G134" s="1857"/>
      <c r="H134" s="1857"/>
      <c r="I134" s="1857"/>
      <c r="J134" s="1857"/>
      <c r="K134" s="1857"/>
      <c r="L134" s="1857"/>
      <c r="M134" s="1857"/>
      <c r="N134" s="1857"/>
      <c r="O134" s="1857"/>
      <c r="P134" s="1857"/>
      <c r="Q134" s="1857"/>
      <c r="R134" s="1857"/>
      <c r="S134" s="1857"/>
    </row>
    <row r="135" spans="1:19" x14ac:dyDescent="0.2">
      <c r="A135" s="1857"/>
      <c r="B135" s="1857"/>
      <c r="C135" s="1857"/>
      <c r="D135" s="1857"/>
      <c r="E135" s="1857"/>
      <c r="F135" s="1857"/>
      <c r="G135" s="1857"/>
      <c r="H135" s="1857"/>
      <c r="I135" s="1857"/>
      <c r="J135" s="1857"/>
      <c r="K135" s="1857"/>
      <c r="L135" s="1857"/>
      <c r="M135" s="1857"/>
      <c r="N135" s="1857"/>
      <c r="O135" s="1857"/>
      <c r="P135" s="1857"/>
      <c r="Q135" s="1857"/>
      <c r="R135" s="1857"/>
      <c r="S135" s="1857"/>
    </row>
    <row r="136" spans="1:19" x14ac:dyDescent="0.2">
      <c r="A136" s="1857"/>
      <c r="B136" s="1857"/>
      <c r="C136" s="1857"/>
      <c r="D136" s="1857"/>
      <c r="E136" s="1857"/>
      <c r="F136" s="1857"/>
      <c r="G136" s="1857"/>
      <c r="H136" s="1857"/>
      <c r="I136" s="1857"/>
      <c r="J136" s="1857"/>
      <c r="K136" s="1857"/>
      <c r="L136" s="1857"/>
      <c r="M136" s="1857"/>
      <c r="N136" s="1857"/>
      <c r="O136" s="1857"/>
      <c r="P136" s="1857"/>
      <c r="Q136" s="1857"/>
      <c r="R136" s="1857"/>
      <c r="S136" s="1857"/>
    </row>
    <row r="137" spans="1:19" x14ac:dyDescent="0.2">
      <c r="A137" s="1857"/>
      <c r="B137" s="1857"/>
      <c r="C137" s="1857"/>
      <c r="D137" s="1857"/>
      <c r="E137" s="1857"/>
      <c r="F137" s="1857"/>
      <c r="G137" s="1857"/>
      <c r="H137" s="1857"/>
      <c r="I137" s="1857"/>
      <c r="J137" s="1857"/>
      <c r="K137" s="1857"/>
      <c r="L137" s="1857"/>
      <c r="M137" s="1857"/>
      <c r="N137" s="1857"/>
      <c r="O137" s="1857"/>
      <c r="P137" s="1857"/>
      <c r="Q137" s="1857"/>
      <c r="R137" s="1857"/>
      <c r="S137" s="1857"/>
    </row>
    <row r="138" spans="1:19" x14ac:dyDescent="0.2">
      <c r="A138" s="1857"/>
      <c r="B138" s="1857"/>
      <c r="C138" s="1857"/>
      <c r="D138" s="1857"/>
      <c r="E138" s="1857"/>
      <c r="F138" s="1857"/>
      <c r="G138" s="1857"/>
      <c r="H138" s="1857"/>
      <c r="I138" s="1857"/>
      <c r="J138" s="1857"/>
      <c r="K138" s="1857"/>
      <c r="L138" s="1857"/>
      <c r="M138" s="1857"/>
      <c r="N138" s="1857"/>
      <c r="O138" s="1857"/>
      <c r="P138" s="1857"/>
      <c r="Q138" s="1857"/>
      <c r="R138" s="1857"/>
      <c r="S138" s="1857"/>
    </row>
    <row r="139" spans="1:19" x14ac:dyDescent="0.2">
      <c r="A139" s="1857"/>
      <c r="B139" s="1857"/>
      <c r="C139" s="1857"/>
      <c r="D139" s="1857"/>
      <c r="E139" s="1857"/>
      <c r="F139" s="1857"/>
      <c r="G139" s="1857"/>
      <c r="H139" s="1857"/>
      <c r="I139" s="1857"/>
      <c r="J139" s="1857"/>
      <c r="K139" s="1857"/>
      <c r="L139" s="1857"/>
      <c r="M139" s="1857"/>
      <c r="N139" s="1857"/>
      <c r="O139" s="1857"/>
      <c r="P139" s="1857"/>
      <c r="Q139" s="1857"/>
      <c r="R139" s="1857"/>
      <c r="S139" s="1857"/>
    </row>
    <row r="140" spans="1:19" x14ac:dyDescent="0.2">
      <c r="A140" s="1857"/>
      <c r="B140" s="1857"/>
      <c r="C140" s="1857"/>
      <c r="D140" s="1857"/>
      <c r="E140" s="1857"/>
      <c r="F140" s="1857"/>
      <c r="G140" s="1857"/>
      <c r="H140" s="1857"/>
      <c r="I140" s="1857"/>
      <c r="J140" s="1857"/>
      <c r="K140" s="1857"/>
      <c r="L140" s="1857"/>
      <c r="M140" s="1857"/>
      <c r="N140" s="1857"/>
      <c r="O140" s="1857"/>
      <c r="P140" s="1857"/>
      <c r="Q140" s="1857"/>
      <c r="R140" s="1857"/>
      <c r="S140" s="1857"/>
    </row>
    <row r="141" spans="1:19" x14ac:dyDescent="0.2">
      <c r="A141" s="1857"/>
      <c r="B141" s="1857"/>
      <c r="C141" s="1857"/>
      <c r="D141" s="1857"/>
      <c r="E141" s="1857"/>
      <c r="F141" s="1857"/>
      <c r="G141" s="1857"/>
      <c r="H141" s="1857"/>
      <c r="I141" s="1857"/>
      <c r="J141" s="1857"/>
      <c r="K141" s="1857"/>
      <c r="L141" s="1857"/>
      <c r="M141" s="1857"/>
      <c r="N141" s="1857"/>
      <c r="O141" s="1857"/>
      <c r="P141" s="1857"/>
      <c r="Q141" s="1857"/>
      <c r="R141" s="1857"/>
      <c r="S141" s="1857"/>
    </row>
    <row r="142" spans="1:19" x14ac:dyDescent="0.2">
      <c r="A142" s="1857"/>
      <c r="B142" s="1857"/>
      <c r="C142" s="1857"/>
      <c r="D142" s="1857"/>
      <c r="E142" s="1857"/>
      <c r="F142" s="1857"/>
      <c r="G142" s="1857"/>
      <c r="H142" s="1857"/>
      <c r="I142" s="1857"/>
      <c r="J142" s="1857"/>
      <c r="K142" s="1857"/>
      <c r="L142" s="1857"/>
      <c r="M142" s="1857"/>
      <c r="N142" s="1857"/>
      <c r="O142" s="1857"/>
      <c r="P142" s="1857"/>
      <c r="Q142" s="1857"/>
      <c r="R142" s="1857"/>
      <c r="S142" s="1857"/>
    </row>
    <row r="143" spans="1:19" x14ac:dyDescent="0.2">
      <c r="A143" s="1857"/>
      <c r="B143" s="1857"/>
      <c r="C143" s="1857"/>
      <c r="D143" s="1857"/>
      <c r="E143" s="1857"/>
      <c r="F143" s="1857"/>
      <c r="G143" s="1857"/>
      <c r="H143" s="1857"/>
      <c r="I143" s="1857"/>
      <c r="J143" s="1857"/>
      <c r="K143" s="1857"/>
      <c r="L143" s="1857"/>
      <c r="M143" s="1857"/>
      <c r="N143" s="1857"/>
      <c r="O143" s="1857"/>
      <c r="P143" s="1857"/>
      <c r="Q143" s="1857"/>
      <c r="R143" s="1857"/>
      <c r="S143" s="1857"/>
    </row>
    <row r="144" spans="1:19" x14ac:dyDescent="0.2">
      <c r="A144" s="1857"/>
      <c r="B144" s="1857"/>
      <c r="C144" s="1857"/>
      <c r="D144" s="1857"/>
      <c r="E144" s="1857"/>
      <c r="F144" s="1857"/>
      <c r="G144" s="1857"/>
      <c r="H144" s="1857"/>
      <c r="I144" s="1857"/>
      <c r="J144" s="1857"/>
      <c r="K144" s="1857"/>
      <c r="L144" s="1857"/>
      <c r="M144" s="1857"/>
      <c r="N144" s="1857"/>
      <c r="O144" s="1857"/>
      <c r="P144" s="1857"/>
      <c r="Q144" s="1857"/>
      <c r="R144" s="1857"/>
      <c r="S144" s="1857"/>
    </row>
    <row r="145" spans="1:19" x14ac:dyDescent="0.2">
      <c r="A145" s="1857"/>
      <c r="B145" s="1857"/>
      <c r="C145" s="1857"/>
      <c r="D145" s="1857"/>
      <c r="E145" s="1857"/>
      <c r="F145" s="1857"/>
      <c r="G145" s="1857"/>
      <c r="H145" s="1857"/>
      <c r="I145" s="1857"/>
      <c r="J145" s="1857"/>
      <c r="K145" s="1857"/>
      <c r="L145" s="1857"/>
      <c r="M145" s="1857"/>
      <c r="N145" s="1857"/>
      <c r="O145" s="1857"/>
      <c r="P145" s="1857"/>
      <c r="Q145" s="1857"/>
      <c r="R145" s="1857"/>
      <c r="S145" s="1857"/>
    </row>
    <row r="146" spans="1:19" x14ac:dyDescent="0.2">
      <c r="A146" s="1857"/>
      <c r="B146" s="1857"/>
      <c r="C146" s="1857"/>
      <c r="D146" s="1857"/>
      <c r="E146" s="1857"/>
      <c r="F146" s="1857"/>
      <c r="G146" s="1857"/>
      <c r="H146" s="1857"/>
      <c r="I146" s="1857"/>
      <c r="J146" s="1857"/>
      <c r="K146" s="1857"/>
      <c r="L146" s="1857"/>
      <c r="M146" s="1857"/>
      <c r="N146" s="1857"/>
      <c r="O146" s="1857"/>
      <c r="P146" s="1857"/>
      <c r="Q146" s="1857"/>
      <c r="R146" s="1857"/>
      <c r="S146" s="1857"/>
    </row>
    <row r="147" spans="1:19" x14ac:dyDescent="0.2">
      <c r="A147" s="1857"/>
      <c r="B147" s="1857"/>
      <c r="C147" s="1857"/>
      <c r="D147" s="1857"/>
      <c r="E147" s="1857"/>
      <c r="F147" s="1857"/>
      <c r="G147" s="1857"/>
      <c r="H147" s="1857"/>
      <c r="I147" s="1857"/>
      <c r="J147" s="1857"/>
      <c r="K147" s="1857"/>
      <c r="L147" s="1857"/>
      <c r="M147" s="1857"/>
      <c r="N147" s="1857"/>
      <c r="O147" s="1857"/>
      <c r="P147" s="1857"/>
      <c r="Q147" s="1857"/>
      <c r="R147" s="1857"/>
      <c r="S147" s="1857"/>
    </row>
    <row r="148" spans="1:19" x14ac:dyDescent="0.2">
      <c r="A148" s="1857"/>
      <c r="B148" s="1857"/>
      <c r="C148" s="1857"/>
      <c r="D148" s="1857"/>
      <c r="E148" s="1857"/>
      <c r="F148" s="1857"/>
      <c r="G148" s="1857"/>
      <c r="H148" s="1857"/>
      <c r="I148" s="1857"/>
      <c r="J148" s="1857"/>
      <c r="K148" s="1857"/>
      <c r="L148" s="1857"/>
      <c r="M148" s="1857"/>
      <c r="N148" s="1857"/>
      <c r="O148" s="1857"/>
      <c r="P148" s="1857"/>
      <c r="Q148" s="1857"/>
      <c r="R148" s="1857"/>
      <c r="S148" s="1857"/>
    </row>
    <row r="149" spans="1:19" x14ac:dyDescent="0.2">
      <c r="A149" s="1857"/>
      <c r="B149" s="1857"/>
      <c r="C149" s="1857"/>
      <c r="D149" s="1857"/>
      <c r="E149" s="1857"/>
      <c r="F149" s="1857"/>
      <c r="G149" s="1857"/>
      <c r="H149" s="1857"/>
      <c r="I149" s="1857"/>
      <c r="J149" s="1857"/>
      <c r="K149" s="1857"/>
      <c r="L149" s="1857"/>
      <c r="M149" s="1857"/>
      <c r="N149" s="1857"/>
      <c r="O149" s="1857"/>
      <c r="P149" s="1857"/>
      <c r="Q149" s="1857"/>
      <c r="R149" s="1857"/>
      <c r="S149" s="1857"/>
    </row>
    <row r="150" spans="1:19" x14ac:dyDescent="0.2">
      <c r="A150" s="1857"/>
      <c r="B150" s="1857"/>
      <c r="C150" s="1857"/>
      <c r="D150" s="1857"/>
      <c r="E150" s="1857"/>
      <c r="F150" s="1857"/>
      <c r="G150" s="1857"/>
      <c r="H150" s="1857"/>
      <c r="I150" s="1857"/>
      <c r="J150" s="1857"/>
      <c r="K150" s="1857"/>
      <c r="L150" s="1857"/>
      <c r="M150" s="1857"/>
      <c r="N150" s="1857"/>
      <c r="O150" s="1857"/>
      <c r="P150" s="1857"/>
      <c r="Q150" s="1857"/>
      <c r="R150" s="1857"/>
      <c r="S150" s="1857"/>
    </row>
    <row r="151" spans="1:19" x14ac:dyDescent="0.2">
      <c r="A151" s="1857"/>
      <c r="B151" s="1857"/>
      <c r="C151" s="1857"/>
      <c r="D151" s="1857"/>
      <c r="E151" s="1857"/>
      <c r="F151" s="1857"/>
      <c r="G151" s="1857"/>
      <c r="H151" s="1857"/>
      <c r="I151" s="1857"/>
      <c r="J151" s="1857"/>
      <c r="K151" s="1857"/>
      <c r="L151" s="1857"/>
      <c r="M151" s="1857"/>
      <c r="N151" s="1857"/>
      <c r="O151" s="1857"/>
      <c r="P151" s="1857"/>
      <c r="Q151" s="1857"/>
      <c r="R151" s="1857"/>
      <c r="S151" s="1857"/>
    </row>
    <row r="152" spans="1:19" x14ac:dyDescent="0.2">
      <c r="A152" s="1857"/>
      <c r="B152" s="1857"/>
      <c r="C152" s="1857"/>
      <c r="D152" s="1857"/>
      <c r="E152" s="1857"/>
      <c r="F152" s="1857"/>
      <c r="G152" s="1857"/>
      <c r="H152" s="1857"/>
      <c r="I152" s="1857"/>
      <c r="J152" s="1857"/>
      <c r="K152" s="1857"/>
      <c r="L152" s="1857"/>
      <c r="M152" s="1857"/>
      <c r="N152" s="1857"/>
      <c r="O152" s="1857"/>
      <c r="P152" s="1857"/>
      <c r="Q152" s="1857"/>
      <c r="R152" s="1857"/>
      <c r="S152" s="1857"/>
    </row>
  </sheetData>
  <mergeCells count="141">
    <mergeCell ref="A143:K143"/>
    <mergeCell ref="L143:S143"/>
    <mergeCell ref="A144:K144"/>
    <mergeCell ref="L144:S144"/>
    <mergeCell ref="A145:K145"/>
    <mergeCell ref="L145:S145"/>
    <mergeCell ref="A140:K140"/>
    <mergeCell ref="L140:S140"/>
    <mergeCell ref="A141:K141"/>
    <mergeCell ref="L141:S141"/>
    <mergeCell ref="A142:K142"/>
    <mergeCell ref="L142:S142"/>
    <mergeCell ref="A152:K152"/>
    <mergeCell ref="L152:S152"/>
    <mergeCell ref="A149:K149"/>
    <mergeCell ref="L149:S149"/>
    <mergeCell ref="A150:K150"/>
    <mergeCell ref="L150:S150"/>
    <mergeCell ref="A151:K151"/>
    <mergeCell ref="L151:S151"/>
    <mergeCell ref="A146:K146"/>
    <mergeCell ref="L146:S146"/>
    <mergeCell ref="A147:K147"/>
    <mergeCell ref="L147:S147"/>
    <mergeCell ref="A148:K148"/>
    <mergeCell ref="L148:S148"/>
    <mergeCell ref="A137:K137"/>
    <mergeCell ref="L137:S137"/>
    <mergeCell ref="A138:K138"/>
    <mergeCell ref="L138:S138"/>
    <mergeCell ref="A139:K139"/>
    <mergeCell ref="L139:S139"/>
    <mergeCell ref="A134:K134"/>
    <mergeCell ref="L134:S134"/>
    <mergeCell ref="A135:K135"/>
    <mergeCell ref="L135:S135"/>
    <mergeCell ref="A136:K136"/>
    <mergeCell ref="L136:S136"/>
    <mergeCell ref="A131:K131"/>
    <mergeCell ref="L131:S131"/>
    <mergeCell ref="A132:K132"/>
    <mergeCell ref="L132:S132"/>
    <mergeCell ref="A133:K133"/>
    <mergeCell ref="L133:S133"/>
    <mergeCell ref="A128:K128"/>
    <mergeCell ref="L128:S128"/>
    <mergeCell ref="A129:K129"/>
    <mergeCell ref="L129:S129"/>
    <mergeCell ref="A130:K130"/>
    <mergeCell ref="L130:S130"/>
    <mergeCell ref="A125:K125"/>
    <mergeCell ref="L125:S125"/>
    <mergeCell ref="A126:K126"/>
    <mergeCell ref="L126:S126"/>
    <mergeCell ref="A127:K127"/>
    <mergeCell ref="L127:S127"/>
    <mergeCell ref="A122:K122"/>
    <mergeCell ref="L122:S122"/>
    <mergeCell ref="A123:K123"/>
    <mergeCell ref="L123:S123"/>
    <mergeCell ref="A124:K124"/>
    <mergeCell ref="L124:S124"/>
    <mergeCell ref="L119:S119"/>
    <mergeCell ref="A120:K120"/>
    <mergeCell ref="L120:S120"/>
    <mergeCell ref="A121:K121"/>
    <mergeCell ref="L121:S121"/>
    <mergeCell ref="L117:S117"/>
    <mergeCell ref="A118:K118"/>
    <mergeCell ref="L118:S118"/>
    <mergeCell ref="A115:K115"/>
    <mergeCell ref="L115:S115"/>
    <mergeCell ref="A112:K112"/>
    <mergeCell ref="L112:S112"/>
    <mergeCell ref="A113:K113"/>
    <mergeCell ref="L113:S113"/>
    <mergeCell ref="A117:K117"/>
    <mergeCell ref="L111:S111"/>
    <mergeCell ref="A106:K106"/>
    <mergeCell ref="L106:S106"/>
    <mergeCell ref="A107:K107"/>
    <mergeCell ref="L107:S107"/>
    <mergeCell ref="A108:K108"/>
    <mergeCell ref="L108:S108"/>
    <mergeCell ref="A116:K116"/>
    <mergeCell ref="L116:S116"/>
    <mergeCell ref="A97:K97"/>
    <mergeCell ref="L97:S97"/>
    <mergeCell ref="A114:K114"/>
    <mergeCell ref="L114:S114"/>
    <mergeCell ref="L101:S101"/>
    <mergeCell ref="A101:K101"/>
    <mergeCell ref="L102:S102"/>
    <mergeCell ref="A103:K103"/>
    <mergeCell ref="L103:S103"/>
    <mergeCell ref="A104:K104"/>
    <mergeCell ref="L104:S104"/>
    <mergeCell ref="A105:K105"/>
    <mergeCell ref="L105:S105"/>
    <mergeCell ref="A98:K98"/>
    <mergeCell ref="L98:S98"/>
    <mergeCell ref="A99:K99"/>
    <mergeCell ref="L99:S99"/>
    <mergeCell ref="A100:K100"/>
    <mergeCell ref="L100:S100"/>
    <mergeCell ref="A109:K109"/>
    <mergeCell ref="L109:S109"/>
    <mergeCell ref="A110:K110"/>
    <mergeCell ref="L110:S110"/>
    <mergeCell ref="A111:K111"/>
    <mergeCell ref="A82:K84"/>
    <mergeCell ref="L82:S84"/>
    <mergeCell ref="A88:K90"/>
    <mergeCell ref="L88:S90"/>
    <mergeCell ref="E18:G18"/>
    <mergeCell ref="E19:G19"/>
    <mergeCell ref="A34:K36"/>
    <mergeCell ref="A96:K96"/>
    <mergeCell ref="L96:S96"/>
    <mergeCell ref="A68:K70"/>
    <mergeCell ref="L68:S70"/>
    <mergeCell ref="A71:K71"/>
    <mergeCell ref="L71:S71"/>
    <mergeCell ref="A76:K78"/>
    <mergeCell ref="L76:S78"/>
    <mergeCell ref="A64:K64"/>
    <mergeCell ref="L64:S64"/>
    <mergeCell ref="A94:S94"/>
    <mergeCell ref="A1:K1"/>
    <mergeCell ref="A2:K2"/>
    <mergeCell ref="A40:K42"/>
    <mergeCell ref="A54:K56"/>
    <mergeCell ref="L54:S56"/>
    <mergeCell ref="A57:K57"/>
    <mergeCell ref="L57:S57"/>
    <mergeCell ref="A51:S51"/>
    <mergeCell ref="A61:K63"/>
    <mergeCell ref="L61:S63"/>
    <mergeCell ref="A8:K10"/>
    <mergeCell ref="A11:K13"/>
    <mergeCell ref="A14:K16"/>
  </mergeCells>
  <pageMargins left="0.11811023622047245" right="0.11811023622047245" top="0" bottom="0.15748031496062992" header="0.31496062992125984" footer="0.31496062992125984"/>
  <pageSetup scale="6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Q65"/>
  <sheetViews>
    <sheetView showGridLines="0" zoomScale="90" zoomScaleNormal="90" workbookViewId="0">
      <selection activeCell="A8" sqref="A8"/>
    </sheetView>
  </sheetViews>
  <sheetFormatPr defaultRowHeight="12.75" x14ac:dyDescent="0.2"/>
  <cols>
    <col min="1" max="1" width="4" style="216" customWidth="1"/>
    <col min="2" max="2" width="9.140625" style="216"/>
    <col min="3" max="3" width="44.7109375" style="216" bestFit="1" customWidth="1"/>
    <col min="4" max="4" width="14.85546875" style="810" bestFit="1" customWidth="1"/>
    <col min="5" max="6" width="13.28515625" style="810" bestFit="1" customWidth="1"/>
    <col min="7" max="7" width="12.140625" style="810" bestFit="1" customWidth="1"/>
    <col min="8" max="8" width="19.42578125" style="810" customWidth="1"/>
    <col min="9" max="9" width="7.7109375" style="820" customWidth="1"/>
    <col min="10" max="10" width="12.28515625" style="216" customWidth="1"/>
    <col min="11" max="11" width="12.7109375" style="810" customWidth="1"/>
    <col min="12" max="12" width="17.28515625" style="810" customWidth="1"/>
    <col min="13" max="13" width="11.85546875" style="810" customWidth="1"/>
    <col min="14" max="15" width="9.140625" style="216"/>
    <col min="16" max="16" width="12.140625" style="216" bestFit="1" customWidth="1"/>
    <col min="17" max="258" width="9.140625" style="216"/>
    <col min="259" max="259" width="2.7109375" style="216" customWidth="1"/>
    <col min="260" max="260" width="9.140625" style="216"/>
    <col min="261" max="261" width="40.28515625" style="216" bestFit="1" customWidth="1"/>
    <col min="262" max="262" width="12.85546875" style="216" customWidth="1"/>
    <col min="263" max="263" width="10" style="216" customWidth="1"/>
    <col min="264" max="264" width="19.42578125" style="216" customWidth="1"/>
    <col min="265" max="265" width="7.7109375" style="216" customWidth="1"/>
    <col min="266" max="266" width="12.28515625" style="216" customWidth="1"/>
    <col min="267" max="267" width="12.7109375" style="216" customWidth="1"/>
    <col min="268" max="268" width="13.5703125" style="216" customWidth="1"/>
    <col min="269" max="269" width="11.85546875" style="216" customWidth="1"/>
    <col min="270" max="514" width="9.140625" style="216"/>
    <col min="515" max="515" width="2.7109375" style="216" customWidth="1"/>
    <col min="516" max="516" width="9.140625" style="216"/>
    <col min="517" max="517" width="40.28515625" style="216" bestFit="1" customWidth="1"/>
    <col min="518" max="518" width="12.85546875" style="216" customWidth="1"/>
    <col min="519" max="519" width="10" style="216" customWidth="1"/>
    <col min="520" max="520" width="19.42578125" style="216" customWidth="1"/>
    <col min="521" max="521" width="7.7109375" style="216" customWidth="1"/>
    <col min="522" max="522" width="12.28515625" style="216" customWidth="1"/>
    <col min="523" max="523" width="12.7109375" style="216" customWidth="1"/>
    <col min="524" max="524" width="13.5703125" style="216" customWidth="1"/>
    <col min="525" max="525" width="11.85546875" style="216" customWidth="1"/>
    <col min="526" max="770" width="9.140625" style="216"/>
    <col min="771" max="771" width="2.7109375" style="216" customWidth="1"/>
    <col min="772" max="772" width="9.140625" style="216"/>
    <col min="773" max="773" width="40.28515625" style="216" bestFit="1" customWidth="1"/>
    <col min="774" max="774" width="12.85546875" style="216" customWidth="1"/>
    <col min="775" max="775" width="10" style="216" customWidth="1"/>
    <col min="776" max="776" width="19.42578125" style="216" customWidth="1"/>
    <col min="777" max="777" width="7.7109375" style="216" customWidth="1"/>
    <col min="778" max="778" width="12.28515625" style="216" customWidth="1"/>
    <col min="779" max="779" width="12.7109375" style="216" customWidth="1"/>
    <col min="780" max="780" width="13.5703125" style="216" customWidth="1"/>
    <col min="781" max="781" width="11.85546875" style="216" customWidth="1"/>
    <col min="782" max="1026" width="9.140625" style="216"/>
    <col min="1027" max="1027" width="2.7109375" style="216" customWidth="1"/>
    <col min="1028" max="1028" width="9.140625" style="216"/>
    <col min="1029" max="1029" width="40.28515625" style="216" bestFit="1" customWidth="1"/>
    <col min="1030" max="1030" width="12.85546875" style="216" customWidth="1"/>
    <col min="1031" max="1031" width="10" style="216" customWidth="1"/>
    <col min="1032" max="1032" width="19.42578125" style="216" customWidth="1"/>
    <col min="1033" max="1033" width="7.7109375" style="216" customWidth="1"/>
    <col min="1034" max="1034" width="12.28515625" style="216" customWidth="1"/>
    <col min="1035" max="1035" width="12.7109375" style="216" customWidth="1"/>
    <col min="1036" max="1036" width="13.5703125" style="216" customWidth="1"/>
    <col min="1037" max="1037" width="11.85546875" style="216" customWidth="1"/>
    <col min="1038" max="1282" width="9.140625" style="216"/>
    <col min="1283" max="1283" width="2.7109375" style="216" customWidth="1"/>
    <col min="1284" max="1284" width="9.140625" style="216"/>
    <col min="1285" max="1285" width="40.28515625" style="216" bestFit="1" customWidth="1"/>
    <col min="1286" max="1286" width="12.85546875" style="216" customWidth="1"/>
    <col min="1287" max="1287" width="10" style="216" customWidth="1"/>
    <col min="1288" max="1288" width="19.42578125" style="216" customWidth="1"/>
    <col min="1289" max="1289" width="7.7109375" style="216" customWidth="1"/>
    <col min="1290" max="1290" width="12.28515625" style="216" customWidth="1"/>
    <col min="1291" max="1291" width="12.7109375" style="216" customWidth="1"/>
    <col min="1292" max="1292" width="13.5703125" style="216" customWidth="1"/>
    <col min="1293" max="1293" width="11.85546875" style="216" customWidth="1"/>
    <col min="1294" max="1538" width="9.140625" style="216"/>
    <col min="1539" max="1539" width="2.7109375" style="216" customWidth="1"/>
    <col min="1540" max="1540" width="9.140625" style="216"/>
    <col min="1541" max="1541" width="40.28515625" style="216" bestFit="1" customWidth="1"/>
    <col min="1542" max="1542" width="12.85546875" style="216" customWidth="1"/>
    <col min="1543" max="1543" width="10" style="216" customWidth="1"/>
    <col min="1544" max="1544" width="19.42578125" style="216" customWidth="1"/>
    <col min="1545" max="1545" width="7.7109375" style="216" customWidth="1"/>
    <col min="1546" max="1546" width="12.28515625" style="216" customWidth="1"/>
    <col min="1547" max="1547" width="12.7109375" style="216" customWidth="1"/>
    <col min="1548" max="1548" width="13.5703125" style="216" customWidth="1"/>
    <col min="1549" max="1549" width="11.85546875" style="216" customWidth="1"/>
    <col min="1550" max="1794" width="9.140625" style="216"/>
    <col min="1795" max="1795" width="2.7109375" style="216" customWidth="1"/>
    <col min="1796" max="1796" width="9.140625" style="216"/>
    <col min="1797" max="1797" width="40.28515625" style="216" bestFit="1" customWidth="1"/>
    <col min="1798" max="1798" width="12.85546875" style="216" customWidth="1"/>
    <col min="1799" max="1799" width="10" style="216" customWidth="1"/>
    <col min="1800" max="1800" width="19.42578125" style="216" customWidth="1"/>
    <col min="1801" max="1801" width="7.7109375" style="216" customWidth="1"/>
    <col min="1802" max="1802" width="12.28515625" style="216" customWidth="1"/>
    <col min="1803" max="1803" width="12.7109375" style="216" customWidth="1"/>
    <col min="1804" max="1804" width="13.5703125" style="216" customWidth="1"/>
    <col min="1805" max="1805" width="11.85546875" style="216" customWidth="1"/>
    <col min="1806" max="2050" width="9.140625" style="216"/>
    <col min="2051" max="2051" width="2.7109375" style="216" customWidth="1"/>
    <col min="2052" max="2052" width="9.140625" style="216"/>
    <col min="2053" max="2053" width="40.28515625" style="216" bestFit="1" customWidth="1"/>
    <col min="2054" max="2054" width="12.85546875" style="216" customWidth="1"/>
    <col min="2055" max="2055" width="10" style="216" customWidth="1"/>
    <col min="2056" max="2056" width="19.42578125" style="216" customWidth="1"/>
    <col min="2057" max="2057" width="7.7109375" style="216" customWidth="1"/>
    <col min="2058" max="2058" width="12.28515625" style="216" customWidth="1"/>
    <col min="2059" max="2059" width="12.7109375" style="216" customWidth="1"/>
    <col min="2060" max="2060" width="13.5703125" style="216" customWidth="1"/>
    <col min="2061" max="2061" width="11.85546875" style="216" customWidth="1"/>
    <col min="2062" max="2306" width="9.140625" style="216"/>
    <col min="2307" max="2307" width="2.7109375" style="216" customWidth="1"/>
    <col min="2308" max="2308" width="9.140625" style="216"/>
    <col min="2309" max="2309" width="40.28515625" style="216" bestFit="1" customWidth="1"/>
    <col min="2310" max="2310" width="12.85546875" style="216" customWidth="1"/>
    <col min="2311" max="2311" width="10" style="216" customWidth="1"/>
    <col min="2312" max="2312" width="19.42578125" style="216" customWidth="1"/>
    <col min="2313" max="2313" width="7.7109375" style="216" customWidth="1"/>
    <col min="2314" max="2314" width="12.28515625" style="216" customWidth="1"/>
    <col min="2315" max="2315" width="12.7109375" style="216" customWidth="1"/>
    <col min="2316" max="2316" width="13.5703125" style="216" customWidth="1"/>
    <col min="2317" max="2317" width="11.85546875" style="216" customWidth="1"/>
    <col min="2318" max="2562" width="9.140625" style="216"/>
    <col min="2563" max="2563" width="2.7109375" style="216" customWidth="1"/>
    <col min="2564" max="2564" width="9.140625" style="216"/>
    <col min="2565" max="2565" width="40.28515625" style="216" bestFit="1" customWidth="1"/>
    <col min="2566" max="2566" width="12.85546875" style="216" customWidth="1"/>
    <col min="2567" max="2567" width="10" style="216" customWidth="1"/>
    <col min="2568" max="2568" width="19.42578125" style="216" customWidth="1"/>
    <col min="2569" max="2569" width="7.7109375" style="216" customWidth="1"/>
    <col min="2570" max="2570" width="12.28515625" style="216" customWidth="1"/>
    <col min="2571" max="2571" width="12.7109375" style="216" customWidth="1"/>
    <col min="2572" max="2572" width="13.5703125" style="216" customWidth="1"/>
    <col min="2573" max="2573" width="11.85546875" style="216" customWidth="1"/>
    <col min="2574" max="2818" width="9.140625" style="216"/>
    <col min="2819" max="2819" width="2.7109375" style="216" customWidth="1"/>
    <col min="2820" max="2820" width="9.140625" style="216"/>
    <col min="2821" max="2821" width="40.28515625" style="216" bestFit="1" customWidth="1"/>
    <col min="2822" max="2822" width="12.85546875" style="216" customWidth="1"/>
    <col min="2823" max="2823" width="10" style="216" customWidth="1"/>
    <col min="2824" max="2824" width="19.42578125" style="216" customWidth="1"/>
    <col min="2825" max="2825" width="7.7109375" style="216" customWidth="1"/>
    <col min="2826" max="2826" width="12.28515625" style="216" customWidth="1"/>
    <col min="2827" max="2827" width="12.7109375" style="216" customWidth="1"/>
    <col min="2828" max="2828" width="13.5703125" style="216" customWidth="1"/>
    <col min="2829" max="2829" width="11.85546875" style="216" customWidth="1"/>
    <col min="2830" max="3074" width="9.140625" style="216"/>
    <col min="3075" max="3075" width="2.7109375" style="216" customWidth="1"/>
    <col min="3076" max="3076" width="9.140625" style="216"/>
    <col min="3077" max="3077" width="40.28515625" style="216" bestFit="1" customWidth="1"/>
    <col min="3078" max="3078" width="12.85546875" style="216" customWidth="1"/>
    <col min="3079" max="3079" width="10" style="216" customWidth="1"/>
    <col min="3080" max="3080" width="19.42578125" style="216" customWidth="1"/>
    <col min="3081" max="3081" width="7.7109375" style="216" customWidth="1"/>
    <col min="3082" max="3082" width="12.28515625" style="216" customWidth="1"/>
    <col min="3083" max="3083" width="12.7109375" style="216" customWidth="1"/>
    <col min="3084" max="3084" width="13.5703125" style="216" customWidth="1"/>
    <col min="3085" max="3085" width="11.85546875" style="216" customWidth="1"/>
    <col min="3086" max="3330" width="9.140625" style="216"/>
    <col min="3331" max="3331" width="2.7109375" style="216" customWidth="1"/>
    <col min="3332" max="3332" width="9.140625" style="216"/>
    <col min="3333" max="3333" width="40.28515625" style="216" bestFit="1" customWidth="1"/>
    <col min="3334" max="3334" width="12.85546875" style="216" customWidth="1"/>
    <col min="3335" max="3335" width="10" style="216" customWidth="1"/>
    <col min="3336" max="3336" width="19.42578125" style="216" customWidth="1"/>
    <col min="3337" max="3337" width="7.7109375" style="216" customWidth="1"/>
    <col min="3338" max="3338" width="12.28515625" style="216" customWidth="1"/>
    <col min="3339" max="3339" width="12.7109375" style="216" customWidth="1"/>
    <col min="3340" max="3340" width="13.5703125" style="216" customWidth="1"/>
    <col min="3341" max="3341" width="11.85546875" style="216" customWidth="1"/>
    <col min="3342" max="3586" width="9.140625" style="216"/>
    <col min="3587" max="3587" width="2.7109375" style="216" customWidth="1"/>
    <col min="3588" max="3588" width="9.140625" style="216"/>
    <col min="3589" max="3589" width="40.28515625" style="216" bestFit="1" customWidth="1"/>
    <col min="3590" max="3590" width="12.85546875" style="216" customWidth="1"/>
    <col min="3591" max="3591" width="10" style="216" customWidth="1"/>
    <col min="3592" max="3592" width="19.42578125" style="216" customWidth="1"/>
    <col min="3593" max="3593" width="7.7109375" style="216" customWidth="1"/>
    <col min="3594" max="3594" width="12.28515625" style="216" customWidth="1"/>
    <col min="3595" max="3595" width="12.7109375" style="216" customWidth="1"/>
    <col min="3596" max="3596" width="13.5703125" style="216" customWidth="1"/>
    <col min="3597" max="3597" width="11.85546875" style="216" customWidth="1"/>
    <col min="3598" max="3842" width="9.140625" style="216"/>
    <col min="3843" max="3843" width="2.7109375" style="216" customWidth="1"/>
    <col min="3844" max="3844" width="9.140625" style="216"/>
    <col min="3845" max="3845" width="40.28515625" style="216" bestFit="1" customWidth="1"/>
    <col min="3846" max="3846" width="12.85546875" style="216" customWidth="1"/>
    <col min="3847" max="3847" width="10" style="216" customWidth="1"/>
    <col min="3848" max="3848" width="19.42578125" style="216" customWidth="1"/>
    <col min="3849" max="3849" width="7.7109375" style="216" customWidth="1"/>
    <col min="3850" max="3850" width="12.28515625" style="216" customWidth="1"/>
    <col min="3851" max="3851" width="12.7109375" style="216" customWidth="1"/>
    <col min="3852" max="3852" width="13.5703125" style="216" customWidth="1"/>
    <col min="3853" max="3853" width="11.85546875" style="216" customWidth="1"/>
    <col min="3854" max="4098" width="9.140625" style="216"/>
    <col min="4099" max="4099" width="2.7109375" style="216" customWidth="1"/>
    <col min="4100" max="4100" width="9.140625" style="216"/>
    <col min="4101" max="4101" width="40.28515625" style="216" bestFit="1" customWidth="1"/>
    <col min="4102" max="4102" width="12.85546875" style="216" customWidth="1"/>
    <col min="4103" max="4103" width="10" style="216" customWidth="1"/>
    <col min="4104" max="4104" width="19.42578125" style="216" customWidth="1"/>
    <col min="4105" max="4105" width="7.7109375" style="216" customWidth="1"/>
    <col min="4106" max="4106" width="12.28515625" style="216" customWidth="1"/>
    <col min="4107" max="4107" width="12.7109375" style="216" customWidth="1"/>
    <col min="4108" max="4108" width="13.5703125" style="216" customWidth="1"/>
    <col min="4109" max="4109" width="11.85546875" style="216" customWidth="1"/>
    <col min="4110" max="4354" width="9.140625" style="216"/>
    <col min="4355" max="4355" width="2.7109375" style="216" customWidth="1"/>
    <col min="4356" max="4356" width="9.140625" style="216"/>
    <col min="4357" max="4357" width="40.28515625" style="216" bestFit="1" customWidth="1"/>
    <col min="4358" max="4358" width="12.85546875" style="216" customWidth="1"/>
    <col min="4359" max="4359" width="10" style="216" customWidth="1"/>
    <col min="4360" max="4360" width="19.42578125" style="216" customWidth="1"/>
    <col min="4361" max="4361" width="7.7109375" style="216" customWidth="1"/>
    <col min="4362" max="4362" width="12.28515625" style="216" customWidth="1"/>
    <col min="4363" max="4363" width="12.7109375" style="216" customWidth="1"/>
    <col min="4364" max="4364" width="13.5703125" style="216" customWidth="1"/>
    <col min="4365" max="4365" width="11.85546875" style="216" customWidth="1"/>
    <col min="4366" max="4610" width="9.140625" style="216"/>
    <col min="4611" max="4611" width="2.7109375" style="216" customWidth="1"/>
    <col min="4612" max="4612" width="9.140625" style="216"/>
    <col min="4613" max="4613" width="40.28515625" style="216" bestFit="1" customWidth="1"/>
    <col min="4614" max="4614" width="12.85546875" style="216" customWidth="1"/>
    <col min="4615" max="4615" width="10" style="216" customWidth="1"/>
    <col min="4616" max="4616" width="19.42578125" style="216" customWidth="1"/>
    <col min="4617" max="4617" width="7.7109375" style="216" customWidth="1"/>
    <col min="4618" max="4618" width="12.28515625" style="216" customWidth="1"/>
    <col min="4619" max="4619" width="12.7109375" style="216" customWidth="1"/>
    <col min="4620" max="4620" width="13.5703125" style="216" customWidth="1"/>
    <col min="4621" max="4621" width="11.85546875" style="216" customWidth="1"/>
    <col min="4622" max="4866" width="9.140625" style="216"/>
    <col min="4867" max="4867" width="2.7109375" style="216" customWidth="1"/>
    <col min="4868" max="4868" width="9.140625" style="216"/>
    <col min="4869" max="4869" width="40.28515625" style="216" bestFit="1" customWidth="1"/>
    <col min="4870" max="4870" width="12.85546875" style="216" customWidth="1"/>
    <col min="4871" max="4871" width="10" style="216" customWidth="1"/>
    <col min="4872" max="4872" width="19.42578125" style="216" customWidth="1"/>
    <col min="4873" max="4873" width="7.7109375" style="216" customWidth="1"/>
    <col min="4874" max="4874" width="12.28515625" style="216" customWidth="1"/>
    <col min="4875" max="4875" width="12.7109375" style="216" customWidth="1"/>
    <col min="4876" max="4876" width="13.5703125" style="216" customWidth="1"/>
    <col min="4877" max="4877" width="11.85546875" style="216" customWidth="1"/>
    <col min="4878" max="5122" width="9.140625" style="216"/>
    <col min="5123" max="5123" width="2.7109375" style="216" customWidth="1"/>
    <col min="5124" max="5124" width="9.140625" style="216"/>
    <col min="5125" max="5125" width="40.28515625" style="216" bestFit="1" customWidth="1"/>
    <col min="5126" max="5126" width="12.85546875" style="216" customWidth="1"/>
    <col min="5127" max="5127" width="10" style="216" customWidth="1"/>
    <col min="5128" max="5128" width="19.42578125" style="216" customWidth="1"/>
    <col min="5129" max="5129" width="7.7109375" style="216" customWidth="1"/>
    <col min="5130" max="5130" width="12.28515625" style="216" customWidth="1"/>
    <col min="5131" max="5131" width="12.7109375" style="216" customWidth="1"/>
    <col min="5132" max="5132" width="13.5703125" style="216" customWidth="1"/>
    <col min="5133" max="5133" width="11.85546875" style="216" customWidth="1"/>
    <col min="5134" max="5378" width="9.140625" style="216"/>
    <col min="5379" max="5379" width="2.7109375" style="216" customWidth="1"/>
    <col min="5380" max="5380" width="9.140625" style="216"/>
    <col min="5381" max="5381" width="40.28515625" style="216" bestFit="1" customWidth="1"/>
    <col min="5382" max="5382" width="12.85546875" style="216" customWidth="1"/>
    <col min="5383" max="5383" width="10" style="216" customWidth="1"/>
    <col min="5384" max="5384" width="19.42578125" style="216" customWidth="1"/>
    <col min="5385" max="5385" width="7.7109375" style="216" customWidth="1"/>
    <col min="5386" max="5386" width="12.28515625" style="216" customWidth="1"/>
    <col min="5387" max="5387" width="12.7109375" style="216" customWidth="1"/>
    <col min="5388" max="5388" width="13.5703125" style="216" customWidth="1"/>
    <col min="5389" max="5389" width="11.85546875" style="216" customWidth="1"/>
    <col min="5390" max="5634" width="9.140625" style="216"/>
    <col min="5635" max="5635" width="2.7109375" style="216" customWidth="1"/>
    <col min="5636" max="5636" width="9.140625" style="216"/>
    <col min="5637" max="5637" width="40.28515625" style="216" bestFit="1" customWidth="1"/>
    <col min="5638" max="5638" width="12.85546875" style="216" customWidth="1"/>
    <col min="5639" max="5639" width="10" style="216" customWidth="1"/>
    <col min="5640" max="5640" width="19.42578125" style="216" customWidth="1"/>
    <col min="5641" max="5641" width="7.7109375" style="216" customWidth="1"/>
    <col min="5642" max="5642" width="12.28515625" style="216" customWidth="1"/>
    <col min="5643" max="5643" width="12.7109375" style="216" customWidth="1"/>
    <col min="5644" max="5644" width="13.5703125" style="216" customWidth="1"/>
    <col min="5645" max="5645" width="11.85546875" style="216" customWidth="1"/>
    <col min="5646" max="5890" width="9.140625" style="216"/>
    <col min="5891" max="5891" width="2.7109375" style="216" customWidth="1"/>
    <col min="5892" max="5892" width="9.140625" style="216"/>
    <col min="5893" max="5893" width="40.28515625" style="216" bestFit="1" customWidth="1"/>
    <col min="5894" max="5894" width="12.85546875" style="216" customWidth="1"/>
    <col min="5895" max="5895" width="10" style="216" customWidth="1"/>
    <col min="5896" max="5896" width="19.42578125" style="216" customWidth="1"/>
    <col min="5897" max="5897" width="7.7109375" style="216" customWidth="1"/>
    <col min="5898" max="5898" width="12.28515625" style="216" customWidth="1"/>
    <col min="5899" max="5899" width="12.7109375" style="216" customWidth="1"/>
    <col min="5900" max="5900" width="13.5703125" style="216" customWidth="1"/>
    <col min="5901" max="5901" width="11.85546875" style="216" customWidth="1"/>
    <col min="5902" max="6146" width="9.140625" style="216"/>
    <col min="6147" max="6147" width="2.7109375" style="216" customWidth="1"/>
    <col min="6148" max="6148" width="9.140625" style="216"/>
    <col min="6149" max="6149" width="40.28515625" style="216" bestFit="1" customWidth="1"/>
    <col min="6150" max="6150" width="12.85546875" style="216" customWidth="1"/>
    <col min="6151" max="6151" width="10" style="216" customWidth="1"/>
    <col min="6152" max="6152" width="19.42578125" style="216" customWidth="1"/>
    <col min="6153" max="6153" width="7.7109375" style="216" customWidth="1"/>
    <col min="6154" max="6154" width="12.28515625" style="216" customWidth="1"/>
    <col min="6155" max="6155" width="12.7109375" style="216" customWidth="1"/>
    <col min="6156" max="6156" width="13.5703125" style="216" customWidth="1"/>
    <col min="6157" max="6157" width="11.85546875" style="216" customWidth="1"/>
    <col min="6158" max="6402" width="9.140625" style="216"/>
    <col min="6403" max="6403" width="2.7109375" style="216" customWidth="1"/>
    <col min="6404" max="6404" width="9.140625" style="216"/>
    <col min="6405" max="6405" width="40.28515625" style="216" bestFit="1" customWidth="1"/>
    <col min="6406" max="6406" width="12.85546875" style="216" customWidth="1"/>
    <col min="6407" max="6407" width="10" style="216" customWidth="1"/>
    <col min="6408" max="6408" width="19.42578125" style="216" customWidth="1"/>
    <col min="6409" max="6409" width="7.7109375" style="216" customWidth="1"/>
    <col min="6410" max="6410" width="12.28515625" style="216" customWidth="1"/>
    <col min="6411" max="6411" width="12.7109375" style="216" customWidth="1"/>
    <col min="6412" max="6412" width="13.5703125" style="216" customWidth="1"/>
    <col min="6413" max="6413" width="11.85546875" style="216" customWidth="1"/>
    <col min="6414" max="6658" width="9.140625" style="216"/>
    <col min="6659" max="6659" width="2.7109375" style="216" customWidth="1"/>
    <col min="6660" max="6660" width="9.140625" style="216"/>
    <col min="6661" max="6661" width="40.28515625" style="216" bestFit="1" customWidth="1"/>
    <col min="6662" max="6662" width="12.85546875" style="216" customWidth="1"/>
    <col min="6663" max="6663" width="10" style="216" customWidth="1"/>
    <col min="6664" max="6664" width="19.42578125" style="216" customWidth="1"/>
    <col min="6665" max="6665" width="7.7109375" style="216" customWidth="1"/>
    <col min="6666" max="6666" width="12.28515625" style="216" customWidth="1"/>
    <col min="6667" max="6667" width="12.7109375" style="216" customWidth="1"/>
    <col min="6668" max="6668" width="13.5703125" style="216" customWidth="1"/>
    <col min="6669" max="6669" width="11.85546875" style="216" customWidth="1"/>
    <col min="6670" max="6914" width="9.140625" style="216"/>
    <col min="6915" max="6915" width="2.7109375" style="216" customWidth="1"/>
    <col min="6916" max="6916" width="9.140625" style="216"/>
    <col min="6917" max="6917" width="40.28515625" style="216" bestFit="1" customWidth="1"/>
    <col min="6918" max="6918" width="12.85546875" style="216" customWidth="1"/>
    <col min="6919" max="6919" width="10" style="216" customWidth="1"/>
    <col min="6920" max="6920" width="19.42578125" style="216" customWidth="1"/>
    <col min="6921" max="6921" width="7.7109375" style="216" customWidth="1"/>
    <col min="6922" max="6922" width="12.28515625" style="216" customWidth="1"/>
    <col min="6923" max="6923" width="12.7109375" style="216" customWidth="1"/>
    <col min="6924" max="6924" width="13.5703125" style="216" customWidth="1"/>
    <col min="6925" max="6925" width="11.85546875" style="216" customWidth="1"/>
    <col min="6926" max="7170" width="9.140625" style="216"/>
    <col min="7171" max="7171" width="2.7109375" style="216" customWidth="1"/>
    <col min="7172" max="7172" width="9.140625" style="216"/>
    <col min="7173" max="7173" width="40.28515625" style="216" bestFit="1" customWidth="1"/>
    <col min="7174" max="7174" width="12.85546875" style="216" customWidth="1"/>
    <col min="7175" max="7175" width="10" style="216" customWidth="1"/>
    <col min="7176" max="7176" width="19.42578125" style="216" customWidth="1"/>
    <col min="7177" max="7177" width="7.7109375" style="216" customWidth="1"/>
    <col min="7178" max="7178" width="12.28515625" style="216" customWidth="1"/>
    <col min="7179" max="7179" width="12.7109375" style="216" customWidth="1"/>
    <col min="7180" max="7180" width="13.5703125" style="216" customWidth="1"/>
    <col min="7181" max="7181" width="11.85546875" style="216" customWidth="1"/>
    <col min="7182" max="7426" width="9.140625" style="216"/>
    <col min="7427" max="7427" width="2.7109375" style="216" customWidth="1"/>
    <col min="7428" max="7428" width="9.140625" style="216"/>
    <col min="7429" max="7429" width="40.28515625" style="216" bestFit="1" customWidth="1"/>
    <col min="7430" max="7430" width="12.85546875" style="216" customWidth="1"/>
    <col min="7431" max="7431" width="10" style="216" customWidth="1"/>
    <col min="7432" max="7432" width="19.42578125" style="216" customWidth="1"/>
    <col min="7433" max="7433" width="7.7109375" style="216" customWidth="1"/>
    <col min="7434" max="7434" width="12.28515625" style="216" customWidth="1"/>
    <col min="7435" max="7435" width="12.7109375" style="216" customWidth="1"/>
    <col min="7436" max="7436" width="13.5703125" style="216" customWidth="1"/>
    <col min="7437" max="7437" width="11.85546875" style="216" customWidth="1"/>
    <col min="7438" max="7682" width="9.140625" style="216"/>
    <col min="7683" max="7683" width="2.7109375" style="216" customWidth="1"/>
    <col min="7684" max="7684" width="9.140625" style="216"/>
    <col min="7685" max="7685" width="40.28515625" style="216" bestFit="1" customWidth="1"/>
    <col min="7686" max="7686" width="12.85546875" style="216" customWidth="1"/>
    <col min="7687" max="7687" width="10" style="216" customWidth="1"/>
    <col min="7688" max="7688" width="19.42578125" style="216" customWidth="1"/>
    <col min="7689" max="7689" width="7.7109375" style="216" customWidth="1"/>
    <col min="7690" max="7690" width="12.28515625" style="216" customWidth="1"/>
    <col min="7691" max="7691" width="12.7109375" style="216" customWidth="1"/>
    <col min="7692" max="7692" width="13.5703125" style="216" customWidth="1"/>
    <col min="7693" max="7693" width="11.85546875" style="216" customWidth="1"/>
    <col min="7694" max="7938" width="9.140625" style="216"/>
    <col min="7939" max="7939" width="2.7109375" style="216" customWidth="1"/>
    <col min="7940" max="7940" width="9.140625" style="216"/>
    <col min="7941" max="7941" width="40.28515625" style="216" bestFit="1" customWidth="1"/>
    <col min="7942" max="7942" width="12.85546875" style="216" customWidth="1"/>
    <col min="7943" max="7943" width="10" style="216" customWidth="1"/>
    <col min="7944" max="7944" width="19.42578125" style="216" customWidth="1"/>
    <col min="7945" max="7945" width="7.7109375" style="216" customWidth="1"/>
    <col min="7946" max="7946" width="12.28515625" style="216" customWidth="1"/>
    <col min="7947" max="7947" width="12.7109375" style="216" customWidth="1"/>
    <col min="7948" max="7948" width="13.5703125" style="216" customWidth="1"/>
    <col min="7949" max="7949" width="11.85546875" style="216" customWidth="1"/>
    <col min="7950" max="8194" width="9.140625" style="216"/>
    <col min="8195" max="8195" width="2.7109375" style="216" customWidth="1"/>
    <col min="8196" max="8196" width="9.140625" style="216"/>
    <col min="8197" max="8197" width="40.28515625" style="216" bestFit="1" customWidth="1"/>
    <col min="8198" max="8198" width="12.85546875" style="216" customWidth="1"/>
    <col min="8199" max="8199" width="10" style="216" customWidth="1"/>
    <col min="8200" max="8200" width="19.42578125" style="216" customWidth="1"/>
    <col min="8201" max="8201" width="7.7109375" style="216" customWidth="1"/>
    <col min="8202" max="8202" width="12.28515625" style="216" customWidth="1"/>
    <col min="8203" max="8203" width="12.7109375" style="216" customWidth="1"/>
    <col min="8204" max="8204" width="13.5703125" style="216" customWidth="1"/>
    <col min="8205" max="8205" width="11.85546875" style="216" customWidth="1"/>
    <col min="8206" max="8450" width="9.140625" style="216"/>
    <col min="8451" max="8451" width="2.7109375" style="216" customWidth="1"/>
    <col min="8452" max="8452" width="9.140625" style="216"/>
    <col min="8453" max="8453" width="40.28515625" style="216" bestFit="1" customWidth="1"/>
    <col min="8454" max="8454" width="12.85546875" style="216" customWidth="1"/>
    <col min="8455" max="8455" width="10" style="216" customWidth="1"/>
    <col min="8456" max="8456" width="19.42578125" style="216" customWidth="1"/>
    <col min="8457" max="8457" width="7.7109375" style="216" customWidth="1"/>
    <col min="8458" max="8458" width="12.28515625" style="216" customWidth="1"/>
    <col min="8459" max="8459" width="12.7109375" style="216" customWidth="1"/>
    <col min="8460" max="8460" width="13.5703125" style="216" customWidth="1"/>
    <col min="8461" max="8461" width="11.85546875" style="216" customWidth="1"/>
    <col min="8462" max="8706" width="9.140625" style="216"/>
    <col min="8707" max="8707" width="2.7109375" style="216" customWidth="1"/>
    <col min="8708" max="8708" width="9.140625" style="216"/>
    <col min="8709" max="8709" width="40.28515625" style="216" bestFit="1" customWidth="1"/>
    <col min="8710" max="8710" width="12.85546875" style="216" customWidth="1"/>
    <col min="8711" max="8711" width="10" style="216" customWidth="1"/>
    <col min="8712" max="8712" width="19.42578125" style="216" customWidth="1"/>
    <col min="8713" max="8713" width="7.7109375" style="216" customWidth="1"/>
    <col min="8714" max="8714" width="12.28515625" style="216" customWidth="1"/>
    <col min="8715" max="8715" width="12.7109375" style="216" customWidth="1"/>
    <col min="8716" max="8716" width="13.5703125" style="216" customWidth="1"/>
    <col min="8717" max="8717" width="11.85546875" style="216" customWidth="1"/>
    <col min="8718" max="8962" width="9.140625" style="216"/>
    <col min="8963" max="8963" width="2.7109375" style="216" customWidth="1"/>
    <col min="8964" max="8964" width="9.140625" style="216"/>
    <col min="8965" max="8965" width="40.28515625" style="216" bestFit="1" customWidth="1"/>
    <col min="8966" max="8966" width="12.85546875" style="216" customWidth="1"/>
    <col min="8967" max="8967" width="10" style="216" customWidth="1"/>
    <col min="8968" max="8968" width="19.42578125" style="216" customWidth="1"/>
    <col min="8969" max="8969" width="7.7109375" style="216" customWidth="1"/>
    <col min="8970" max="8970" width="12.28515625" style="216" customWidth="1"/>
    <col min="8971" max="8971" width="12.7109375" style="216" customWidth="1"/>
    <col min="8972" max="8972" width="13.5703125" style="216" customWidth="1"/>
    <col min="8973" max="8973" width="11.85546875" style="216" customWidth="1"/>
    <col min="8974" max="9218" width="9.140625" style="216"/>
    <col min="9219" max="9219" width="2.7109375" style="216" customWidth="1"/>
    <col min="9220" max="9220" width="9.140625" style="216"/>
    <col min="9221" max="9221" width="40.28515625" style="216" bestFit="1" customWidth="1"/>
    <col min="9222" max="9222" width="12.85546875" style="216" customWidth="1"/>
    <col min="9223" max="9223" width="10" style="216" customWidth="1"/>
    <col min="9224" max="9224" width="19.42578125" style="216" customWidth="1"/>
    <col min="9225" max="9225" width="7.7109375" style="216" customWidth="1"/>
    <col min="9226" max="9226" width="12.28515625" style="216" customWidth="1"/>
    <col min="9227" max="9227" width="12.7109375" style="216" customWidth="1"/>
    <col min="9228" max="9228" width="13.5703125" style="216" customWidth="1"/>
    <col min="9229" max="9229" width="11.85546875" style="216" customWidth="1"/>
    <col min="9230" max="9474" width="9.140625" style="216"/>
    <col min="9475" max="9475" width="2.7109375" style="216" customWidth="1"/>
    <col min="9476" max="9476" width="9.140625" style="216"/>
    <col min="9477" max="9477" width="40.28515625" style="216" bestFit="1" customWidth="1"/>
    <col min="9478" max="9478" width="12.85546875" style="216" customWidth="1"/>
    <col min="9479" max="9479" width="10" style="216" customWidth="1"/>
    <col min="9480" max="9480" width="19.42578125" style="216" customWidth="1"/>
    <col min="9481" max="9481" width="7.7109375" style="216" customWidth="1"/>
    <col min="9482" max="9482" width="12.28515625" style="216" customWidth="1"/>
    <col min="9483" max="9483" width="12.7109375" style="216" customWidth="1"/>
    <col min="9484" max="9484" width="13.5703125" style="216" customWidth="1"/>
    <col min="9485" max="9485" width="11.85546875" style="216" customWidth="1"/>
    <col min="9486" max="9730" width="9.140625" style="216"/>
    <col min="9731" max="9731" width="2.7109375" style="216" customWidth="1"/>
    <col min="9732" max="9732" width="9.140625" style="216"/>
    <col min="9733" max="9733" width="40.28515625" style="216" bestFit="1" customWidth="1"/>
    <col min="9734" max="9734" width="12.85546875" style="216" customWidth="1"/>
    <col min="9735" max="9735" width="10" style="216" customWidth="1"/>
    <col min="9736" max="9736" width="19.42578125" style="216" customWidth="1"/>
    <col min="9737" max="9737" width="7.7109375" style="216" customWidth="1"/>
    <col min="9738" max="9738" width="12.28515625" style="216" customWidth="1"/>
    <col min="9739" max="9739" width="12.7109375" style="216" customWidth="1"/>
    <col min="9740" max="9740" width="13.5703125" style="216" customWidth="1"/>
    <col min="9741" max="9741" width="11.85546875" style="216" customWidth="1"/>
    <col min="9742" max="9986" width="9.140625" style="216"/>
    <col min="9987" max="9987" width="2.7109375" style="216" customWidth="1"/>
    <col min="9988" max="9988" width="9.140625" style="216"/>
    <col min="9989" max="9989" width="40.28515625" style="216" bestFit="1" customWidth="1"/>
    <col min="9990" max="9990" width="12.85546875" style="216" customWidth="1"/>
    <col min="9991" max="9991" width="10" style="216" customWidth="1"/>
    <col min="9992" max="9992" width="19.42578125" style="216" customWidth="1"/>
    <col min="9993" max="9993" width="7.7109375" style="216" customWidth="1"/>
    <col min="9994" max="9994" width="12.28515625" style="216" customWidth="1"/>
    <col min="9995" max="9995" width="12.7109375" style="216" customWidth="1"/>
    <col min="9996" max="9996" width="13.5703125" style="216" customWidth="1"/>
    <col min="9997" max="9997" width="11.85546875" style="216" customWidth="1"/>
    <col min="9998" max="10242" width="9.140625" style="216"/>
    <col min="10243" max="10243" width="2.7109375" style="216" customWidth="1"/>
    <col min="10244" max="10244" width="9.140625" style="216"/>
    <col min="10245" max="10245" width="40.28515625" style="216" bestFit="1" customWidth="1"/>
    <col min="10246" max="10246" width="12.85546875" style="216" customWidth="1"/>
    <col min="10247" max="10247" width="10" style="216" customWidth="1"/>
    <col min="10248" max="10248" width="19.42578125" style="216" customWidth="1"/>
    <col min="10249" max="10249" width="7.7109375" style="216" customWidth="1"/>
    <col min="10250" max="10250" width="12.28515625" style="216" customWidth="1"/>
    <col min="10251" max="10251" width="12.7109375" style="216" customWidth="1"/>
    <col min="10252" max="10252" width="13.5703125" style="216" customWidth="1"/>
    <col min="10253" max="10253" width="11.85546875" style="216" customWidth="1"/>
    <col min="10254" max="10498" width="9.140625" style="216"/>
    <col min="10499" max="10499" width="2.7109375" style="216" customWidth="1"/>
    <col min="10500" max="10500" width="9.140625" style="216"/>
    <col min="10501" max="10501" width="40.28515625" style="216" bestFit="1" customWidth="1"/>
    <col min="10502" max="10502" width="12.85546875" style="216" customWidth="1"/>
    <col min="10503" max="10503" width="10" style="216" customWidth="1"/>
    <col min="10504" max="10504" width="19.42578125" style="216" customWidth="1"/>
    <col min="10505" max="10505" width="7.7109375" style="216" customWidth="1"/>
    <col min="10506" max="10506" width="12.28515625" style="216" customWidth="1"/>
    <col min="10507" max="10507" width="12.7109375" style="216" customWidth="1"/>
    <col min="10508" max="10508" width="13.5703125" style="216" customWidth="1"/>
    <col min="10509" max="10509" width="11.85546875" style="216" customWidth="1"/>
    <col min="10510" max="10754" width="9.140625" style="216"/>
    <col min="10755" max="10755" width="2.7109375" style="216" customWidth="1"/>
    <col min="10756" max="10756" width="9.140625" style="216"/>
    <col min="10757" max="10757" width="40.28515625" style="216" bestFit="1" customWidth="1"/>
    <col min="10758" max="10758" width="12.85546875" style="216" customWidth="1"/>
    <col min="10759" max="10759" width="10" style="216" customWidth="1"/>
    <col min="10760" max="10760" width="19.42578125" style="216" customWidth="1"/>
    <col min="10761" max="10761" width="7.7109375" style="216" customWidth="1"/>
    <col min="10762" max="10762" width="12.28515625" style="216" customWidth="1"/>
    <col min="10763" max="10763" width="12.7109375" style="216" customWidth="1"/>
    <col min="10764" max="10764" width="13.5703125" style="216" customWidth="1"/>
    <col min="10765" max="10765" width="11.85546875" style="216" customWidth="1"/>
    <col min="10766" max="11010" width="9.140625" style="216"/>
    <col min="11011" max="11011" width="2.7109375" style="216" customWidth="1"/>
    <col min="11012" max="11012" width="9.140625" style="216"/>
    <col min="11013" max="11013" width="40.28515625" style="216" bestFit="1" customWidth="1"/>
    <col min="11014" max="11014" width="12.85546875" style="216" customWidth="1"/>
    <col min="11015" max="11015" width="10" style="216" customWidth="1"/>
    <col min="11016" max="11016" width="19.42578125" style="216" customWidth="1"/>
    <col min="11017" max="11017" width="7.7109375" style="216" customWidth="1"/>
    <col min="11018" max="11018" width="12.28515625" style="216" customWidth="1"/>
    <col min="11019" max="11019" width="12.7109375" style="216" customWidth="1"/>
    <col min="11020" max="11020" width="13.5703125" style="216" customWidth="1"/>
    <col min="11021" max="11021" width="11.85546875" style="216" customWidth="1"/>
    <col min="11022" max="11266" width="9.140625" style="216"/>
    <col min="11267" max="11267" width="2.7109375" style="216" customWidth="1"/>
    <col min="11268" max="11268" width="9.140625" style="216"/>
    <col min="11269" max="11269" width="40.28515625" style="216" bestFit="1" customWidth="1"/>
    <col min="11270" max="11270" width="12.85546875" style="216" customWidth="1"/>
    <col min="11271" max="11271" width="10" style="216" customWidth="1"/>
    <col min="11272" max="11272" width="19.42578125" style="216" customWidth="1"/>
    <col min="11273" max="11273" width="7.7109375" style="216" customWidth="1"/>
    <col min="11274" max="11274" width="12.28515625" style="216" customWidth="1"/>
    <col min="11275" max="11275" width="12.7109375" style="216" customWidth="1"/>
    <col min="11276" max="11276" width="13.5703125" style="216" customWidth="1"/>
    <col min="11277" max="11277" width="11.85546875" style="216" customWidth="1"/>
    <col min="11278" max="11522" width="9.140625" style="216"/>
    <col min="11523" max="11523" width="2.7109375" style="216" customWidth="1"/>
    <col min="11524" max="11524" width="9.140625" style="216"/>
    <col min="11525" max="11525" width="40.28515625" style="216" bestFit="1" customWidth="1"/>
    <col min="11526" max="11526" width="12.85546875" style="216" customWidth="1"/>
    <col min="11527" max="11527" width="10" style="216" customWidth="1"/>
    <col min="11528" max="11528" width="19.42578125" style="216" customWidth="1"/>
    <col min="11529" max="11529" width="7.7109375" style="216" customWidth="1"/>
    <col min="11530" max="11530" width="12.28515625" style="216" customWidth="1"/>
    <col min="11531" max="11531" width="12.7109375" style="216" customWidth="1"/>
    <col min="11532" max="11532" width="13.5703125" style="216" customWidth="1"/>
    <col min="11533" max="11533" width="11.85546875" style="216" customWidth="1"/>
    <col min="11534" max="11778" width="9.140625" style="216"/>
    <col min="11779" max="11779" width="2.7109375" style="216" customWidth="1"/>
    <col min="11780" max="11780" width="9.140625" style="216"/>
    <col min="11781" max="11781" width="40.28515625" style="216" bestFit="1" customWidth="1"/>
    <col min="11782" max="11782" width="12.85546875" style="216" customWidth="1"/>
    <col min="11783" max="11783" width="10" style="216" customWidth="1"/>
    <col min="11784" max="11784" width="19.42578125" style="216" customWidth="1"/>
    <col min="11785" max="11785" width="7.7109375" style="216" customWidth="1"/>
    <col min="11786" max="11786" width="12.28515625" style="216" customWidth="1"/>
    <col min="11787" max="11787" width="12.7109375" style="216" customWidth="1"/>
    <col min="11788" max="11788" width="13.5703125" style="216" customWidth="1"/>
    <col min="11789" max="11789" width="11.85546875" style="216" customWidth="1"/>
    <col min="11790" max="12034" width="9.140625" style="216"/>
    <col min="12035" max="12035" width="2.7109375" style="216" customWidth="1"/>
    <col min="12036" max="12036" width="9.140625" style="216"/>
    <col min="12037" max="12037" width="40.28515625" style="216" bestFit="1" customWidth="1"/>
    <col min="12038" max="12038" width="12.85546875" style="216" customWidth="1"/>
    <col min="12039" max="12039" width="10" style="216" customWidth="1"/>
    <col min="12040" max="12040" width="19.42578125" style="216" customWidth="1"/>
    <col min="12041" max="12041" width="7.7109375" style="216" customWidth="1"/>
    <col min="12042" max="12042" width="12.28515625" style="216" customWidth="1"/>
    <col min="12043" max="12043" width="12.7109375" style="216" customWidth="1"/>
    <col min="12044" max="12044" width="13.5703125" style="216" customWidth="1"/>
    <col min="12045" max="12045" width="11.85546875" style="216" customWidth="1"/>
    <col min="12046" max="12290" width="9.140625" style="216"/>
    <col min="12291" max="12291" width="2.7109375" style="216" customWidth="1"/>
    <col min="12292" max="12292" width="9.140625" style="216"/>
    <col min="12293" max="12293" width="40.28515625" style="216" bestFit="1" customWidth="1"/>
    <col min="12294" max="12294" width="12.85546875" style="216" customWidth="1"/>
    <col min="12295" max="12295" width="10" style="216" customWidth="1"/>
    <col min="12296" max="12296" width="19.42578125" style="216" customWidth="1"/>
    <col min="12297" max="12297" width="7.7109375" style="216" customWidth="1"/>
    <col min="12298" max="12298" width="12.28515625" style="216" customWidth="1"/>
    <col min="12299" max="12299" width="12.7109375" style="216" customWidth="1"/>
    <col min="12300" max="12300" width="13.5703125" style="216" customWidth="1"/>
    <col min="12301" max="12301" width="11.85546875" style="216" customWidth="1"/>
    <col min="12302" max="12546" width="9.140625" style="216"/>
    <col min="12547" max="12547" width="2.7109375" style="216" customWidth="1"/>
    <col min="12548" max="12548" width="9.140625" style="216"/>
    <col min="12549" max="12549" width="40.28515625" style="216" bestFit="1" customWidth="1"/>
    <col min="12550" max="12550" width="12.85546875" style="216" customWidth="1"/>
    <col min="12551" max="12551" width="10" style="216" customWidth="1"/>
    <col min="12552" max="12552" width="19.42578125" style="216" customWidth="1"/>
    <col min="12553" max="12553" width="7.7109375" style="216" customWidth="1"/>
    <col min="12554" max="12554" width="12.28515625" style="216" customWidth="1"/>
    <col min="12555" max="12555" width="12.7109375" style="216" customWidth="1"/>
    <col min="12556" max="12556" width="13.5703125" style="216" customWidth="1"/>
    <col min="12557" max="12557" width="11.85546875" style="216" customWidth="1"/>
    <col min="12558" max="12802" width="9.140625" style="216"/>
    <col min="12803" max="12803" width="2.7109375" style="216" customWidth="1"/>
    <col min="12804" max="12804" width="9.140625" style="216"/>
    <col min="12805" max="12805" width="40.28515625" style="216" bestFit="1" customWidth="1"/>
    <col min="12806" max="12806" width="12.85546875" style="216" customWidth="1"/>
    <col min="12807" max="12807" width="10" style="216" customWidth="1"/>
    <col min="12808" max="12808" width="19.42578125" style="216" customWidth="1"/>
    <col min="12809" max="12809" width="7.7109375" style="216" customWidth="1"/>
    <col min="12810" max="12810" width="12.28515625" style="216" customWidth="1"/>
    <col min="12811" max="12811" width="12.7109375" style="216" customWidth="1"/>
    <col min="12812" max="12812" width="13.5703125" style="216" customWidth="1"/>
    <col min="12813" max="12813" width="11.85546875" style="216" customWidth="1"/>
    <col min="12814" max="13058" width="9.140625" style="216"/>
    <col min="13059" max="13059" width="2.7109375" style="216" customWidth="1"/>
    <col min="13060" max="13060" width="9.140625" style="216"/>
    <col min="13061" max="13061" width="40.28515625" style="216" bestFit="1" customWidth="1"/>
    <col min="13062" max="13062" width="12.85546875" style="216" customWidth="1"/>
    <col min="13063" max="13063" width="10" style="216" customWidth="1"/>
    <col min="13064" max="13064" width="19.42578125" style="216" customWidth="1"/>
    <col min="13065" max="13065" width="7.7109375" style="216" customWidth="1"/>
    <col min="13066" max="13066" width="12.28515625" style="216" customWidth="1"/>
    <col min="13067" max="13067" width="12.7109375" style="216" customWidth="1"/>
    <col min="13068" max="13068" width="13.5703125" style="216" customWidth="1"/>
    <col min="13069" max="13069" width="11.85546875" style="216" customWidth="1"/>
    <col min="13070" max="13314" width="9.140625" style="216"/>
    <col min="13315" max="13315" width="2.7109375" style="216" customWidth="1"/>
    <col min="13316" max="13316" width="9.140625" style="216"/>
    <col min="13317" max="13317" width="40.28515625" style="216" bestFit="1" customWidth="1"/>
    <col min="13318" max="13318" width="12.85546875" style="216" customWidth="1"/>
    <col min="13319" max="13319" width="10" style="216" customWidth="1"/>
    <col min="13320" max="13320" width="19.42578125" style="216" customWidth="1"/>
    <col min="13321" max="13321" width="7.7109375" style="216" customWidth="1"/>
    <col min="13322" max="13322" width="12.28515625" style="216" customWidth="1"/>
    <col min="13323" max="13323" width="12.7109375" style="216" customWidth="1"/>
    <col min="13324" max="13324" width="13.5703125" style="216" customWidth="1"/>
    <col min="13325" max="13325" width="11.85546875" style="216" customWidth="1"/>
    <col min="13326" max="13570" width="9.140625" style="216"/>
    <col min="13571" max="13571" width="2.7109375" style="216" customWidth="1"/>
    <col min="13572" max="13572" width="9.140625" style="216"/>
    <col min="13573" max="13573" width="40.28515625" style="216" bestFit="1" customWidth="1"/>
    <col min="13574" max="13574" width="12.85546875" style="216" customWidth="1"/>
    <col min="13575" max="13575" width="10" style="216" customWidth="1"/>
    <col min="13576" max="13576" width="19.42578125" style="216" customWidth="1"/>
    <col min="13577" max="13577" width="7.7109375" style="216" customWidth="1"/>
    <col min="13578" max="13578" width="12.28515625" style="216" customWidth="1"/>
    <col min="13579" max="13579" width="12.7109375" style="216" customWidth="1"/>
    <col min="13580" max="13580" width="13.5703125" style="216" customWidth="1"/>
    <col min="13581" max="13581" width="11.85546875" style="216" customWidth="1"/>
    <col min="13582" max="13826" width="9.140625" style="216"/>
    <col min="13827" max="13827" width="2.7109375" style="216" customWidth="1"/>
    <col min="13828" max="13828" width="9.140625" style="216"/>
    <col min="13829" max="13829" width="40.28515625" style="216" bestFit="1" customWidth="1"/>
    <col min="13830" max="13830" width="12.85546875" style="216" customWidth="1"/>
    <col min="13831" max="13831" width="10" style="216" customWidth="1"/>
    <col min="13832" max="13832" width="19.42578125" style="216" customWidth="1"/>
    <col min="13833" max="13833" width="7.7109375" style="216" customWidth="1"/>
    <col min="13834" max="13834" width="12.28515625" style="216" customWidth="1"/>
    <col min="13835" max="13835" width="12.7109375" style="216" customWidth="1"/>
    <col min="13836" max="13836" width="13.5703125" style="216" customWidth="1"/>
    <col min="13837" max="13837" width="11.85546875" style="216" customWidth="1"/>
    <col min="13838" max="14082" width="9.140625" style="216"/>
    <col min="14083" max="14083" width="2.7109375" style="216" customWidth="1"/>
    <col min="14084" max="14084" width="9.140625" style="216"/>
    <col min="14085" max="14085" width="40.28515625" style="216" bestFit="1" customWidth="1"/>
    <col min="14086" max="14086" width="12.85546875" style="216" customWidth="1"/>
    <col min="14087" max="14087" width="10" style="216" customWidth="1"/>
    <col min="14088" max="14088" width="19.42578125" style="216" customWidth="1"/>
    <col min="14089" max="14089" width="7.7109375" style="216" customWidth="1"/>
    <col min="14090" max="14090" width="12.28515625" style="216" customWidth="1"/>
    <col min="14091" max="14091" width="12.7109375" style="216" customWidth="1"/>
    <col min="14092" max="14092" width="13.5703125" style="216" customWidth="1"/>
    <col min="14093" max="14093" width="11.85546875" style="216" customWidth="1"/>
    <col min="14094" max="14338" width="9.140625" style="216"/>
    <col min="14339" max="14339" width="2.7109375" style="216" customWidth="1"/>
    <col min="14340" max="14340" width="9.140625" style="216"/>
    <col min="14341" max="14341" width="40.28515625" style="216" bestFit="1" customWidth="1"/>
    <col min="14342" max="14342" width="12.85546875" style="216" customWidth="1"/>
    <col min="14343" max="14343" width="10" style="216" customWidth="1"/>
    <col min="14344" max="14344" width="19.42578125" style="216" customWidth="1"/>
    <col min="14345" max="14345" width="7.7109375" style="216" customWidth="1"/>
    <col min="14346" max="14346" width="12.28515625" style="216" customWidth="1"/>
    <col min="14347" max="14347" width="12.7109375" style="216" customWidth="1"/>
    <col min="14348" max="14348" width="13.5703125" style="216" customWidth="1"/>
    <col min="14349" max="14349" width="11.85546875" style="216" customWidth="1"/>
    <col min="14350" max="14594" width="9.140625" style="216"/>
    <col min="14595" max="14595" width="2.7109375" style="216" customWidth="1"/>
    <col min="14596" max="14596" width="9.140625" style="216"/>
    <col min="14597" max="14597" width="40.28515625" style="216" bestFit="1" customWidth="1"/>
    <col min="14598" max="14598" width="12.85546875" style="216" customWidth="1"/>
    <col min="14599" max="14599" width="10" style="216" customWidth="1"/>
    <col min="14600" max="14600" width="19.42578125" style="216" customWidth="1"/>
    <col min="14601" max="14601" width="7.7109375" style="216" customWidth="1"/>
    <col min="14602" max="14602" width="12.28515625" style="216" customWidth="1"/>
    <col min="14603" max="14603" width="12.7109375" style="216" customWidth="1"/>
    <col min="14604" max="14604" width="13.5703125" style="216" customWidth="1"/>
    <col min="14605" max="14605" width="11.85546875" style="216" customWidth="1"/>
    <col min="14606" max="14850" width="9.140625" style="216"/>
    <col min="14851" max="14851" width="2.7109375" style="216" customWidth="1"/>
    <col min="14852" max="14852" width="9.140625" style="216"/>
    <col min="14853" max="14853" width="40.28515625" style="216" bestFit="1" customWidth="1"/>
    <col min="14854" max="14854" width="12.85546875" style="216" customWidth="1"/>
    <col min="14855" max="14855" width="10" style="216" customWidth="1"/>
    <col min="14856" max="14856" width="19.42578125" style="216" customWidth="1"/>
    <col min="14857" max="14857" width="7.7109375" style="216" customWidth="1"/>
    <col min="14858" max="14858" width="12.28515625" style="216" customWidth="1"/>
    <col min="14859" max="14859" width="12.7109375" style="216" customWidth="1"/>
    <col min="14860" max="14860" width="13.5703125" style="216" customWidth="1"/>
    <col min="14861" max="14861" width="11.85546875" style="216" customWidth="1"/>
    <col min="14862" max="15106" width="9.140625" style="216"/>
    <col min="15107" max="15107" width="2.7109375" style="216" customWidth="1"/>
    <col min="15108" max="15108" width="9.140625" style="216"/>
    <col min="15109" max="15109" width="40.28515625" style="216" bestFit="1" customWidth="1"/>
    <col min="15110" max="15110" width="12.85546875" style="216" customWidth="1"/>
    <col min="15111" max="15111" width="10" style="216" customWidth="1"/>
    <col min="15112" max="15112" width="19.42578125" style="216" customWidth="1"/>
    <col min="15113" max="15113" width="7.7109375" style="216" customWidth="1"/>
    <col min="15114" max="15114" width="12.28515625" style="216" customWidth="1"/>
    <col min="15115" max="15115" width="12.7109375" style="216" customWidth="1"/>
    <col min="15116" max="15116" width="13.5703125" style="216" customWidth="1"/>
    <col min="15117" max="15117" width="11.85546875" style="216" customWidth="1"/>
    <col min="15118" max="15362" width="9.140625" style="216"/>
    <col min="15363" max="15363" width="2.7109375" style="216" customWidth="1"/>
    <col min="15364" max="15364" width="9.140625" style="216"/>
    <col min="15365" max="15365" width="40.28515625" style="216" bestFit="1" customWidth="1"/>
    <col min="15366" max="15366" width="12.85546875" style="216" customWidth="1"/>
    <col min="15367" max="15367" width="10" style="216" customWidth="1"/>
    <col min="15368" max="15368" width="19.42578125" style="216" customWidth="1"/>
    <col min="15369" max="15369" width="7.7109375" style="216" customWidth="1"/>
    <col min="15370" max="15370" width="12.28515625" style="216" customWidth="1"/>
    <col min="15371" max="15371" width="12.7109375" style="216" customWidth="1"/>
    <col min="15372" max="15372" width="13.5703125" style="216" customWidth="1"/>
    <col min="15373" max="15373" width="11.85546875" style="216" customWidth="1"/>
    <col min="15374" max="15618" width="9.140625" style="216"/>
    <col min="15619" max="15619" width="2.7109375" style="216" customWidth="1"/>
    <col min="15620" max="15620" width="9.140625" style="216"/>
    <col min="15621" max="15621" width="40.28515625" style="216" bestFit="1" customWidth="1"/>
    <col min="15622" max="15622" width="12.85546875" style="216" customWidth="1"/>
    <col min="15623" max="15623" width="10" style="216" customWidth="1"/>
    <col min="15624" max="15624" width="19.42578125" style="216" customWidth="1"/>
    <col min="15625" max="15625" width="7.7109375" style="216" customWidth="1"/>
    <col min="15626" max="15626" width="12.28515625" style="216" customWidth="1"/>
    <col min="15627" max="15627" width="12.7109375" style="216" customWidth="1"/>
    <col min="15628" max="15628" width="13.5703125" style="216" customWidth="1"/>
    <col min="15629" max="15629" width="11.85546875" style="216" customWidth="1"/>
    <col min="15630" max="15874" width="9.140625" style="216"/>
    <col min="15875" max="15875" width="2.7109375" style="216" customWidth="1"/>
    <col min="15876" max="15876" width="9.140625" style="216"/>
    <col min="15877" max="15877" width="40.28515625" style="216" bestFit="1" customWidth="1"/>
    <col min="15878" max="15878" width="12.85546875" style="216" customWidth="1"/>
    <col min="15879" max="15879" width="10" style="216" customWidth="1"/>
    <col min="15880" max="15880" width="19.42578125" style="216" customWidth="1"/>
    <col min="15881" max="15881" width="7.7109375" style="216" customWidth="1"/>
    <col min="15882" max="15882" width="12.28515625" style="216" customWidth="1"/>
    <col min="15883" max="15883" width="12.7109375" style="216" customWidth="1"/>
    <col min="15884" max="15884" width="13.5703125" style="216" customWidth="1"/>
    <col min="15885" max="15885" width="11.85546875" style="216" customWidth="1"/>
    <col min="15886" max="16130" width="9.140625" style="216"/>
    <col min="16131" max="16131" width="2.7109375" style="216" customWidth="1"/>
    <col min="16132" max="16132" width="9.140625" style="216"/>
    <col min="16133" max="16133" width="40.28515625" style="216" bestFit="1" customWidth="1"/>
    <col min="16134" max="16134" width="12.85546875" style="216" customWidth="1"/>
    <col min="16135" max="16135" width="10" style="216" customWidth="1"/>
    <col min="16136" max="16136" width="19.42578125" style="216" customWidth="1"/>
    <col min="16137" max="16137" width="7.7109375" style="216" customWidth="1"/>
    <col min="16138" max="16138" width="12.28515625" style="216" customWidth="1"/>
    <col min="16139" max="16139" width="12.7109375" style="216" customWidth="1"/>
    <col min="16140" max="16140" width="13.5703125" style="216" customWidth="1"/>
    <col min="16141" max="16141" width="11.85546875" style="216" customWidth="1"/>
    <col min="16142" max="16384" width="9.140625" style="216"/>
  </cols>
  <sheetData>
    <row r="1" spans="2:16" x14ac:dyDescent="0.2">
      <c r="H1" s="811"/>
      <c r="I1" s="812"/>
      <c r="J1" s="219"/>
      <c r="K1" s="811"/>
      <c r="L1" s="813" t="s">
        <v>419</v>
      </c>
      <c r="M1" s="766" t="str">
        <f>EBNUMBER</f>
        <v>EB-2014-0113</v>
      </c>
      <c r="N1" s="219"/>
    </row>
    <row r="2" spans="2:16" x14ac:dyDescent="0.2">
      <c r="H2" s="811"/>
      <c r="I2" s="812"/>
      <c r="J2" s="219"/>
      <c r="K2" s="811"/>
      <c r="L2" s="813" t="s">
        <v>420</v>
      </c>
      <c r="M2" s="815">
        <v>2</v>
      </c>
      <c r="N2" s="219"/>
    </row>
    <row r="3" spans="2:16" x14ac:dyDescent="0.2">
      <c r="H3" s="811"/>
      <c r="I3" s="812"/>
      <c r="J3" s="219"/>
      <c r="K3" s="811"/>
      <c r="L3" s="813" t="s">
        <v>421</v>
      </c>
      <c r="M3" s="815">
        <v>2</v>
      </c>
      <c r="N3" s="219"/>
    </row>
    <row r="4" spans="2:16" x14ac:dyDescent="0.2">
      <c r="H4" s="811"/>
      <c r="I4" s="812"/>
      <c r="J4" s="219"/>
      <c r="K4" s="811"/>
      <c r="L4" s="813" t="s">
        <v>422</v>
      </c>
      <c r="M4" s="815">
        <v>2</v>
      </c>
      <c r="N4" s="219"/>
    </row>
    <row r="5" spans="2:16" x14ac:dyDescent="0.2">
      <c r="H5" s="811"/>
      <c r="I5" s="812"/>
      <c r="J5" s="219"/>
      <c r="K5" s="811"/>
      <c r="L5" s="813" t="s">
        <v>423</v>
      </c>
      <c r="M5" s="816"/>
      <c r="N5" s="219"/>
    </row>
    <row r="6" spans="2:16" x14ac:dyDescent="0.2">
      <c r="H6" s="811"/>
      <c r="I6" s="812"/>
      <c r="J6" s="219"/>
      <c r="K6" s="811"/>
      <c r="L6" s="813"/>
      <c r="M6" s="814"/>
      <c r="N6" s="219"/>
    </row>
    <row r="7" spans="2:16" x14ac:dyDescent="0.2">
      <c r="H7" s="811"/>
      <c r="I7" s="812"/>
      <c r="J7" s="219"/>
      <c r="K7" s="811"/>
      <c r="L7" s="813" t="s">
        <v>424</v>
      </c>
      <c r="M7" s="816">
        <v>42119</v>
      </c>
      <c r="N7" s="220"/>
    </row>
    <row r="9" spans="2:16" ht="18" x14ac:dyDescent="0.25">
      <c r="B9" s="1856" t="s">
        <v>678</v>
      </c>
      <c r="C9" s="1856"/>
      <c r="D9" s="1856"/>
      <c r="E9" s="1856"/>
      <c r="F9" s="1856"/>
      <c r="G9" s="1856"/>
      <c r="H9" s="1856"/>
      <c r="I9" s="1856"/>
      <c r="J9" s="1856"/>
      <c r="K9" s="1856"/>
      <c r="L9" s="1856"/>
      <c r="M9" s="1856"/>
    </row>
    <row r="10" spans="2:16" ht="18" x14ac:dyDescent="0.25">
      <c r="B10" s="1856" t="s">
        <v>3</v>
      </c>
      <c r="C10" s="1856"/>
      <c r="D10" s="1856"/>
      <c r="E10" s="1856"/>
      <c r="F10" s="1856"/>
      <c r="G10" s="1856"/>
      <c r="H10" s="1856"/>
      <c r="I10" s="1856"/>
      <c r="J10" s="1856"/>
      <c r="K10" s="1856"/>
      <c r="L10" s="1856"/>
      <c r="M10" s="1856"/>
    </row>
    <row r="11" spans="2:16" ht="22.5" customHeight="1" x14ac:dyDescent="0.2">
      <c r="B11" s="1870" t="s">
        <v>516</v>
      </c>
      <c r="C11" s="1870"/>
      <c r="D11" s="1870"/>
      <c r="E11" s="1870"/>
      <c r="F11" s="1870"/>
      <c r="G11" s="1870"/>
      <c r="H11" s="1870"/>
      <c r="I11" s="1870"/>
      <c r="J11" s="1870"/>
      <c r="K11" s="1870"/>
      <c r="L11" s="1870"/>
      <c r="M11" s="1870"/>
    </row>
    <row r="12" spans="2:16" ht="13.5" customHeight="1" x14ac:dyDescent="0.25">
      <c r="B12" s="671"/>
      <c r="C12" s="671"/>
      <c r="D12" s="817" t="s">
        <v>40</v>
      </c>
      <c r="E12" s="665">
        <v>2012</v>
      </c>
      <c r="F12" s="817" t="s">
        <v>161</v>
      </c>
      <c r="I12" s="818"/>
      <c r="J12" s="671"/>
      <c r="K12" s="819"/>
    </row>
    <row r="13" spans="2:16" ht="15" customHeight="1" thickBot="1" x14ac:dyDescent="0.25"/>
    <row r="14" spans="2:16" ht="61.5" customHeight="1" x14ac:dyDescent="0.2">
      <c r="B14" s="1871" t="s">
        <v>4</v>
      </c>
      <c r="C14" s="1873" t="s">
        <v>346</v>
      </c>
      <c r="D14" s="821" t="s">
        <v>717</v>
      </c>
      <c r="E14" s="821" t="s">
        <v>710</v>
      </c>
      <c r="F14" s="821" t="s">
        <v>711</v>
      </c>
      <c r="G14" s="821" t="s">
        <v>348</v>
      </c>
      <c r="H14" s="821" t="s">
        <v>7</v>
      </c>
      <c r="I14" s="822" t="s">
        <v>8</v>
      </c>
      <c r="J14" s="221" t="s">
        <v>416</v>
      </c>
      <c r="K14" s="823" t="s">
        <v>11</v>
      </c>
      <c r="L14" s="1875" t="s">
        <v>794</v>
      </c>
      <c r="M14" s="823" t="s">
        <v>523</v>
      </c>
      <c r="P14" s="216" t="s">
        <v>1970</v>
      </c>
    </row>
    <row r="15" spans="2:16" ht="25.5" customHeight="1" x14ac:dyDescent="0.2">
      <c r="B15" s="1872"/>
      <c r="C15" s="1874"/>
      <c r="D15" s="824" t="s">
        <v>5</v>
      </c>
      <c r="E15" s="824" t="s">
        <v>712</v>
      </c>
      <c r="F15" s="824" t="s">
        <v>713</v>
      </c>
      <c r="G15" s="824" t="s">
        <v>6</v>
      </c>
      <c r="H15" s="825" t="s">
        <v>716</v>
      </c>
      <c r="I15" s="826" t="s">
        <v>9</v>
      </c>
      <c r="J15" s="223" t="s">
        <v>10</v>
      </c>
      <c r="K15" s="827" t="s">
        <v>12</v>
      </c>
      <c r="L15" s="1876"/>
      <c r="M15" s="827" t="s">
        <v>517</v>
      </c>
    </row>
    <row r="16" spans="2:16" ht="25.5" x14ac:dyDescent="0.2">
      <c r="B16" s="828">
        <v>1611</v>
      </c>
      <c r="C16" s="783" t="s">
        <v>515</v>
      </c>
      <c r="D16" s="204">
        <v>108703</v>
      </c>
      <c r="E16" s="204"/>
      <c r="F16" s="8">
        <f>D16-E16</f>
        <v>108703</v>
      </c>
      <c r="G16" s="204">
        <f>476100.41-D16</f>
        <v>367397.41</v>
      </c>
      <c r="H16" s="8">
        <f>F16+0.5*G16</f>
        <v>292401.70499999996</v>
      </c>
      <c r="I16" s="293">
        <v>5</v>
      </c>
      <c r="J16" s="226">
        <f t="shared" ref="J16:J55" si="0">IF(I16=0,0,1/I16)</f>
        <v>0.2</v>
      </c>
      <c r="K16" s="8">
        <f>IF(I16=0,0,H16/I16)</f>
        <v>58480.340999999993</v>
      </c>
      <c r="L16" s="204">
        <v>97936</v>
      </c>
      <c r="M16" s="8">
        <f t="shared" ref="M16:M55" si="1">IF(ISERROR(+K16-L16), 0, +K16-L16)</f>
        <v>-39455.659000000007</v>
      </c>
      <c r="P16" s="1543">
        <f>+G16*0.5*J16</f>
        <v>36739.741000000002</v>
      </c>
    </row>
    <row r="17" spans="2:16" x14ac:dyDescent="0.2">
      <c r="B17" s="828">
        <v>1612</v>
      </c>
      <c r="C17" s="783" t="s">
        <v>650</v>
      </c>
      <c r="D17" s="204"/>
      <c r="E17" s="204"/>
      <c r="F17" s="8">
        <f t="shared" ref="F17:F55" si="2">D17-E17</f>
        <v>0</v>
      </c>
      <c r="G17" s="204"/>
      <c r="H17" s="8">
        <f t="shared" ref="H17:H55" si="3">F17+0.5*G17</f>
        <v>0</v>
      </c>
      <c r="I17" s="282"/>
      <c r="J17" s="586">
        <f t="shared" si="0"/>
        <v>0</v>
      </c>
      <c r="K17" s="8">
        <f t="shared" ref="K17:K55" si="4">IF(I17=0,0,H17/I17)</f>
        <v>0</v>
      </c>
      <c r="L17" s="204"/>
      <c r="M17" s="8">
        <f t="shared" si="1"/>
        <v>0</v>
      </c>
      <c r="P17" s="1543">
        <f t="shared" ref="P17:P53" si="5">+G17*0.5*J17</f>
        <v>0</v>
      </c>
    </row>
    <row r="18" spans="2:16" x14ac:dyDescent="0.2">
      <c r="B18" s="829">
        <v>1805</v>
      </c>
      <c r="C18" s="786" t="s">
        <v>383</v>
      </c>
      <c r="D18" s="204">
        <v>6733.79</v>
      </c>
      <c r="E18" s="204"/>
      <c r="F18" s="8">
        <f t="shared" si="2"/>
        <v>6733.79</v>
      </c>
      <c r="G18" s="204">
        <v>904.09</v>
      </c>
      <c r="H18" s="8">
        <f t="shared" si="3"/>
        <v>7185.835</v>
      </c>
      <c r="I18" s="282">
        <v>0</v>
      </c>
      <c r="J18" s="586">
        <f t="shared" si="0"/>
        <v>0</v>
      </c>
      <c r="K18" s="8">
        <f t="shared" si="4"/>
        <v>0</v>
      </c>
      <c r="L18" s="204"/>
      <c r="M18" s="8">
        <f t="shared" si="1"/>
        <v>0</v>
      </c>
      <c r="P18" s="1543">
        <f t="shared" si="5"/>
        <v>0</v>
      </c>
    </row>
    <row r="19" spans="2:16" x14ac:dyDescent="0.2">
      <c r="B19" s="828">
        <v>1808</v>
      </c>
      <c r="C19" s="787" t="s">
        <v>384</v>
      </c>
      <c r="D19" s="204"/>
      <c r="E19" s="204">
        <f>-'App.2-BA2_Fix Asset Cont.MIFRS'!I19</f>
        <v>0</v>
      </c>
      <c r="F19" s="8">
        <f t="shared" si="2"/>
        <v>0</v>
      </c>
      <c r="G19" s="204"/>
      <c r="H19" s="8">
        <f t="shared" si="3"/>
        <v>0</v>
      </c>
      <c r="I19" s="282"/>
      <c r="J19" s="586">
        <f t="shared" si="0"/>
        <v>0</v>
      </c>
      <c r="K19" s="8">
        <f t="shared" si="4"/>
        <v>0</v>
      </c>
      <c r="L19" s="204"/>
      <c r="M19" s="8">
        <f t="shared" si="1"/>
        <v>0</v>
      </c>
      <c r="P19" s="1543">
        <f t="shared" si="5"/>
        <v>0</v>
      </c>
    </row>
    <row r="20" spans="2:16" x14ac:dyDescent="0.2">
      <c r="B20" s="828">
        <v>1810</v>
      </c>
      <c r="C20" s="787" t="s">
        <v>417</v>
      </c>
      <c r="D20" s="204"/>
      <c r="E20" s="204"/>
      <c r="F20" s="8">
        <f t="shared" si="2"/>
        <v>0</v>
      </c>
      <c r="G20" s="204"/>
      <c r="H20" s="8">
        <f t="shared" si="3"/>
        <v>0</v>
      </c>
      <c r="I20" s="282"/>
      <c r="J20" s="586">
        <f t="shared" si="0"/>
        <v>0</v>
      </c>
      <c r="K20" s="8">
        <f t="shared" si="4"/>
        <v>0</v>
      </c>
      <c r="L20" s="204"/>
      <c r="M20" s="8">
        <f t="shared" si="1"/>
        <v>0</v>
      </c>
      <c r="P20" s="1543">
        <f t="shared" si="5"/>
        <v>0</v>
      </c>
    </row>
    <row r="21" spans="2:16" x14ac:dyDescent="0.2">
      <c r="B21" s="828">
        <v>1815</v>
      </c>
      <c r="C21" s="787" t="s">
        <v>385</v>
      </c>
      <c r="D21" s="204"/>
      <c r="E21" s="204"/>
      <c r="F21" s="8">
        <f t="shared" si="2"/>
        <v>0</v>
      </c>
      <c r="G21" s="204"/>
      <c r="H21" s="8">
        <f t="shared" si="3"/>
        <v>0</v>
      </c>
      <c r="I21" s="282"/>
      <c r="J21" s="586">
        <f t="shared" si="0"/>
        <v>0</v>
      </c>
      <c r="K21" s="8">
        <f t="shared" si="4"/>
        <v>0</v>
      </c>
      <c r="L21" s="204"/>
      <c r="M21" s="8">
        <f t="shared" si="1"/>
        <v>0</v>
      </c>
      <c r="P21" s="1543">
        <f t="shared" si="5"/>
        <v>0</v>
      </c>
    </row>
    <row r="22" spans="2:16" x14ac:dyDescent="0.2">
      <c r="B22" s="828">
        <v>1820</v>
      </c>
      <c r="C22" s="783" t="s">
        <v>306</v>
      </c>
      <c r="D22" s="204">
        <v>850124.96</v>
      </c>
      <c r="E22" s="204">
        <v>831276</v>
      </c>
      <c r="F22" s="8">
        <f t="shared" si="2"/>
        <v>18848.959999999963</v>
      </c>
      <c r="G22" s="204"/>
      <c r="H22" s="8">
        <f t="shared" si="3"/>
        <v>18848.959999999963</v>
      </c>
      <c r="I22" s="282">
        <v>45</v>
      </c>
      <c r="J22" s="586">
        <f t="shared" si="0"/>
        <v>2.2222222222222223E-2</v>
      </c>
      <c r="K22" s="8">
        <f>IF(I22=0,0,H22/I22)</f>
        <v>418.86577777777694</v>
      </c>
      <c r="L22" s="204">
        <v>836</v>
      </c>
      <c r="M22" s="8">
        <f t="shared" si="1"/>
        <v>-417.13422222222306</v>
      </c>
      <c r="P22" s="1543">
        <f t="shared" si="5"/>
        <v>0</v>
      </c>
    </row>
    <row r="23" spans="2:16" x14ac:dyDescent="0.2">
      <c r="B23" s="828">
        <v>1825</v>
      </c>
      <c r="C23" s="787" t="s">
        <v>386</v>
      </c>
      <c r="D23" s="204"/>
      <c r="E23" s="204"/>
      <c r="F23" s="8">
        <f t="shared" si="2"/>
        <v>0</v>
      </c>
      <c r="G23" s="204"/>
      <c r="H23" s="8">
        <f t="shared" si="3"/>
        <v>0</v>
      </c>
      <c r="I23" s="282"/>
      <c r="J23" s="586">
        <f t="shared" si="0"/>
        <v>0</v>
      </c>
      <c r="K23" s="8">
        <f t="shared" si="4"/>
        <v>0</v>
      </c>
      <c r="L23" s="204"/>
      <c r="M23" s="8">
        <f t="shared" si="1"/>
        <v>0</v>
      </c>
      <c r="P23" s="1543">
        <f t="shared" si="5"/>
        <v>0</v>
      </c>
    </row>
    <row r="24" spans="2:16" x14ac:dyDescent="0.2">
      <c r="B24" s="828">
        <v>1830</v>
      </c>
      <c r="C24" s="787" t="s">
        <v>387</v>
      </c>
      <c r="D24" s="204">
        <v>8458646.1300000008</v>
      </c>
      <c r="E24" s="204">
        <v>3876606</v>
      </c>
      <c r="F24" s="8">
        <f t="shared" si="2"/>
        <v>4582040.1300000008</v>
      </c>
      <c r="G24" s="204">
        <v>188797.41</v>
      </c>
      <c r="H24" s="8">
        <f>F24+0.5*G24</f>
        <v>4676438.8350000009</v>
      </c>
      <c r="I24" s="282">
        <v>45</v>
      </c>
      <c r="J24" s="586">
        <f>IF(I24=0,0,1/I24)</f>
        <v>2.2222222222222223E-2</v>
      </c>
      <c r="K24" s="8">
        <f>IF(I24=0,0,H24/I24)</f>
        <v>103920.86300000003</v>
      </c>
      <c r="L24" s="204">
        <v>120687</v>
      </c>
      <c r="M24" s="8">
        <f t="shared" si="1"/>
        <v>-16766.136999999973</v>
      </c>
      <c r="P24" s="1543">
        <f t="shared" si="5"/>
        <v>2097.7490000000003</v>
      </c>
    </row>
    <row r="25" spans="2:16" x14ac:dyDescent="0.2">
      <c r="B25" s="828">
        <v>1835</v>
      </c>
      <c r="C25" s="787" t="s">
        <v>307</v>
      </c>
      <c r="D25" s="204">
        <v>7482814</v>
      </c>
      <c r="E25" s="204">
        <v>3933151</v>
      </c>
      <c r="F25" s="8">
        <f t="shared" si="2"/>
        <v>3549663</v>
      </c>
      <c r="G25" s="204">
        <v>195298.31</v>
      </c>
      <c r="H25" s="8">
        <f t="shared" si="3"/>
        <v>3647312.1549999998</v>
      </c>
      <c r="I25" s="282">
        <v>60</v>
      </c>
      <c r="J25" s="586">
        <f t="shared" si="0"/>
        <v>1.6666666666666666E-2</v>
      </c>
      <c r="K25" s="8">
        <f t="shared" si="4"/>
        <v>60788.53591666666</v>
      </c>
      <c r="L25" s="204">
        <v>69636</v>
      </c>
      <c r="M25" s="8">
        <f t="shared" si="1"/>
        <v>-8847.4640833333397</v>
      </c>
      <c r="P25" s="1543">
        <f t="shared" si="5"/>
        <v>1627.4859166666665</v>
      </c>
    </row>
    <row r="26" spans="2:16" x14ac:dyDescent="0.2">
      <c r="B26" s="828">
        <v>1840</v>
      </c>
      <c r="C26" s="787" t="s">
        <v>308</v>
      </c>
      <c r="D26" s="204">
        <v>3936612</v>
      </c>
      <c r="E26" s="204">
        <v>1906280</v>
      </c>
      <c r="F26" s="8">
        <f t="shared" si="2"/>
        <v>2030332</v>
      </c>
      <c r="G26" s="204">
        <v>459743.43</v>
      </c>
      <c r="H26" s="8">
        <f t="shared" si="3"/>
        <v>2260203.7149999999</v>
      </c>
      <c r="I26" s="282">
        <v>40</v>
      </c>
      <c r="J26" s="586">
        <f t="shared" si="0"/>
        <v>2.5000000000000001E-2</v>
      </c>
      <c r="K26" s="8">
        <f t="shared" si="4"/>
        <v>56505.092874999995</v>
      </c>
      <c r="L26" s="204">
        <v>83914</v>
      </c>
      <c r="M26" s="8">
        <f t="shared" si="1"/>
        <v>-27408.907125000005</v>
      </c>
      <c r="P26" s="1543">
        <f t="shared" si="5"/>
        <v>5746.7928750000001</v>
      </c>
    </row>
    <row r="27" spans="2:16" x14ac:dyDescent="0.2">
      <c r="B27" s="828">
        <v>1845</v>
      </c>
      <c r="C27" s="787" t="s">
        <v>309</v>
      </c>
      <c r="D27" s="204">
        <v>8017557</v>
      </c>
      <c r="E27" s="204">
        <v>3749510</v>
      </c>
      <c r="F27" s="8">
        <f t="shared" si="2"/>
        <v>4268047</v>
      </c>
      <c r="G27" s="204">
        <v>559389.01</v>
      </c>
      <c r="H27" s="8">
        <f t="shared" si="3"/>
        <v>4547741.5049999999</v>
      </c>
      <c r="I27" s="282">
        <v>40</v>
      </c>
      <c r="J27" s="586">
        <f t="shared" si="0"/>
        <v>2.5000000000000001E-2</v>
      </c>
      <c r="K27" s="8">
        <f t="shared" si="4"/>
        <v>113693.537625</v>
      </c>
      <c r="L27" s="204">
        <v>141840</v>
      </c>
      <c r="M27" s="8">
        <f t="shared" si="1"/>
        <v>-28146.462375000003</v>
      </c>
      <c r="P27" s="1543">
        <f t="shared" si="5"/>
        <v>6992.3626250000007</v>
      </c>
    </row>
    <row r="28" spans="2:16" x14ac:dyDescent="0.2">
      <c r="B28" s="828">
        <v>1850</v>
      </c>
      <c r="C28" s="787" t="s">
        <v>388</v>
      </c>
      <c r="D28" s="204">
        <f>1607179+7546010</f>
        <v>9153189</v>
      </c>
      <c r="E28" s="204">
        <f>276610+4616797</f>
        <v>4893407</v>
      </c>
      <c r="F28" s="8">
        <f t="shared" si="2"/>
        <v>4259782</v>
      </c>
      <c r="G28" s="204">
        <v>338734.81</v>
      </c>
      <c r="H28" s="8">
        <f t="shared" si="3"/>
        <v>4429149.4050000003</v>
      </c>
      <c r="I28" s="282">
        <v>40</v>
      </c>
      <c r="J28" s="586">
        <f t="shared" si="0"/>
        <v>2.5000000000000001E-2</v>
      </c>
      <c r="K28" s="8">
        <f t="shared" si="4"/>
        <v>110728.73512500001</v>
      </c>
      <c r="L28" s="204">
        <v>149109</v>
      </c>
      <c r="M28" s="8">
        <f t="shared" si="1"/>
        <v>-38380.264874999993</v>
      </c>
      <c r="P28" s="1543">
        <f t="shared" si="5"/>
        <v>4234.185125</v>
      </c>
    </row>
    <row r="29" spans="2:16" x14ac:dyDescent="0.2">
      <c r="B29" s="828">
        <v>1855</v>
      </c>
      <c r="C29" s="787" t="s">
        <v>310</v>
      </c>
      <c r="D29" s="204">
        <f>4097276.35+1107564</f>
        <v>5204840.3499999996</v>
      </c>
      <c r="E29" s="204">
        <f>2148914+186652</f>
        <v>2335566</v>
      </c>
      <c r="F29" s="8">
        <f t="shared" si="2"/>
        <v>2869274.3499999996</v>
      </c>
      <c r="G29" s="204">
        <v>158550.78</v>
      </c>
      <c r="H29" s="8">
        <f t="shared" si="3"/>
        <v>2948549.7399999998</v>
      </c>
      <c r="I29" s="282">
        <v>40</v>
      </c>
      <c r="J29" s="586">
        <f t="shared" si="0"/>
        <v>2.5000000000000001E-2</v>
      </c>
      <c r="K29" s="8">
        <f t="shared" si="4"/>
        <v>73713.743499999997</v>
      </c>
      <c r="L29" s="204">
        <v>87925</v>
      </c>
      <c r="M29" s="8">
        <f t="shared" si="1"/>
        <v>-14211.256500000003</v>
      </c>
      <c r="P29" s="1543">
        <f t="shared" si="5"/>
        <v>1981.8847500000002</v>
      </c>
    </row>
    <row r="30" spans="2:16" x14ac:dyDescent="0.2">
      <c r="B30" s="828">
        <v>1860</v>
      </c>
      <c r="C30" s="787" t="s">
        <v>389</v>
      </c>
      <c r="D30" s="1445">
        <f>2278507+89517.75+73619</f>
        <v>2441643.75</v>
      </c>
      <c r="E30" s="204">
        <f>1495879.88+12564.32</f>
        <v>1508444.2</v>
      </c>
      <c r="F30" s="8">
        <f t="shared" si="2"/>
        <v>933199.55</v>
      </c>
      <c r="G30" s="204">
        <v>4237.6099999999997</v>
      </c>
      <c r="H30" s="8">
        <f t="shared" si="3"/>
        <v>935318.3550000001</v>
      </c>
      <c r="I30" s="282">
        <v>15</v>
      </c>
      <c r="J30" s="586">
        <f t="shared" si="0"/>
        <v>6.6666666666666666E-2</v>
      </c>
      <c r="K30" s="8">
        <f t="shared" si="4"/>
        <v>62354.557000000008</v>
      </c>
      <c r="L30" s="204">
        <v>76025</v>
      </c>
      <c r="M30" s="8">
        <f t="shared" si="1"/>
        <v>-13670.442999999992</v>
      </c>
      <c r="P30" s="1543">
        <f t="shared" si="5"/>
        <v>141.25366666666665</v>
      </c>
    </row>
    <row r="31" spans="2:16" x14ac:dyDescent="0.2">
      <c r="B31" s="829">
        <v>1860</v>
      </c>
      <c r="C31" s="786" t="s">
        <v>311</v>
      </c>
      <c r="D31" s="204">
        <v>3082487</v>
      </c>
      <c r="E31" s="204">
        <v>0</v>
      </c>
      <c r="F31" s="8">
        <f>D31-E31</f>
        <v>3082487</v>
      </c>
      <c r="G31" s="204">
        <f>3100869-D31</f>
        <v>18382</v>
      </c>
      <c r="H31" s="8">
        <f t="shared" si="3"/>
        <v>3091678</v>
      </c>
      <c r="I31" s="282">
        <v>15</v>
      </c>
      <c r="J31" s="586">
        <f t="shared" si="0"/>
        <v>6.6666666666666666E-2</v>
      </c>
      <c r="K31" s="8">
        <f t="shared" si="4"/>
        <v>206111.86666666667</v>
      </c>
      <c r="L31" s="204">
        <v>571777</v>
      </c>
      <c r="M31" s="8">
        <f t="shared" si="1"/>
        <v>-365665.1333333333</v>
      </c>
      <c r="P31" s="1543">
        <f t="shared" si="5"/>
        <v>612.73333333333335</v>
      </c>
    </row>
    <row r="32" spans="2:16" x14ac:dyDescent="0.2">
      <c r="B32" s="829">
        <v>1905</v>
      </c>
      <c r="C32" s="786" t="s">
        <v>383</v>
      </c>
      <c r="D32" s="204">
        <v>174187.53</v>
      </c>
      <c r="E32" s="204">
        <v>0</v>
      </c>
      <c r="F32" s="8">
        <f t="shared" si="2"/>
        <v>174187.53</v>
      </c>
      <c r="G32" s="204"/>
      <c r="H32" s="8">
        <f t="shared" si="3"/>
        <v>174187.53</v>
      </c>
      <c r="I32" s="282"/>
      <c r="J32" s="586">
        <f t="shared" si="0"/>
        <v>0</v>
      </c>
      <c r="K32" s="8">
        <f t="shared" si="4"/>
        <v>0</v>
      </c>
      <c r="L32" s="204"/>
      <c r="M32" s="8">
        <f t="shared" si="1"/>
        <v>0</v>
      </c>
      <c r="P32" s="1543">
        <f t="shared" si="5"/>
        <v>0</v>
      </c>
    </row>
    <row r="33" spans="2:16" x14ac:dyDescent="0.2">
      <c r="B33" s="828">
        <v>1908</v>
      </c>
      <c r="C33" s="787" t="s">
        <v>391</v>
      </c>
      <c r="D33" s="204">
        <v>2385249.7799999998</v>
      </c>
      <c r="E33" s="204">
        <v>900207</v>
      </c>
      <c r="F33" s="8">
        <f t="shared" si="2"/>
        <v>1485042.7799999998</v>
      </c>
      <c r="G33" s="204">
        <v>15493.24</v>
      </c>
      <c r="H33" s="8">
        <f t="shared" si="3"/>
        <v>1492789.4</v>
      </c>
      <c r="I33" s="282">
        <v>60</v>
      </c>
      <c r="J33" s="586">
        <f t="shared" si="0"/>
        <v>1.6666666666666666E-2</v>
      </c>
      <c r="K33" s="8">
        <f t="shared" si="4"/>
        <v>24879.82333333333</v>
      </c>
      <c r="L33" s="204">
        <v>36971</v>
      </c>
      <c r="M33" s="8">
        <f t="shared" si="1"/>
        <v>-12091.17666666667</v>
      </c>
      <c r="P33" s="1543">
        <f t="shared" si="5"/>
        <v>129.11033333333333</v>
      </c>
    </row>
    <row r="34" spans="2:16" x14ac:dyDescent="0.2">
      <c r="B34" s="828">
        <v>1910</v>
      </c>
      <c r="C34" s="787" t="s">
        <v>417</v>
      </c>
      <c r="D34" s="204"/>
      <c r="E34" s="204"/>
      <c r="F34" s="8">
        <f t="shared" si="2"/>
        <v>0</v>
      </c>
      <c r="G34" s="204"/>
      <c r="H34" s="8">
        <f t="shared" si="3"/>
        <v>0</v>
      </c>
      <c r="I34" s="282"/>
      <c r="J34" s="586">
        <f t="shared" si="0"/>
        <v>0</v>
      </c>
      <c r="K34" s="8">
        <f t="shared" si="4"/>
        <v>0</v>
      </c>
      <c r="L34" s="204"/>
      <c r="M34" s="8">
        <f t="shared" si="1"/>
        <v>0</v>
      </c>
      <c r="P34" s="1543">
        <f t="shared" si="5"/>
        <v>0</v>
      </c>
    </row>
    <row r="35" spans="2:16" x14ac:dyDescent="0.2">
      <c r="B35" s="828">
        <v>1915</v>
      </c>
      <c r="C35" s="787" t="s">
        <v>312</v>
      </c>
      <c r="D35" s="204">
        <v>48475</v>
      </c>
      <c r="E35" s="204"/>
      <c r="F35" s="8">
        <f t="shared" si="2"/>
        <v>48475</v>
      </c>
      <c r="G35" s="204">
        <f>71936.87-D35</f>
        <v>23461.869999999995</v>
      </c>
      <c r="H35" s="8">
        <f t="shared" si="3"/>
        <v>60205.934999999998</v>
      </c>
      <c r="I35" s="282">
        <v>10</v>
      </c>
      <c r="J35" s="586">
        <f t="shared" si="0"/>
        <v>0.1</v>
      </c>
      <c r="K35" s="8">
        <f t="shared" si="4"/>
        <v>6020.5934999999999</v>
      </c>
      <c r="L35" s="204">
        <v>7194</v>
      </c>
      <c r="M35" s="8">
        <f t="shared" si="1"/>
        <v>-1173.4065000000001</v>
      </c>
      <c r="P35" s="1543">
        <f t="shared" si="5"/>
        <v>1173.0934999999997</v>
      </c>
    </row>
    <row r="36" spans="2:16" x14ac:dyDescent="0.2">
      <c r="B36" s="828">
        <v>1915</v>
      </c>
      <c r="C36" s="787" t="s">
        <v>313</v>
      </c>
      <c r="D36" s="204"/>
      <c r="E36" s="204"/>
      <c r="F36" s="8">
        <f t="shared" si="2"/>
        <v>0</v>
      </c>
      <c r="G36" s="204"/>
      <c r="H36" s="8">
        <f t="shared" si="3"/>
        <v>0</v>
      </c>
      <c r="I36" s="282"/>
      <c r="J36" s="586">
        <f t="shared" si="0"/>
        <v>0</v>
      </c>
      <c r="K36" s="8">
        <f t="shared" si="4"/>
        <v>0</v>
      </c>
      <c r="L36" s="204">
        <v>0</v>
      </c>
      <c r="M36" s="8">
        <f t="shared" si="1"/>
        <v>0</v>
      </c>
      <c r="P36" s="1543">
        <f t="shared" si="5"/>
        <v>0</v>
      </c>
    </row>
    <row r="37" spans="2:16" x14ac:dyDescent="0.2">
      <c r="B37" s="828">
        <v>1920</v>
      </c>
      <c r="C37" s="787" t="s">
        <v>314</v>
      </c>
      <c r="D37" s="204"/>
      <c r="E37" s="204"/>
      <c r="F37" s="8">
        <f t="shared" si="2"/>
        <v>0</v>
      </c>
      <c r="G37" s="204"/>
      <c r="H37" s="8">
        <f t="shared" si="3"/>
        <v>0</v>
      </c>
      <c r="I37" s="282"/>
      <c r="J37" s="586">
        <f t="shared" si="0"/>
        <v>0</v>
      </c>
      <c r="K37" s="8">
        <f t="shared" si="4"/>
        <v>0</v>
      </c>
      <c r="L37" s="204"/>
      <c r="M37" s="8">
        <f t="shared" si="1"/>
        <v>0</v>
      </c>
      <c r="P37" s="1543">
        <f t="shared" si="5"/>
        <v>0</v>
      </c>
    </row>
    <row r="38" spans="2:16" x14ac:dyDescent="0.2">
      <c r="B38" s="830">
        <v>1920</v>
      </c>
      <c r="C38" s="783" t="s">
        <v>316</v>
      </c>
      <c r="D38" s="204"/>
      <c r="E38" s="204"/>
      <c r="F38" s="8">
        <f t="shared" si="2"/>
        <v>0</v>
      </c>
      <c r="G38" s="204">
        <v>136793.63</v>
      </c>
      <c r="H38" s="8">
        <f t="shared" si="3"/>
        <v>68396.815000000002</v>
      </c>
      <c r="I38" s="282">
        <v>5</v>
      </c>
      <c r="J38" s="586">
        <f t="shared" si="0"/>
        <v>0.2</v>
      </c>
      <c r="K38" s="8">
        <f t="shared" si="4"/>
        <v>13679.363000000001</v>
      </c>
      <c r="L38" s="204">
        <v>40379</v>
      </c>
      <c r="M38" s="8">
        <f t="shared" si="1"/>
        <v>-26699.636999999999</v>
      </c>
      <c r="P38" s="1543">
        <f t="shared" si="5"/>
        <v>13679.363000000001</v>
      </c>
    </row>
    <row r="39" spans="2:16" x14ac:dyDescent="0.2">
      <c r="B39" s="830">
        <v>1920</v>
      </c>
      <c r="C39" s="783" t="s">
        <v>315</v>
      </c>
      <c r="D39" s="204"/>
      <c r="E39" s="204"/>
      <c r="F39" s="8">
        <f t="shared" si="2"/>
        <v>0</v>
      </c>
      <c r="G39" s="204"/>
      <c r="H39" s="8">
        <f t="shared" si="3"/>
        <v>0</v>
      </c>
      <c r="I39" s="282"/>
      <c r="J39" s="586">
        <f t="shared" si="0"/>
        <v>0</v>
      </c>
      <c r="K39" s="8">
        <f t="shared" si="4"/>
        <v>0</v>
      </c>
      <c r="L39" s="204"/>
      <c r="M39" s="8">
        <f t="shared" si="1"/>
        <v>0</v>
      </c>
      <c r="P39" s="1543">
        <f t="shared" si="5"/>
        <v>0</v>
      </c>
    </row>
    <row r="40" spans="2:16" x14ac:dyDescent="0.2">
      <c r="B40" s="828">
        <v>1930</v>
      </c>
      <c r="C40" s="787" t="s">
        <v>404</v>
      </c>
      <c r="D40" s="204"/>
      <c r="E40" s="204"/>
      <c r="F40" s="8">
        <f t="shared" si="2"/>
        <v>0</v>
      </c>
      <c r="G40" s="204">
        <v>679340</v>
      </c>
      <c r="H40" s="8">
        <f t="shared" si="3"/>
        <v>339670</v>
      </c>
      <c r="I40" s="282">
        <v>5</v>
      </c>
      <c r="J40" s="586">
        <f t="shared" si="0"/>
        <v>0.2</v>
      </c>
      <c r="K40" s="8">
        <f t="shared" si="4"/>
        <v>67934</v>
      </c>
      <c r="L40" s="204">
        <v>136811</v>
      </c>
      <c r="M40" s="8">
        <f t="shared" si="1"/>
        <v>-68877</v>
      </c>
      <c r="P40" s="1543">
        <f t="shared" si="5"/>
        <v>67934</v>
      </c>
    </row>
    <row r="41" spans="2:16" x14ac:dyDescent="0.2">
      <c r="B41" s="828">
        <v>1935</v>
      </c>
      <c r="C41" s="787" t="s">
        <v>405</v>
      </c>
      <c r="D41" s="204"/>
      <c r="E41" s="204"/>
      <c r="F41" s="8">
        <f t="shared" si="2"/>
        <v>0</v>
      </c>
      <c r="G41" s="204"/>
      <c r="H41" s="8">
        <f t="shared" si="3"/>
        <v>0</v>
      </c>
      <c r="I41" s="282"/>
      <c r="J41" s="586">
        <f t="shared" si="0"/>
        <v>0</v>
      </c>
      <c r="K41" s="8">
        <f t="shared" si="4"/>
        <v>0</v>
      </c>
      <c r="L41" s="204"/>
      <c r="M41" s="8">
        <f t="shared" si="1"/>
        <v>0</v>
      </c>
      <c r="P41" s="1543">
        <f t="shared" si="5"/>
        <v>0</v>
      </c>
    </row>
    <row r="42" spans="2:16" x14ac:dyDescent="0.2">
      <c r="B42" s="828">
        <v>1940</v>
      </c>
      <c r="C42" s="787" t="s">
        <v>406</v>
      </c>
      <c r="D42" s="204">
        <v>28110</v>
      </c>
      <c r="E42" s="204"/>
      <c r="F42" s="8">
        <f t="shared" si="2"/>
        <v>28110</v>
      </c>
      <c r="G42" s="1445">
        <f>377238.9-D42</f>
        <v>349128.9</v>
      </c>
      <c r="H42" s="8">
        <f t="shared" si="3"/>
        <v>202674.45</v>
      </c>
      <c r="I42" s="282">
        <v>10</v>
      </c>
      <c r="J42" s="586">
        <f t="shared" si="0"/>
        <v>0.1</v>
      </c>
      <c r="K42" s="8">
        <f t="shared" si="4"/>
        <v>20267.445</v>
      </c>
      <c r="L42" s="204">
        <v>43346</v>
      </c>
      <c r="M42" s="8">
        <f t="shared" si="1"/>
        <v>-23078.555</v>
      </c>
      <c r="P42" s="1543">
        <f t="shared" si="5"/>
        <v>17456.445000000003</v>
      </c>
    </row>
    <row r="43" spans="2:16" x14ac:dyDescent="0.2">
      <c r="B43" s="828">
        <v>1945</v>
      </c>
      <c r="C43" s="787" t="s">
        <v>407</v>
      </c>
      <c r="D43" s="204"/>
      <c r="E43" s="204"/>
      <c r="F43" s="8">
        <f t="shared" si="2"/>
        <v>0</v>
      </c>
      <c r="G43" s="204"/>
      <c r="H43" s="8">
        <f t="shared" si="3"/>
        <v>0</v>
      </c>
      <c r="I43" s="282"/>
      <c r="J43" s="586">
        <f t="shared" si="0"/>
        <v>0</v>
      </c>
      <c r="K43" s="8">
        <f t="shared" si="4"/>
        <v>0</v>
      </c>
      <c r="L43" s="204"/>
      <c r="M43" s="8">
        <f t="shared" si="1"/>
        <v>0</v>
      </c>
      <c r="P43" s="1543">
        <f t="shared" si="5"/>
        <v>0</v>
      </c>
    </row>
    <row r="44" spans="2:16" x14ac:dyDescent="0.2">
      <c r="B44" s="828">
        <v>1950</v>
      </c>
      <c r="C44" s="787" t="s">
        <v>317</v>
      </c>
      <c r="D44" s="204"/>
      <c r="E44" s="204"/>
      <c r="F44" s="8">
        <f t="shared" si="2"/>
        <v>0</v>
      </c>
      <c r="G44" s="204"/>
      <c r="H44" s="8">
        <f t="shared" si="3"/>
        <v>0</v>
      </c>
      <c r="I44" s="282"/>
      <c r="J44" s="586">
        <f t="shared" si="0"/>
        <v>0</v>
      </c>
      <c r="K44" s="8">
        <f t="shared" si="4"/>
        <v>0</v>
      </c>
      <c r="L44" s="204"/>
      <c r="M44" s="8">
        <f t="shared" si="1"/>
        <v>0</v>
      </c>
      <c r="P44" s="1543">
        <f t="shared" si="5"/>
        <v>0</v>
      </c>
    </row>
    <row r="45" spans="2:16" x14ac:dyDescent="0.2">
      <c r="B45" s="828">
        <v>1955</v>
      </c>
      <c r="C45" s="787" t="s">
        <v>408</v>
      </c>
      <c r="D45" s="204"/>
      <c r="E45" s="204"/>
      <c r="F45" s="8">
        <f t="shared" si="2"/>
        <v>0</v>
      </c>
      <c r="G45" s="204">
        <v>12465.77</v>
      </c>
      <c r="H45" s="8">
        <f t="shared" si="3"/>
        <v>6232.8850000000002</v>
      </c>
      <c r="I45" s="282">
        <v>5</v>
      </c>
      <c r="J45" s="586">
        <f t="shared" si="0"/>
        <v>0.2</v>
      </c>
      <c r="K45" s="8">
        <f t="shared" si="4"/>
        <v>1246.577</v>
      </c>
      <c r="L45" s="204">
        <v>2493</v>
      </c>
      <c r="M45" s="8">
        <f t="shared" si="1"/>
        <v>-1246.423</v>
      </c>
      <c r="P45" s="1543">
        <f t="shared" si="5"/>
        <v>1246.5770000000002</v>
      </c>
    </row>
    <row r="46" spans="2:16" x14ac:dyDescent="0.2">
      <c r="B46" s="831">
        <v>1955</v>
      </c>
      <c r="C46" s="790" t="s">
        <v>318</v>
      </c>
      <c r="D46" s="204"/>
      <c r="E46" s="204"/>
      <c r="F46" s="8">
        <f t="shared" si="2"/>
        <v>0</v>
      </c>
      <c r="G46" s="204"/>
      <c r="H46" s="8">
        <f t="shared" si="3"/>
        <v>0</v>
      </c>
      <c r="I46" s="282"/>
      <c r="J46" s="586">
        <f t="shared" si="0"/>
        <v>0</v>
      </c>
      <c r="K46" s="8">
        <f t="shared" si="4"/>
        <v>0</v>
      </c>
      <c r="L46" s="204"/>
      <c r="M46" s="8">
        <f t="shared" si="1"/>
        <v>0</v>
      </c>
      <c r="P46" s="1543">
        <f t="shared" si="5"/>
        <v>0</v>
      </c>
    </row>
    <row r="47" spans="2:16" x14ac:dyDescent="0.2">
      <c r="B47" s="830">
        <v>1960</v>
      </c>
      <c r="C47" s="783" t="s">
        <v>319</v>
      </c>
      <c r="D47" s="204"/>
      <c r="E47" s="204"/>
      <c r="F47" s="8">
        <f t="shared" si="2"/>
        <v>0</v>
      </c>
      <c r="G47" s="204">
        <v>200000</v>
      </c>
      <c r="H47" s="8">
        <f t="shared" si="3"/>
        <v>100000</v>
      </c>
      <c r="I47" s="282">
        <v>10</v>
      </c>
      <c r="J47" s="586">
        <f t="shared" si="0"/>
        <v>0.1</v>
      </c>
      <c r="K47" s="8">
        <f t="shared" si="4"/>
        <v>10000</v>
      </c>
      <c r="L47" s="204">
        <v>13333</v>
      </c>
      <c r="M47" s="8">
        <f t="shared" si="1"/>
        <v>-3333</v>
      </c>
      <c r="P47" s="1543">
        <f t="shared" si="5"/>
        <v>10000</v>
      </c>
    </row>
    <row r="48" spans="2:16" x14ac:dyDescent="0.2">
      <c r="B48" s="831">
        <v>1970</v>
      </c>
      <c r="C48" s="832" t="s">
        <v>773</v>
      </c>
      <c r="D48" s="204"/>
      <c r="E48" s="204"/>
      <c r="F48" s="8">
        <f t="shared" si="2"/>
        <v>0</v>
      </c>
      <c r="G48" s="204"/>
      <c r="H48" s="8">
        <f t="shared" si="3"/>
        <v>0</v>
      </c>
      <c r="I48" s="282"/>
      <c r="J48" s="586">
        <f t="shared" si="0"/>
        <v>0</v>
      </c>
      <c r="K48" s="8">
        <f t="shared" si="4"/>
        <v>0</v>
      </c>
      <c r="L48" s="204"/>
      <c r="M48" s="8">
        <f t="shared" si="1"/>
        <v>0</v>
      </c>
      <c r="P48" s="1543">
        <f t="shared" si="5"/>
        <v>0</v>
      </c>
    </row>
    <row r="49" spans="2:17" x14ac:dyDescent="0.2">
      <c r="B49" s="828">
        <v>1975</v>
      </c>
      <c r="C49" s="787" t="s">
        <v>409</v>
      </c>
      <c r="D49" s="204"/>
      <c r="E49" s="204"/>
      <c r="F49" s="8">
        <f t="shared" si="2"/>
        <v>0</v>
      </c>
      <c r="G49" s="204"/>
      <c r="H49" s="8">
        <f t="shared" si="3"/>
        <v>0</v>
      </c>
      <c r="I49" s="282"/>
      <c r="J49" s="586">
        <f t="shared" si="0"/>
        <v>0</v>
      </c>
      <c r="K49" s="8">
        <f t="shared" si="4"/>
        <v>0</v>
      </c>
      <c r="L49" s="204"/>
      <c r="M49" s="8">
        <f t="shared" si="1"/>
        <v>0</v>
      </c>
      <c r="P49" s="1543">
        <f t="shared" si="5"/>
        <v>0</v>
      </c>
    </row>
    <row r="50" spans="2:17" x14ac:dyDescent="0.2">
      <c r="B50" s="828">
        <v>1980</v>
      </c>
      <c r="C50" s="787" t="s">
        <v>410</v>
      </c>
      <c r="D50" s="204">
        <v>43592.36</v>
      </c>
      <c r="E50" s="204"/>
      <c r="F50" s="8">
        <f t="shared" si="2"/>
        <v>43592.36</v>
      </c>
      <c r="G50" s="204">
        <v>412316.37</v>
      </c>
      <c r="H50" s="8">
        <f t="shared" si="3"/>
        <v>249750.54499999998</v>
      </c>
      <c r="I50" s="282">
        <v>15</v>
      </c>
      <c r="J50" s="586">
        <f t="shared" si="0"/>
        <v>6.6666666666666666E-2</v>
      </c>
      <c r="K50" s="8">
        <f t="shared" si="4"/>
        <v>16650.036333333333</v>
      </c>
      <c r="L50" s="204">
        <v>31788</v>
      </c>
      <c r="M50" s="8">
        <f t="shared" si="1"/>
        <v>-15137.963666666667</v>
      </c>
      <c r="P50" s="1543">
        <f t="shared" si="5"/>
        <v>13743.878999999999</v>
      </c>
    </row>
    <row r="51" spans="2:17" x14ac:dyDescent="0.2">
      <c r="B51" s="828">
        <v>1985</v>
      </c>
      <c r="C51" s="787" t="s">
        <v>411</v>
      </c>
      <c r="D51" s="204"/>
      <c r="E51" s="204"/>
      <c r="F51" s="8">
        <f t="shared" si="2"/>
        <v>0</v>
      </c>
      <c r="G51" s="204"/>
      <c r="H51" s="8">
        <f t="shared" si="3"/>
        <v>0</v>
      </c>
      <c r="I51" s="282"/>
      <c r="J51" s="586">
        <f t="shared" si="0"/>
        <v>0</v>
      </c>
      <c r="K51" s="8">
        <f t="shared" si="4"/>
        <v>0</v>
      </c>
      <c r="L51" s="204"/>
      <c r="M51" s="8">
        <f t="shared" si="1"/>
        <v>0</v>
      </c>
      <c r="P51" s="1543">
        <f t="shared" si="5"/>
        <v>0</v>
      </c>
    </row>
    <row r="52" spans="2:17" x14ac:dyDescent="0.2">
      <c r="B52" s="828">
        <v>1990</v>
      </c>
      <c r="C52" s="791" t="s">
        <v>774</v>
      </c>
      <c r="D52" s="204"/>
      <c r="E52" s="204"/>
      <c r="F52" s="8">
        <f t="shared" si="2"/>
        <v>0</v>
      </c>
      <c r="G52" s="204"/>
      <c r="H52" s="8">
        <f t="shared" si="3"/>
        <v>0</v>
      </c>
      <c r="I52" s="282"/>
      <c r="J52" s="586">
        <f t="shared" si="0"/>
        <v>0</v>
      </c>
      <c r="K52" s="8">
        <f t="shared" si="4"/>
        <v>0</v>
      </c>
      <c r="L52" s="204"/>
      <c r="M52" s="8">
        <f t="shared" si="1"/>
        <v>0</v>
      </c>
      <c r="P52" s="1543">
        <f t="shared" si="5"/>
        <v>0</v>
      </c>
    </row>
    <row r="53" spans="2:17" x14ac:dyDescent="0.2">
      <c r="B53" s="828">
        <v>1995</v>
      </c>
      <c r="C53" s="787" t="s">
        <v>412</v>
      </c>
      <c r="D53" s="204">
        <v>-7183004</v>
      </c>
      <c r="E53" s="204">
        <v>-5207307</v>
      </c>
      <c r="F53" s="8">
        <f t="shared" si="2"/>
        <v>-1975697</v>
      </c>
      <c r="G53" s="204">
        <v>-318520.11</v>
      </c>
      <c r="H53" s="8">
        <f t="shared" si="3"/>
        <v>-2134957.0550000002</v>
      </c>
      <c r="I53" s="282">
        <v>40</v>
      </c>
      <c r="J53" s="586">
        <f t="shared" si="0"/>
        <v>2.5000000000000001E-2</v>
      </c>
      <c r="K53" s="8">
        <f t="shared" si="4"/>
        <v>-53373.926375000003</v>
      </c>
      <c r="L53" s="204">
        <v>-162754</v>
      </c>
      <c r="M53" s="8">
        <f t="shared" si="1"/>
        <v>109380.07362499999</v>
      </c>
      <c r="P53" s="1543">
        <f t="shared" si="5"/>
        <v>-3981.5013749999998</v>
      </c>
    </row>
    <row r="54" spans="2:17" x14ac:dyDescent="0.2">
      <c r="B54" s="227" t="s">
        <v>13</v>
      </c>
      <c r="C54" s="228"/>
      <c r="D54" s="204"/>
      <c r="E54" s="204"/>
      <c r="F54" s="8">
        <f t="shared" si="2"/>
        <v>0</v>
      </c>
      <c r="G54" s="204"/>
      <c r="H54" s="8">
        <f t="shared" si="3"/>
        <v>0</v>
      </c>
      <c r="I54" s="282"/>
      <c r="J54" s="586">
        <f t="shared" si="0"/>
        <v>0</v>
      </c>
      <c r="K54" s="8">
        <f t="shared" si="4"/>
        <v>0</v>
      </c>
      <c r="L54" s="204"/>
      <c r="M54" s="8">
        <f t="shared" si="1"/>
        <v>0</v>
      </c>
      <c r="P54" s="1543"/>
    </row>
    <row r="55" spans="2:17" ht="13.5" thickBot="1" x14ac:dyDescent="0.25">
      <c r="B55" s="229"/>
      <c r="C55" s="230"/>
      <c r="D55" s="204"/>
      <c r="E55" s="204"/>
      <c r="F55" s="8">
        <f t="shared" si="2"/>
        <v>0</v>
      </c>
      <c r="G55" s="204"/>
      <c r="H55" s="8">
        <f t="shared" si="3"/>
        <v>0</v>
      </c>
      <c r="I55" s="282"/>
      <c r="J55" s="587">
        <f t="shared" si="0"/>
        <v>0</v>
      </c>
      <c r="K55" s="8">
        <f t="shared" si="4"/>
        <v>0</v>
      </c>
      <c r="L55" s="204"/>
      <c r="M55" s="8">
        <f t="shared" si="1"/>
        <v>0</v>
      </c>
      <c r="P55" s="1543">
        <f>SUM(P16:P54)</f>
        <v>181555.15474999999</v>
      </c>
    </row>
    <row r="56" spans="2:17" ht="14.25" thickTop="1" thickBot="1" x14ac:dyDescent="0.25">
      <c r="B56" s="231"/>
      <c r="C56" s="232" t="s">
        <v>413</v>
      </c>
      <c r="D56" s="796">
        <f>SUM(D16:D55)</f>
        <v>44239961.650000006</v>
      </c>
      <c r="E56" s="796">
        <f>SUM(E16:E55)</f>
        <v>18727140.199999999</v>
      </c>
      <c r="F56" s="8">
        <f>SUM(F16:F55)</f>
        <v>25512821.450000007</v>
      </c>
      <c r="G56" s="8">
        <f>SUM(G16:G55)</f>
        <v>3801914.53</v>
      </c>
      <c r="H56" s="8">
        <f>SUM(H16:H55)</f>
        <v>27413778.715000004</v>
      </c>
      <c r="I56" s="833"/>
      <c r="J56" s="235"/>
      <c r="K56" s="8">
        <f>SUM(K16:K55)</f>
        <v>954020.05027777783</v>
      </c>
      <c r="L56" s="8">
        <f>SUM(L16:L55)</f>
        <v>1549246</v>
      </c>
      <c r="M56" s="8">
        <f>SUM(M16:M55)</f>
        <v>-595225.94972222217</v>
      </c>
      <c r="P56" s="216">
        <v>419000</v>
      </c>
      <c r="Q56" s="216" t="s">
        <v>2071</v>
      </c>
    </row>
    <row r="57" spans="2:17" ht="7.5" customHeight="1" x14ac:dyDescent="0.2">
      <c r="P57" s="1544"/>
    </row>
    <row r="58" spans="2:17" x14ac:dyDescent="0.2">
      <c r="B58" s="670" t="s">
        <v>15</v>
      </c>
      <c r="C58" s="236"/>
      <c r="D58" s="834"/>
      <c r="E58" s="834"/>
      <c r="F58" s="834"/>
      <c r="G58" s="834"/>
      <c r="H58" s="834"/>
      <c r="I58" s="835"/>
      <c r="J58" s="236"/>
      <c r="K58" s="834"/>
    </row>
    <row r="59" spans="2:17" x14ac:dyDescent="0.2">
      <c r="B59" s="236"/>
      <c r="C59" s="236"/>
      <c r="D59" s="834"/>
      <c r="E59" s="834"/>
      <c r="F59" s="834"/>
      <c r="G59" s="834"/>
      <c r="H59" s="834"/>
      <c r="I59" s="835"/>
      <c r="J59" s="236"/>
      <c r="K59" s="834"/>
      <c r="P59" s="1544">
        <f>+P56+P55</f>
        <v>600555.15474999999</v>
      </c>
    </row>
    <row r="60" spans="2:17" ht="24.75" customHeight="1" x14ac:dyDescent="0.2">
      <c r="B60" s="286">
        <v>1</v>
      </c>
      <c r="C60" s="1790" t="s">
        <v>607</v>
      </c>
      <c r="D60" s="1790"/>
      <c r="E60" s="1790"/>
      <c r="F60" s="1790"/>
      <c r="G60" s="1790"/>
      <c r="H60" s="1790"/>
      <c r="I60" s="1790"/>
      <c r="J60" s="1790"/>
      <c r="K60" s="1790"/>
      <c r="L60" s="1790"/>
      <c r="M60" s="1790"/>
    </row>
    <row r="61" spans="2:17" x14ac:dyDescent="0.2">
      <c r="B61" s="679">
        <v>2</v>
      </c>
      <c r="C61" s="1868" t="s">
        <v>1934</v>
      </c>
      <c r="D61" s="1868"/>
      <c r="E61" s="1868"/>
      <c r="F61" s="1868"/>
      <c r="G61" s="1868"/>
      <c r="H61" s="1868"/>
      <c r="I61" s="1868"/>
      <c r="J61" s="1868"/>
      <c r="K61" s="1868"/>
      <c r="L61" s="834"/>
    </row>
    <row r="62" spans="2:17" x14ac:dyDescent="0.2">
      <c r="B62" s="679"/>
      <c r="C62" s="1868"/>
      <c r="D62" s="1868"/>
      <c r="E62" s="1868"/>
      <c r="F62" s="1868"/>
      <c r="G62" s="1868"/>
      <c r="H62" s="1868"/>
      <c r="I62" s="1868"/>
      <c r="J62" s="1868"/>
      <c r="K62" s="1868"/>
      <c r="L62" s="834"/>
    </row>
    <row r="63" spans="2:17" ht="12.75" customHeight="1" x14ac:dyDescent="0.2">
      <c r="B63" s="217" t="s">
        <v>605</v>
      </c>
      <c r="C63" s="1869" t="s">
        <v>270</v>
      </c>
      <c r="D63" s="1869"/>
      <c r="E63" s="1869"/>
      <c r="F63" s="1869"/>
      <c r="G63" s="1869"/>
      <c r="H63" s="1869"/>
      <c r="I63" s="1869"/>
      <c r="J63" s="1869"/>
      <c r="K63" s="1869"/>
      <c r="L63" s="1869"/>
      <c r="M63" s="1869"/>
      <c r="N63" s="675"/>
      <c r="O63" s="675"/>
    </row>
    <row r="64" spans="2:17" x14ac:dyDescent="0.2">
      <c r="C64" s="1869"/>
      <c r="D64" s="1869"/>
      <c r="E64" s="1869"/>
      <c r="F64" s="1869"/>
      <c r="G64" s="1869"/>
      <c r="H64" s="1869"/>
      <c r="I64" s="1869"/>
      <c r="J64" s="1869"/>
      <c r="K64" s="1869"/>
      <c r="L64" s="1869"/>
      <c r="M64" s="1869"/>
      <c r="N64" s="675"/>
      <c r="O64" s="675"/>
    </row>
    <row r="65" spans="3:15" x14ac:dyDescent="0.2">
      <c r="C65" s="675"/>
      <c r="D65" s="836"/>
      <c r="E65" s="836"/>
      <c r="F65" s="836"/>
      <c r="G65" s="836"/>
      <c r="H65" s="836"/>
      <c r="I65" s="837"/>
      <c r="J65" s="675"/>
      <c r="K65" s="836"/>
      <c r="L65" s="836"/>
      <c r="M65" s="836"/>
      <c r="N65" s="675"/>
      <c r="O65" s="675"/>
    </row>
  </sheetData>
  <mergeCells count="9">
    <mergeCell ref="C60:M60"/>
    <mergeCell ref="C61:K62"/>
    <mergeCell ref="C63:M64"/>
    <mergeCell ref="B9:M9"/>
    <mergeCell ref="B10:M10"/>
    <mergeCell ref="B11:M11"/>
    <mergeCell ref="B14:B15"/>
    <mergeCell ref="C14:C15"/>
    <mergeCell ref="L14:L15"/>
  </mergeCells>
  <dataValidations disablePrompts="1" count="2">
    <dataValidation allowBlank="1" showInputMessage="1" showErrorMessage="1" promptTitle="Date Format" prompt="E.g:  &quot;August 1, 2011&quot;" sqref="WVS983048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dataValidation allowBlank="1" showErrorMessage="1" promptTitle="Date Format" prompt="E.g:  &quot;August 1, 2011&quot;" sqref="K7"/>
  </dataValidations>
  <printOptions horizontalCentered="1"/>
  <pageMargins left="0.74803149606299213" right="0.74803149606299213" top="0.70866141732283472" bottom="0.39370078740157483" header="0.39370078740157483" footer="0.27559055118110237"/>
  <pageSetup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1:Q73"/>
  <sheetViews>
    <sheetView showGridLines="0" topLeftCell="B27" zoomScale="85" zoomScaleNormal="85" workbookViewId="0">
      <selection activeCell="H32" sqref="H32"/>
    </sheetView>
  </sheetViews>
  <sheetFormatPr defaultRowHeight="12.75" x14ac:dyDescent="0.2"/>
  <cols>
    <col min="1" max="1" width="4" style="216" customWidth="1"/>
    <col min="2" max="2" width="9.140625" style="216"/>
    <col min="3" max="3" width="40.28515625" style="216" bestFit="1" customWidth="1"/>
    <col min="4" max="4" width="13.140625" style="216" bestFit="1" customWidth="1"/>
    <col min="5" max="5" width="11.5703125" style="216" bestFit="1" customWidth="1"/>
    <col min="6" max="6" width="14.85546875" style="216" customWidth="1"/>
    <col min="7" max="7" width="9.5703125" style="216" customWidth="1"/>
    <col min="8" max="9" width="13.140625" style="216" customWidth="1"/>
    <col min="10" max="10" width="13.7109375" style="216" customWidth="1"/>
    <col min="11" max="11" width="12.85546875" style="216" customWidth="1"/>
    <col min="12" max="12" width="17.7109375" style="216" customWidth="1"/>
    <col min="13" max="13" width="12.7109375" style="216" customWidth="1"/>
    <col min="14" max="14" width="13.42578125" style="216" customWidth="1"/>
    <col min="15" max="15" width="19" style="216" customWidth="1"/>
    <col min="16" max="16" width="18.5703125" style="216" customWidth="1"/>
    <col min="17" max="257" width="9.140625" style="216"/>
    <col min="258" max="258" width="2.7109375" style="216" customWidth="1"/>
    <col min="259" max="259" width="9.140625" style="216"/>
    <col min="260" max="260" width="40.28515625" style="216" bestFit="1" customWidth="1"/>
    <col min="261" max="261" width="12" style="216" customWidth="1"/>
    <col min="262" max="262" width="10" style="216" customWidth="1"/>
    <col min="263" max="263" width="14.85546875" style="216" customWidth="1"/>
    <col min="264" max="264" width="9.5703125" style="216" customWidth="1"/>
    <col min="265" max="266" width="12.28515625" style="216" customWidth="1"/>
    <col min="267" max="269" width="12.85546875" style="216" customWidth="1"/>
    <col min="270" max="270" width="12.7109375" style="216" customWidth="1"/>
    <col min="271" max="271" width="12.28515625" style="216" bestFit="1" customWidth="1"/>
    <col min="272" max="272" width="13.140625" style="216" customWidth="1"/>
    <col min="273" max="513" width="9.140625" style="216"/>
    <col min="514" max="514" width="2.7109375" style="216" customWidth="1"/>
    <col min="515" max="515" width="9.140625" style="216"/>
    <col min="516" max="516" width="40.28515625" style="216" bestFit="1" customWidth="1"/>
    <col min="517" max="517" width="12" style="216" customWidth="1"/>
    <col min="518" max="518" width="10" style="216" customWidth="1"/>
    <col min="519" max="519" width="14.85546875" style="216" customWidth="1"/>
    <col min="520" max="520" width="9.5703125" style="216" customWidth="1"/>
    <col min="521" max="522" width="12.28515625" style="216" customWidth="1"/>
    <col min="523" max="525" width="12.85546875" style="216" customWidth="1"/>
    <col min="526" max="526" width="12.7109375" style="216" customWidth="1"/>
    <col min="527" max="527" width="12.28515625" style="216" bestFit="1" customWidth="1"/>
    <col min="528" max="528" width="13.140625" style="216" customWidth="1"/>
    <col min="529" max="769" width="9.140625" style="216"/>
    <col min="770" max="770" width="2.7109375" style="216" customWidth="1"/>
    <col min="771" max="771" width="9.140625" style="216"/>
    <col min="772" max="772" width="40.28515625" style="216" bestFit="1" customWidth="1"/>
    <col min="773" max="773" width="12" style="216" customWidth="1"/>
    <col min="774" max="774" width="10" style="216" customWidth="1"/>
    <col min="775" max="775" width="14.85546875" style="216" customWidth="1"/>
    <col min="776" max="776" width="9.5703125" style="216" customWidth="1"/>
    <col min="777" max="778" width="12.28515625" style="216" customWidth="1"/>
    <col min="779" max="781" width="12.85546875" style="216" customWidth="1"/>
    <col min="782" max="782" width="12.7109375" style="216" customWidth="1"/>
    <col min="783" max="783" width="12.28515625" style="216" bestFit="1" customWidth="1"/>
    <col min="784" max="784" width="13.140625" style="216" customWidth="1"/>
    <col min="785" max="1025" width="9.140625" style="216"/>
    <col min="1026" max="1026" width="2.7109375" style="216" customWidth="1"/>
    <col min="1027" max="1027" width="9.140625" style="216"/>
    <col min="1028" max="1028" width="40.28515625" style="216" bestFit="1" customWidth="1"/>
    <col min="1029" max="1029" width="12" style="216" customWidth="1"/>
    <col min="1030" max="1030" width="10" style="216" customWidth="1"/>
    <col min="1031" max="1031" width="14.85546875" style="216" customWidth="1"/>
    <col min="1032" max="1032" width="9.5703125" style="216" customWidth="1"/>
    <col min="1033" max="1034" width="12.28515625" style="216" customWidth="1"/>
    <col min="1035" max="1037" width="12.85546875" style="216" customWidth="1"/>
    <col min="1038" max="1038" width="12.7109375" style="216" customWidth="1"/>
    <col min="1039" max="1039" width="12.28515625" style="216" bestFit="1" customWidth="1"/>
    <col min="1040" max="1040" width="13.140625" style="216" customWidth="1"/>
    <col min="1041" max="1281" width="9.140625" style="216"/>
    <col min="1282" max="1282" width="2.7109375" style="216" customWidth="1"/>
    <col min="1283" max="1283" width="9.140625" style="216"/>
    <col min="1284" max="1284" width="40.28515625" style="216" bestFit="1" customWidth="1"/>
    <col min="1285" max="1285" width="12" style="216" customWidth="1"/>
    <col min="1286" max="1286" width="10" style="216" customWidth="1"/>
    <col min="1287" max="1287" width="14.85546875" style="216" customWidth="1"/>
    <col min="1288" max="1288" width="9.5703125" style="216" customWidth="1"/>
    <col min="1289" max="1290" width="12.28515625" style="216" customWidth="1"/>
    <col min="1291" max="1293" width="12.85546875" style="216" customWidth="1"/>
    <col min="1294" max="1294" width="12.7109375" style="216" customWidth="1"/>
    <col min="1295" max="1295" width="12.28515625" style="216" bestFit="1" customWidth="1"/>
    <col min="1296" max="1296" width="13.140625" style="216" customWidth="1"/>
    <col min="1297" max="1537" width="9.140625" style="216"/>
    <col min="1538" max="1538" width="2.7109375" style="216" customWidth="1"/>
    <col min="1539" max="1539" width="9.140625" style="216"/>
    <col min="1540" max="1540" width="40.28515625" style="216" bestFit="1" customWidth="1"/>
    <col min="1541" max="1541" width="12" style="216" customWidth="1"/>
    <col min="1542" max="1542" width="10" style="216" customWidth="1"/>
    <col min="1543" max="1543" width="14.85546875" style="216" customWidth="1"/>
    <col min="1544" max="1544" width="9.5703125" style="216" customWidth="1"/>
    <col min="1545" max="1546" width="12.28515625" style="216" customWidth="1"/>
    <col min="1547" max="1549" width="12.85546875" style="216" customWidth="1"/>
    <col min="1550" max="1550" width="12.7109375" style="216" customWidth="1"/>
    <col min="1551" max="1551" width="12.28515625" style="216" bestFit="1" customWidth="1"/>
    <col min="1552" max="1552" width="13.140625" style="216" customWidth="1"/>
    <col min="1553" max="1793" width="9.140625" style="216"/>
    <col min="1794" max="1794" width="2.7109375" style="216" customWidth="1"/>
    <col min="1795" max="1795" width="9.140625" style="216"/>
    <col min="1796" max="1796" width="40.28515625" style="216" bestFit="1" customWidth="1"/>
    <col min="1797" max="1797" width="12" style="216" customWidth="1"/>
    <col min="1798" max="1798" width="10" style="216" customWidth="1"/>
    <col min="1799" max="1799" width="14.85546875" style="216" customWidth="1"/>
    <col min="1800" max="1800" width="9.5703125" style="216" customWidth="1"/>
    <col min="1801" max="1802" width="12.28515625" style="216" customWidth="1"/>
    <col min="1803" max="1805" width="12.85546875" style="216" customWidth="1"/>
    <col min="1806" max="1806" width="12.7109375" style="216" customWidth="1"/>
    <col min="1807" max="1807" width="12.28515625" style="216" bestFit="1" customWidth="1"/>
    <col min="1808" max="1808" width="13.140625" style="216" customWidth="1"/>
    <col min="1809" max="2049" width="9.140625" style="216"/>
    <col min="2050" max="2050" width="2.7109375" style="216" customWidth="1"/>
    <col min="2051" max="2051" width="9.140625" style="216"/>
    <col min="2052" max="2052" width="40.28515625" style="216" bestFit="1" customWidth="1"/>
    <col min="2053" max="2053" width="12" style="216" customWidth="1"/>
    <col min="2054" max="2054" width="10" style="216" customWidth="1"/>
    <col min="2055" max="2055" width="14.85546875" style="216" customWidth="1"/>
    <col min="2056" max="2056" width="9.5703125" style="216" customWidth="1"/>
    <col min="2057" max="2058" width="12.28515625" style="216" customWidth="1"/>
    <col min="2059" max="2061" width="12.85546875" style="216" customWidth="1"/>
    <col min="2062" max="2062" width="12.7109375" style="216" customWidth="1"/>
    <col min="2063" max="2063" width="12.28515625" style="216" bestFit="1" customWidth="1"/>
    <col min="2064" max="2064" width="13.140625" style="216" customWidth="1"/>
    <col min="2065" max="2305" width="9.140625" style="216"/>
    <col min="2306" max="2306" width="2.7109375" style="216" customWidth="1"/>
    <col min="2307" max="2307" width="9.140625" style="216"/>
    <col min="2308" max="2308" width="40.28515625" style="216" bestFit="1" customWidth="1"/>
    <col min="2309" max="2309" width="12" style="216" customWidth="1"/>
    <col min="2310" max="2310" width="10" style="216" customWidth="1"/>
    <col min="2311" max="2311" width="14.85546875" style="216" customWidth="1"/>
    <col min="2312" max="2312" width="9.5703125" style="216" customWidth="1"/>
    <col min="2313" max="2314" width="12.28515625" style="216" customWidth="1"/>
    <col min="2315" max="2317" width="12.85546875" style="216" customWidth="1"/>
    <col min="2318" max="2318" width="12.7109375" style="216" customWidth="1"/>
    <col min="2319" max="2319" width="12.28515625" style="216" bestFit="1" customWidth="1"/>
    <col min="2320" max="2320" width="13.140625" style="216" customWidth="1"/>
    <col min="2321" max="2561" width="9.140625" style="216"/>
    <col min="2562" max="2562" width="2.7109375" style="216" customWidth="1"/>
    <col min="2563" max="2563" width="9.140625" style="216"/>
    <col min="2564" max="2564" width="40.28515625" style="216" bestFit="1" customWidth="1"/>
    <col min="2565" max="2565" width="12" style="216" customWidth="1"/>
    <col min="2566" max="2566" width="10" style="216" customWidth="1"/>
    <col min="2567" max="2567" width="14.85546875" style="216" customWidth="1"/>
    <col min="2568" max="2568" width="9.5703125" style="216" customWidth="1"/>
    <col min="2569" max="2570" width="12.28515625" style="216" customWidth="1"/>
    <col min="2571" max="2573" width="12.85546875" style="216" customWidth="1"/>
    <col min="2574" max="2574" width="12.7109375" style="216" customWidth="1"/>
    <col min="2575" max="2575" width="12.28515625" style="216" bestFit="1" customWidth="1"/>
    <col min="2576" max="2576" width="13.140625" style="216" customWidth="1"/>
    <col min="2577" max="2817" width="9.140625" style="216"/>
    <col min="2818" max="2818" width="2.7109375" style="216" customWidth="1"/>
    <col min="2819" max="2819" width="9.140625" style="216"/>
    <col min="2820" max="2820" width="40.28515625" style="216" bestFit="1" customWidth="1"/>
    <col min="2821" max="2821" width="12" style="216" customWidth="1"/>
    <col min="2822" max="2822" width="10" style="216" customWidth="1"/>
    <col min="2823" max="2823" width="14.85546875" style="216" customWidth="1"/>
    <col min="2824" max="2824" width="9.5703125" style="216" customWidth="1"/>
    <col min="2825" max="2826" width="12.28515625" style="216" customWidth="1"/>
    <col min="2827" max="2829" width="12.85546875" style="216" customWidth="1"/>
    <col min="2830" max="2830" width="12.7109375" style="216" customWidth="1"/>
    <col min="2831" max="2831" width="12.28515625" style="216" bestFit="1" customWidth="1"/>
    <col min="2832" max="2832" width="13.140625" style="216" customWidth="1"/>
    <col min="2833" max="3073" width="9.140625" style="216"/>
    <col min="3074" max="3074" width="2.7109375" style="216" customWidth="1"/>
    <col min="3075" max="3075" width="9.140625" style="216"/>
    <col min="3076" max="3076" width="40.28515625" style="216" bestFit="1" customWidth="1"/>
    <col min="3077" max="3077" width="12" style="216" customWidth="1"/>
    <col min="3078" max="3078" width="10" style="216" customWidth="1"/>
    <col min="3079" max="3079" width="14.85546875" style="216" customWidth="1"/>
    <col min="3080" max="3080" width="9.5703125" style="216" customWidth="1"/>
    <col min="3081" max="3082" width="12.28515625" style="216" customWidth="1"/>
    <col min="3083" max="3085" width="12.85546875" style="216" customWidth="1"/>
    <col min="3086" max="3086" width="12.7109375" style="216" customWidth="1"/>
    <col min="3087" max="3087" width="12.28515625" style="216" bestFit="1" customWidth="1"/>
    <col min="3088" max="3088" width="13.140625" style="216" customWidth="1"/>
    <col min="3089" max="3329" width="9.140625" style="216"/>
    <col min="3330" max="3330" width="2.7109375" style="216" customWidth="1"/>
    <col min="3331" max="3331" width="9.140625" style="216"/>
    <col min="3332" max="3332" width="40.28515625" style="216" bestFit="1" customWidth="1"/>
    <col min="3333" max="3333" width="12" style="216" customWidth="1"/>
    <col min="3334" max="3334" width="10" style="216" customWidth="1"/>
    <col min="3335" max="3335" width="14.85546875" style="216" customWidth="1"/>
    <col min="3336" max="3336" width="9.5703125" style="216" customWidth="1"/>
    <col min="3337" max="3338" width="12.28515625" style="216" customWidth="1"/>
    <col min="3339" max="3341" width="12.85546875" style="216" customWidth="1"/>
    <col min="3342" max="3342" width="12.7109375" style="216" customWidth="1"/>
    <col min="3343" max="3343" width="12.28515625" style="216" bestFit="1" customWidth="1"/>
    <col min="3344" max="3344" width="13.140625" style="216" customWidth="1"/>
    <col min="3345" max="3585" width="9.140625" style="216"/>
    <col min="3586" max="3586" width="2.7109375" style="216" customWidth="1"/>
    <col min="3587" max="3587" width="9.140625" style="216"/>
    <col min="3588" max="3588" width="40.28515625" style="216" bestFit="1" customWidth="1"/>
    <col min="3589" max="3589" width="12" style="216" customWidth="1"/>
    <col min="3590" max="3590" width="10" style="216" customWidth="1"/>
    <col min="3591" max="3591" width="14.85546875" style="216" customWidth="1"/>
    <col min="3592" max="3592" width="9.5703125" style="216" customWidth="1"/>
    <col min="3593" max="3594" width="12.28515625" style="216" customWidth="1"/>
    <col min="3595" max="3597" width="12.85546875" style="216" customWidth="1"/>
    <col min="3598" max="3598" width="12.7109375" style="216" customWidth="1"/>
    <col min="3599" max="3599" width="12.28515625" style="216" bestFit="1" customWidth="1"/>
    <col min="3600" max="3600" width="13.140625" style="216" customWidth="1"/>
    <col min="3601" max="3841" width="9.140625" style="216"/>
    <col min="3842" max="3842" width="2.7109375" style="216" customWidth="1"/>
    <col min="3843" max="3843" width="9.140625" style="216"/>
    <col min="3844" max="3844" width="40.28515625" style="216" bestFit="1" customWidth="1"/>
    <col min="3845" max="3845" width="12" style="216" customWidth="1"/>
    <col min="3846" max="3846" width="10" style="216" customWidth="1"/>
    <col min="3847" max="3847" width="14.85546875" style="216" customWidth="1"/>
    <col min="3848" max="3848" width="9.5703125" style="216" customWidth="1"/>
    <col min="3849" max="3850" width="12.28515625" style="216" customWidth="1"/>
    <col min="3851" max="3853" width="12.85546875" style="216" customWidth="1"/>
    <col min="3854" max="3854" width="12.7109375" style="216" customWidth="1"/>
    <col min="3855" max="3855" width="12.28515625" style="216" bestFit="1" customWidth="1"/>
    <col min="3856" max="3856" width="13.140625" style="216" customWidth="1"/>
    <col min="3857" max="4097" width="9.140625" style="216"/>
    <col min="4098" max="4098" width="2.7109375" style="216" customWidth="1"/>
    <col min="4099" max="4099" width="9.140625" style="216"/>
    <col min="4100" max="4100" width="40.28515625" style="216" bestFit="1" customWidth="1"/>
    <col min="4101" max="4101" width="12" style="216" customWidth="1"/>
    <col min="4102" max="4102" width="10" style="216" customWidth="1"/>
    <col min="4103" max="4103" width="14.85546875" style="216" customWidth="1"/>
    <col min="4104" max="4104" width="9.5703125" style="216" customWidth="1"/>
    <col min="4105" max="4106" width="12.28515625" style="216" customWidth="1"/>
    <col min="4107" max="4109" width="12.85546875" style="216" customWidth="1"/>
    <col min="4110" max="4110" width="12.7109375" style="216" customWidth="1"/>
    <col min="4111" max="4111" width="12.28515625" style="216" bestFit="1" customWidth="1"/>
    <col min="4112" max="4112" width="13.140625" style="216" customWidth="1"/>
    <col min="4113" max="4353" width="9.140625" style="216"/>
    <col min="4354" max="4354" width="2.7109375" style="216" customWidth="1"/>
    <col min="4355" max="4355" width="9.140625" style="216"/>
    <col min="4356" max="4356" width="40.28515625" style="216" bestFit="1" customWidth="1"/>
    <col min="4357" max="4357" width="12" style="216" customWidth="1"/>
    <col min="4358" max="4358" width="10" style="216" customWidth="1"/>
    <col min="4359" max="4359" width="14.85546875" style="216" customWidth="1"/>
    <col min="4360" max="4360" width="9.5703125" style="216" customWidth="1"/>
    <col min="4361" max="4362" width="12.28515625" style="216" customWidth="1"/>
    <col min="4363" max="4365" width="12.85546875" style="216" customWidth="1"/>
    <col min="4366" max="4366" width="12.7109375" style="216" customWidth="1"/>
    <col min="4367" max="4367" width="12.28515625" style="216" bestFit="1" customWidth="1"/>
    <col min="4368" max="4368" width="13.140625" style="216" customWidth="1"/>
    <col min="4369" max="4609" width="9.140625" style="216"/>
    <col min="4610" max="4610" width="2.7109375" style="216" customWidth="1"/>
    <col min="4611" max="4611" width="9.140625" style="216"/>
    <col min="4612" max="4612" width="40.28515625" style="216" bestFit="1" customWidth="1"/>
    <col min="4613" max="4613" width="12" style="216" customWidth="1"/>
    <col min="4614" max="4614" width="10" style="216" customWidth="1"/>
    <col min="4615" max="4615" width="14.85546875" style="216" customWidth="1"/>
    <col min="4616" max="4616" width="9.5703125" style="216" customWidth="1"/>
    <col min="4617" max="4618" width="12.28515625" style="216" customWidth="1"/>
    <col min="4619" max="4621" width="12.85546875" style="216" customWidth="1"/>
    <col min="4622" max="4622" width="12.7109375" style="216" customWidth="1"/>
    <col min="4623" max="4623" width="12.28515625" style="216" bestFit="1" customWidth="1"/>
    <col min="4624" max="4624" width="13.140625" style="216" customWidth="1"/>
    <col min="4625" max="4865" width="9.140625" style="216"/>
    <col min="4866" max="4866" width="2.7109375" style="216" customWidth="1"/>
    <col min="4867" max="4867" width="9.140625" style="216"/>
    <col min="4868" max="4868" width="40.28515625" style="216" bestFit="1" customWidth="1"/>
    <col min="4869" max="4869" width="12" style="216" customWidth="1"/>
    <col min="4870" max="4870" width="10" style="216" customWidth="1"/>
    <col min="4871" max="4871" width="14.85546875" style="216" customWidth="1"/>
    <col min="4872" max="4872" width="9.5703125" style="216" customWidth="1"/>
    <col min="4873" max="4874" width="12.28515625" style="216" customWidth="1"/>
    <col min="4875" max="4877" width="12.85546875" style="216" customWidth="1"/>
    <col min="4878" max="4878" width="12.7109375" style="216" customWidth="1"/>
    <col min="4879" max="4879" width="12.28515625" style="216" bestFit="1" customWidth="1"/>
    <col min="4880" max="4880" width="13.140625" style="216" customWidth="1"/>
    <col min="4881" max="5121" width="9.140625" style="216"/>
    <col min="5122" max="5122" width="2.7109375" style="216" customWidth="1"/>
    <col min="5123" max="5123" width="9.140625" style="216"/>
    <col min="5124" max="5124" width="40.28515625" style="216" bestFit="1" customWidth="1"/>
    <col min="5125" max="5125" width="12" style="216" customWidth="1"/>
    <col min="5126" max="5126" width="10" style="216" customWidth="1"/>
    <col min="5127" max="5127" width="14.85546875" style="216" customWidth="1"/>
    <col min="5128" max="5128" width="9.5703125" style="216" customWidth="1"/>
    <col min="5129" max="5130" width="12.28515625" style="216" customWidth="1"/>
    <col min="5131" max="5133" width="12.85546875" style="216" customWidth="1"/>
    <col min="5134" max="5134" width="12.7109375" style="216" customWidth="1"/>
    <col min="5135" max="5135" width="12.28515625" style="216" bestFit="1" customWidth="1"/>
    <col min="5136" max="5136" width="13.140625" style="216" customWidth="1"/>
    <col min="5137" max="5377" width="9.140625" style="216"/>
    <col min="5378" max="5378" width="2.7109375" style="216" customWidth="1"/>
    <col min="5379" max="5379" width="9.140625" style="216"/>
    <col min="5380" max="5380" width="40.28515625" style="216" bestFit="1" customWidth="1"/>
    <col min="5381" max="5381" width="12" style="216" customWidth="1"/>
    <col min="5382" max="5382" width="10" style="216" customWidth="1"/>
    <col min="5383" max="5383" width="14.85546875" style="216" customWidth="1"/>
    <col min="5384" max="5384" width="9.5703125" style="216" customWidth="1"/>
    <col min="5385" max="5386" width="12.28515625" style="216" customWidth="1"/>
    <col min="5387" max="5389" width="12.85546875" style="216" customWidth="1"/>
    <col min="5390" max="5390" width="12.7109375" style="216" customWidth="1"/>
    <col min="5391" max="5391" width="12.28515625" style="216" bestFit="1" customWidth="1"/>
    <col min="5392" max="5392" width="13.140625" style="216" customWidth="1"/>
    <col min="5393" max="5633" width="9.140625" style="216"/>
    <col min="5634" max="5634" width="2.7109375" style="216" customWidth="1"/>
    <col min="5635" max="5635" width="9.140625" style="216"/>
    <col min="5636" max="5636" width="40.28515625" style="216" bestFit="1" customWidth="1"/>
    <col min="5637" max="5637" width="12" style="216" customWidth="1"/>
    <col min="5638" max="5638" width="10" style="216" customWidth="1"/>
    <col min="5639" max="5639" width="14.85546875" style="216" customWidth="1"/>
    <col min="5640" max="5640" width="9.5703125" style="216" customWidth="1"/>
    <col min="5641" max="5642" width="12.28515625" style="216" customWidth="1"/>
    <col min="5643" max="5645" width="12.85546875" style="216" customWidth="1"/>
    <col min="5646" max="5646" width="12.7109375" style="216" customWidth="1"/>
    <col min="5647" max="5647" width="12.28515625" style="216" bestFit="1" customWidth="1"/>
    <col min="5648" max="5648" width="13.140625" style="216" customWidth="1"/>
    <col min="5649" max="5889" width="9.140625" style="216"/>
    <col min="5890" max="5890" width="2.7109375" style="216" customWidth="1"/>
    <col min="5891" max="5891" width="9.140625" style="216"/>
    <col min="5892" max="5892" width="40.28515625" style="216" bestFit="1" customWidth="1"/>
    <col min="5893" max="5893" width="12" style="216" customWidth="1"/>
    <col min="5894" max="5894" width="10" style="216" customWidth="1"/>
    <col min="5895" max="5895" width="14.85546875" style="216" customWidth="1"/>
    <col min="5896" max="5896" width="9.5703125" style="216" customWidth="1"/>
    <col min="5897" max="5898" width="12.28515625" style="216" customWidth="1"/>
    <col min="5899" max="5901" width="12.85546875" style="216" customWidth="1"/>
    <col min="5902" max="5902" width="12.7109375" style="216" customWidth="1"/>
    <col min="5903" max="5903" width="12.28515625" style="216" bestFit="1" customWidth="1"/>
    <col min="5904" max="5904" width="13.140625" style="216" customWidth="1"/>
    <col min="5905" max="6145" width="9.140625" style="216"/>
    <col min="6146" max="6146" width="2.7109375" style="216" customWidth="1"/>
    <col min="6147" max="6147" width="9.140625" style="216"/>
    <col min="6148" max="6148" width="40.28515625" style="216" bestFit="1" customWidth="1"/>
    <col min="6149" max="6149" width="12" style="216" customWidth="1"/>
    <col min="6150" max="6150" width="10" style="216" customWidth="1"/>
    <col min="6151" max="6151" width="14.85546875" style="216" customWidth="1"/>
    <col min="6152" max="6152" width="9.5703125" style="216" customWidth="1"/>
    <col min="6153" max="6154" width="12.28515625" style="216" customWidth="1"/>
    <col min="6155" max="6157" width="12.85546875" style="216" customWidth="1"/>
    <col min="6158" max="6158" width="12.7109375" style="216" customWidth="1"/>
    <col min="6159" max="6159" width="12.28515625" style="216" bestFit="1" customWidth="1"/>
    <col min="6160" max="6160" width="13.140625" style="216" customWidth="1"/>
    <col min="6161" max="6401" width="9.140625" style="216"/>
    <col min="6402" max="6402" width="2.7109375" style="216" customWidth="1"/>
    <col min="6403" max="6403" width="9.140625" style="216"/>
    <col min="6404" max="6404" width="40.28515625" style="216" bestFit="1" customWidth="1"/>
    <col min="6405" max="6405" width="12" style="216" customWidth="1"/>
    <col min="6406" max="6406" width="10" style="216" customWidth="1"/>
    <col min="6407" max="6407" width="14.85546875" style="216" customWidth="1"/>
    <col min="6408" max="6408" width="9.5703125" style="216" customWidth="1"/>
    <col min="6409" max="6410" width="12.28515625" style="216" customWidth="1"/>
    <col min="6411" max="6413" width="12.85546875" style="216" customWidth="1"/>
    <col min="6414" max="6414" width="12.7109375" style="216" customWidth="1"/>
    <col min="6415" max="6415" width="12.28515625" style="216" bestFit="1" customWidth="1"/>
    <col min="6416" max="6416" width="13.140625" style="216" customWidth="1"/>
    <col min="6417" max="6657" width="9.140625" style="216"/>
    <col min="6658" max="6658" width="2.7109375" style="216" customWidth="1"/>
    <col min="6659" max="6659" width="9.140625" style="216"/>
    <col min="6660" max="6660" width="40.28515625" style="216" bestFit="1" customWidth="1"/>
    <col min="6661" max="6661" width="12" style="216" customWidth="1"/>
    <col min="6662" max="6662" width="10" style="216" customWidth="1"/>
    <col min="6663" max="6663" width="14.85546875" style="216" customWidth="1"/>
    <col min="6664" max="6664" width="9.5703125" style="216" customWidth="1"/>
    <col min="6665" max="6666" width="12.28515625" style="216" customWidth="1"/>
    <col min="6667" max="6669" width="12.85546875" style="216" customWidth="1"/>
    <col min="6670" max="6670" width="12.7109375" style="216" customWidth="1"/>
    <col min="6671" max="6671" width="12.28515625" style="216" bestFit="1" customWidth="1"/>
    <col min="6672" max="6672" width="13.140625" style="216" customWidth="1"/>
    <col min="6673" max="6913" width="9.140625" style="216"/>
    <col min="6914" max="6914" width="2.7109375" style="216" customWidth="1"/>
    <col min="6915" max="6915" width="9.140625" style="216"/>
    <col min="6916" max="6916" width="40.28515625" style="216" bestFit="1" customWidth="1"/>
    <col min="6917" max="6917" width="12" style="216" customWidth="1"/>
    <col min="6918" max="6918" width="10" style="216" customWidth="1"/>
    <col min="6919" max="6919" width="14.85546875" style="216" customWidth="1"/>
    <col min="6920" max="6920" width="9.5703125" style="216" customWidth="1"/>
    <col min="6921" max="6922" width="12.28515625" style="216" customWidth="1"/>
    <col min="6923" max="6925" width="12.85546875" style="216" customWidth="1"/>
    <col min="6926" max="6926" width="12.7109375" style="216" customWidth="1"/>
    <col min="6927" max="6927" width="12.28515625" style="216" bestFit="1" customWidth="1"/>
    <col min="6928" max="6928" width="13.140625" style="216" customWidth="1"/>
    <col min="6929" max="7169" width="9.140625" style="216"/>
    <col min="7170" max="7170" width="2.7109375" style="216" customWidth="1"/>
    <col min="7171" max="7171" width="9.140625" style="216"/>
    <col min="7172" max="7172" width="40.28515625" style="216" bestFit="1" customWidth="1"/>
    <col min="7173" max="7173" width="12" style="216" customWidth="1"/>
    <col min="7174" max="7174" width="10" style="216" customWidth="1"/>
    <col min="7175" max="7175" width="14.85546875" style="216" customWidth="1"/>
    <col min="7176" max="7176" width="9.5703125" style="216" customWidth="1"/>
    <col min="7177" max="7178" width="12.28515625" style="216" customWidth="1"/>
    <col min="7179" max="7181" width="12.85546875" style="216" customWidth="1"/>
    <col min="7182" max="7182" width="12.7109375" style="216" customWidth="1"/>
    <col min="7183" max="7183" width="12.28515625" style="216" bestFit="1" customWidth="1"/>
    <col min="7184" max="7184" width="13.140625" style="216" customWidth="1"/>
    <col min="7185" max="7425" width="9.140625" style="216"/>
    <col min="7426" max="7426" width="2.7109375" style="216" customWidth="1"/>
    <col min="7427" max="7427" width="9.140625" style="216"/>
    <col min="7428" max="7428" width="40.28515625" style="216" bestFit="1" customWidth="1"/>
    <col min="7429" max="7429" width="12" style="216" customWidth="1"/>
    <col min="7430" max="7430" width="10" style="216" customWidth="1"/>
    <col min="7431" max="7431" width="14.85546875" style="216" customWidth="1"/>
    <col min="7432" max="7432" width="9.5703125" style="216" customWidth="1"/>
    <col min="7433" max="7434" width="12.28515625" style="216" customWidth="1"/>
    <col min="7435" max="7437" width="12.85546875" style="216" customWidth="1"/>
    <col min="7438" max="7438" width="12.7109375" style="216" customWidth="1"/>
    <col min="7439" max="7439" width="12.28515625" style="216" bestFit="1" customWidth="1"/>
    <col min="7440" max="7440" width="13.140625" style="216" customWidth="1"/>
    <col min="7441" max="7681" width="9.140625" style="216"/>
    <col min="7682" max="7682" width="2.7109375" style="216" customWidth="1"/>
    <col min="7683" max="7683" width="9.140625" style="216"/>
    <col min="7684" max="7684" width="40.28515625" style="216" bestFit="1" customWidth="1"/>
    <col min="7685" max="7685" width="12" style="216" customWidth="1"/>
    <col min="7686" max="7686" width="10" style="216" customWidth="1"/>
    <col min="7687" max="7687" width="14.85546875" style="216" customWidth="1"/>
    <col min="7688" max="7688" width="9.5703125" style="216" customWidth="1"/>
    <col min="7689" max="7690" width="12.28515625" style="216" customWidth="1"/>
    <col min="7691" max="7693" width="12.85546875" style="216" customWidth="1"/>
    <col min="7694" max="7694" width="12.7109375" style="216" customWidth="1"/>
    <col min="7695" max="7695" width="12.28515625" style="216" bestFit="1" customWidth="1"/>
    <col min="7696" max="7696" width="13.140625" style="216" customWidth="1"/>
    <col min="7697" max="7937" width="9.140625" style="216"/>
    <col min="7938" max="7938" width="2.7109375" style="216" customWidth="1"/>
    <col min="7939" max="7939" width="9.140625" style="216"/>
    <col min="7940" max="7940" width="40.28515625" style="216" bestFit="1" customWidth="1"/>
    <col min="7941" max="7941" width="12" style="216" customWidth="1"/>
    <col min="7942" max="7942" width="10" style="216" customWidth="1"/>
    <col min="7943" max="7943" width="14.85546875" style="216" customWidth="1"/>
    <col min="7944" max="7944" width="9.5703125" style="216" customWidth="1"/>
    <col min="7945" max="7946" width="12.28515625" style="216" customWidth="1"/>
    <col min="7947" max="7949" width="12.85546875" style="216" customWidth="1"/>
    <col min="7950" max="7950" width="12.7109375" style="216" customWidth="1"/>
    <col min="7951" max="7951" width="12.28515625" style="216" bestFit="1" customWidth="1"/>
    <col min="7952" max="7952" width="13.140625" style="216" customWidth="1"/>
    <col min="7953" max="8193" width="9.140625" style="216"/>
    <col min="8194" max="8194" width="2.7109375" style="216" customWidth="1"/>
    <col min="8195" max="8195" width="9.140625" style="216"/>
    <col min="8196" max="8196" width="40.28515625" style="216" bestFit="1" customWidth="1"/>
    <col min="8197" max="8197" width="12" style="216" customWidth="1"/>
    <col min="8198" max="8198" width="10" style="216" customWidth="1"/>
    <col min="8199" max="8199" width="14.85546875" style="216" customWidth="1"/>
    <col min="8200" max="8200" width="9.5703125" style="216" customWidth="1"/>
    <col min="8201" max="8202" width="12.28515625" style="216" customWidth="1"/>
    <col min="8203" max="8205" width="12.85546875" style="216" customWidth="1"/>
    <col min="8206" max="8206" width="12.7109375" style="216" customWidth="1"/>
    <col min="8207" max="8207" width="12.28515625" style="216" bestFit="1" customWidth="1"/>
    <col min="8208" max="8208" width="13.140625" style="216" customWidth="1"/>
    <col min="8209" max="8449" width="9.140625" style="216"/>
    <col min="8450" max="8450" width="2.7109375" style="216" customWidth="1"/>
    <col min="8451" max="8451" width="9.140625" style="216"/>
    <col min="8452" max="8452" width="40.28515625" style="216" bestFit="1" customWidth="1"/>
    <col min="8453" max="8453" width="12" style="216" customWidth="1"/>
    <col min="8454" max="8454" width="10" style="216" customWidth="1"/>
    <col min="8455" max="8455" width="14.85546875" style="216" customWidth="1"/>
    <col min="8456" max="8456" width="9.5703125" style="216" customWidth="1"/>
    <col min="8457" max="8458" width="12.28515625" style="216" customWidth="1"/>
    <col min="8459" max="8461" width="12.85546875" style="216" customWidth="1"/>
    <col min="8462" max="8462" width="12.7109375" style="216" customWidth="1"/>
    <col min="8463" max="8463" width="12.28515625" style="216" bestFit="1" customWidth="1"/>
    <col min="8464" max="8464" width="13.140625" style="216" customWidth="1"/>
    <col min="8465" max="8705" width="9.140625" style="216"/>
    <col min="8706" max="8706" width="2.7109375" style="216" customWidth="1"/>
    <col min="8707" max="8707" width="9.140625" style="216"/>
    <col min="8708" max="8708" width="40.28515625" style="216" bestFit="1" customWidth="1"/>
    <col min="8709" max="8709" width="12" style="216" customWidth="1"/>
    <col min="8710" max="8710" width="10" style="216" customWidth="1"/>
    <col min="8711" max="8711" width="14.85546875" style="216" customWidth="1"/>
    <col min="8712" max="8712" width="9.5703125" style="216" customWidth="1"/>
    <col min="8713" max="8714" width="12.28515625" style="216" customWidth="1"/>
    <col min="8715" max="8717" width="12.85546875" style="216" customWidth="1"/>
    <col min="8718" max="8718" width="12.7109375" style="216" customWidth="1"/>
    <col min="8719" max="8719" width="12.28515625" style="216" bestFit="1" customWidth="1"/>
    <col min="8720" max="8720" width="13.140625" style="216" customWidth="1"/>
    <col min="8721" max="8961" width="9.140625" style="216"/>
    <col min="8962" max="8962" width="2.7109375" style="216" customWidth="1"/>
    <col min="8963" max="8963" width="9.140625" style="216"/>
    <col min="8964" max="8964" width="40.28515625" style="216" bestFit="1" customWidth="1"/>
    <col min="8965" max="8965" width="12" style="216" customWidth="1"/>
    <col min="8966" max="8966" width="10" style="216" customWidth="1"/>
    <col min="8967" max="8967" width="14.85546875" style="216" customWidth="1"/>
    <col min="8968" max="8968" width="9.5703125" style="216" customWidth="1"/>
    <col min="8969" max="8970" width="12.28515625" style="216" customWidth="1"/>
    <col min="8971" max="8973" width="12.85546875" style="216" customWidth="1"/>
    <col min="8974" max="8974" width="12.7109375" style="216" customWidth="1"/>
    <col min="8975" max="8975" width="12.28515625" style="216" bestFit="1" customWidth="1"/>
    <col min="8976" max="8976" width="13.140625" style="216" customWidth="1"/>
    <col min="8977" max="9217" width="9.140625" style="216"/>
    <col min="9218" max="9218" width="2.7109375" style="216" customWidth="1"/>
    <col min="9219" max="9219" width="9.140625" style="216"/>
    <col min="9220" max="9220" width="40.28515625" style="216" bestFit="1" customWidth="1"/>
    <col min="9221" max="9221" width="12" style="216" customWidth="1"/>
    <col min="9222" max="9222" width="10" style="216" customWidth="1"/>
    <col min="9223" max="9223" width="14.85546875" style="216" customWidth="1"/>
    <col min="9224" max="9224" width="9.5703125" style="216" customWidth="1"/>
    <col min="9225" max="9226" width="12.28515625" style="216" customWidth="1"/>
    <col min="9227" max="9229" width="12.85546875" style="216" customWidth="1"/>
    <col min="9230" max="9230" width="12.7109375" style="216" customWidth="1"/>
    <col min="9231" max="9231" width="12.28515625" style="216" bestFit="1" customWidth="1"/>
    <col min="9232" max="9232" width="13.140625" style="216" customWidth="1"/>
    <col min="9233" max="9473" width="9.140625" style="216"/>
    <col min="9474" max="9474" width="2.7109375" style="216" customWidth="1"/>
    <col min="9475" max="9475" width="9.140625" style="216"/>
    <col min="9476" max="9476" width="40.28515625" style="216" bestFit="1" customWidth="1"/>
    <col min="9477" max="9477" width="12" style="216" customWidth="1"/>
    <col min="9478" max="9478" width="10" style="216" customWidth="1"/>
    <col min="9479" max="9479" width="14.85546875" style="216" customWidth="1"/>
    <col min="9480" max="9480" width="9.5703125" style="216" customWidth="1"/>
    <col min="9481" max="9482" width="12.28515625" style="216" customWidth="1"/>
    <col min="9483" max="9485" width="12.85546875" style="216" customWidth="1"/>
    <col min="9486" max="9486" width="12.7109375" style="216" customWidth="1"/>
    <col min="9487" max="9487" width="12.28515625" style="216" bestFit="1" customWidth="1"/>
    <col min="9488" max="9488" width="13.140625" style="216" customWidth="1"/>
    <col min="9489" max="9729" width="9.140625" style="216"/>
    <col min="9730" max="9730" width="2.7109375" style="216" customWidth="1"/>
    <col min="9731" max="9731" width="9.140625" style="216"/>
    <col min="9732" max="9732" width="40.28515625" style="216" bestFit="1" customWidth="1"/>
    <col min="9733" max="9733" width="12" style="216" customWidth="1"/>
    <col min="9734" max="9734" width="10" style="216" customWidth="1"/>
    <col min="9735" max="9735" width="14.85546875" style="216" customWidth="1"/>
    <col min="9736" max="9736" width="9.5703125" style="216" customWidth="1"/>
    <col min="9737" max="9738" width="12.28515625" style="216" customWidth="1"/>
    <col min="9739" max="9741" width="12.85546875" style="216" customWidth="1"/>
    <col min="9742" max="9742" width="12.7109375" style="216" customWidth="1"/>
    <col min="9743" max="9743" width="12.28515625" style="216" bestFit="1" customWidth="1"/>
    <col min="9744" max="9744" width="13.140625" style="216" customWidth="1"/>
    <col min="9745" max="9985" width="9.140625" style="216"/>
    <col min="9986" max="9986" width="2.7109375" style="216" customWidth="1"/>
    <col min="9987" max="9987" width="9.140625" style="216"/>
    <col min="9988" max="9988" width="40.28515625" style="216" bestFit="1" customWidth="1"/>
    <col min="9989" max="9989" width="12" style="216" customWidth="1"/>
    <col min="9990" max="9990" width="10" style="216" customWidth="1"/>
    <col min="9991" max="9991" width="14.85546875" style="216" customWidth="1"/>
    <col min="9992" max="9992" width="9.5703125" style="216" customWidth="1"/>
    <col min="9993" max="9994" width="12.28515625" style="216" customWidth="1"/>
    <col min="9995" max="9997" width="12.85546875" style="216" customWidth="1"/>
    <col min="9998" max="9998" width="12.7109375" style="216" customWidth="1"/>
    <col min="9999" max="9999" width="12.28515625" style="216" bestFit="1" customWidth="1"/>
    <col min="10000" max="10000" width="13.140625" style="216" customWidth="1"/>
    <col min="10001" max="10241" width="9.140625" style="216"/>
    <col min="10242" max="10242" width="2.7109375" style="216" customWidth="1"/>
    <col min="10243" max="10243" width="9.140625" style="216"/>
    <col min="10244" max="10244" width="40.28515625" style="216" bestFit="1" customWidth="1"/>
    <col min="10245" max="10245" width="12" style="216" customWidth="1"/>
    <col min="10246" max="10246" width="10" style="216" customWidth="1"/>
    <col min="10247" max="10247" width="14.85546875" style="216" customWidth="1"/>
    <col min="10248" max="10248" width="9.5703125" style="216" customWidth="1"/>
    <col min="10249" max="10250" width="12.28515625" style="216" customWidth="1"/>
    <col min="10251" max="10253" width="12.85546875" style="216" customWidth="1"/>
    <col min="10254" max="10254" width="12.7109375" style="216" customWidth="1"/>
    <col min="10255" max="10255" width="12.28515625" style="216" bestFit="1" customWidth="1"/>
    <col min="10256" max="10256" width="13.140625" style="216" customWidth="1"/>
    <col min="10257" max="10497" width="9.140625" style="216"/>
    <col min="10498" max="10498" width="2.7109375" style="216" customWidth="1"/>
    <col min="10499" max="10499" width="9.140625" style="216"/>
    <col min="10500" max="10500" width="40.28515625" style="216" bestFit="1" customWidth="1"/>
    <col min="10501" max="10501" width="12" style="216" customWidth="1"/>
    <col min="10502" max="10502" width="10" style="216" customWidth="1"/>
    <col min="10503" max="10503" width="14.85546875" style="216" customWidth="1"/>
    <col min="10504" max="10504" width="9.5703125" style="216" customWidth="1"/>
    <col min="10505" max="10506" width="12.28515625" style="216" customWidth="1"/>
    <col min="10507" max="10509" width="12.85546875" style="216" customWidth="1"/>
    <col min="10510" max="10510" width="12.7109375" style="216" customWidth="1"/>
    <col min="10511" max="10511" width="12.28515625" style="216" bestFit="1" customWidth="1"/>
    <col min="10512" max="10512" width="13.140625" style="216" customWidth="1"/>
    <col min="10513" max="10753" width="9.140625" style="216"/>
    <col min="10754" max="10754" width="2.7109375" style="216" customWidth="1"/>
    <col min="10755" max="10755" width="9.140625" style="216"/>
    <col min="10756" max="10756" width="40.28515625" style="216" bestFit="1" customWidth="1"/>
    <col min="10757" max="10757" width="12" style="216" customWidth="1"/>
    <col min="10758" max="10758" width="10" style="216" customWidth="1"/>
    <col min="10759" max="10759" width="14.85546875" style="216" customWidth="1"/>
    <col min="10760" max="10760" width="9.5703125" style="216" customWidth="1"/>
    <col min="10761" max="10762" width="12.28515625" style="216" customWidth="1"/>
    <col min="10763" max="10765" width="12.85546875" style="216" customWidth="1"/>
    <col min="10766" max="10766" width="12.7109375" style="216" customWidth="1"/>
    <col min="10767" max="10767" width="12.28515625" style="216" bestFit="1" customWidth="1"/>
    <col min="10768" max="10768" width="13.140625" style="216" customWidth="1"/>
    <col min="10769" max="11009" width="9.140625" style="216"/>
    <col min="11010" max="11010" width="2.7109375" style="216" customWidth="1"/>
    <col min="11011" max="11011" width="9.140625" style="216"/>
    <col min="11012" max="11012" width="40.28515625" style="216" bestFit="1" customWidth="1"/>
    <col min="11013" max="11013" width="12" style="216" customWidth="1"/>
    <col min="11014" max="11014" width="10" style="216" customWidth="1"/>
    <col min="11015" max="11015" width="14.85546875" style="216" customWidth="1"/>
    <col min="11016" max="11016" width="9.5703125" style="216" customWidth="1"/>
    <col min="11017" max="11018" width="12.28515625" style="216" customWidth="1"/>
    <col min="11019" max="11021" width="12.85546875" style="216" customWidth="1"/>
    <col min="11022" max="11022" width="12.7109375" style="216" customWidth="1"/>
    <col min="11023" max="11023" width="12.28515625" style="216" bestFit="1" customWidth="1"/>
    <col min="11024" max="11024" width="13.140625" style="216" customWidth="1"/>
    <col min="11025" max="11265" width="9.140625" style="216"/>
    <col min="11266" max="11266" width="2.7109375" style="216" customWidth="1"/>
    <col min="11267" max="11267" width="9.140625" style="216"/>
    <col min="11268" max="11268" width="40.28515625" style="216" bestFit="1" customWidth="1"/>
    <col min="11269" max="11269" width="12" style="216" customWidth="1"/>
    <col min="11270" max="11270" width="10" style="216" customWidth="1"/>
    <col min="11271" max="11271" width="14.85546875" style="216" customWidth="1"/>
    <col min="11272" max="11272" width="9.5703125" style="216" customWidth="1"/>
    <col min="11273" max="11274" width="12.28515625" style="216" customWidth="1"/>
    <col min="11275" max="11277" width="12.85546875" style="216" customWidth="1"/>
    <col min="11278" max="11278" width="12.7109375" style="216" customWidth="1"/>
    <col min="11279" max="11279" width="12.28515625" style="216" bestFit="1" customWidth="1"/>
    <col min="11280" max="11280" width="13.140625" style="216" customWidth="1"/>
    <col min="11281" max="11521" width="9.140625" style="216"/>
    <col min="11522" max="11522" width="2.7109375" style="216" customWidth="1"/>
    <col min="11523" max="11523" width="9.140625" style="216"/>
    <col min="11524" max="11524" width="40.28515625" style="216" bestFit="1" customWidth="1"/>
    <col min="11525" max="11525" width="12" style="216" customWidth="1"/>
    <col min="11526" max="11526" width="10" style="216" customWidth="1"/>
    <col min="11527" max="11527" width="14.85546875" style="216" customWidth="1"/>
    <col min="11528" max="11528" width="9.5703125" style="216" customWidth="1"/>
    <col min="11529" max="11530" width="12.28515625" style="216" customWidth="1"/>
    <col min="11531" max="11533" width="12.85546875" style="216" customWidth="1"/>
    <col min="11534" max="11534" width="12.7109375" style="216" customWidth="1"/>
    <col min="11535" max="11535" width="12.28515625" style="216" bestFit="1" customWidth="1"/>
    <col min="11536" max="11536" width="13.140625" style="216" customWidth="1"/>
    <col min="11537" max="11777" width="9.140625" style="216"/>
    <col min="11778" max="11778" width="2.7109375" style="216" customWidth="1"/>
    <col min="11779" max="11779" width="9.140625" style="216"/>
    <col min="11780" max="11780" width="40.28515625" style="216" bestFit="1" customWidth="1"/>
    <col min="11781" max="11781" width="12" style="216" customWidth="1"/>
    <col min="11782" max="11782" width="10" style="216" customWidth="1"/>
    <col min="11783" max="11783" width="14.85546875" style="216" customWidth="1"/>
    <col min="11784" max="11784" width="9.5703125" style="216" customWidth="1"/>
    <col min="11785" max="11786" width="12.28515625" style="216" customWidth="1"/>
    <col min="11787" max="11789" width="12.85546875" style="216" customWidth="1"/>
    <col min="11790" max="11790" width="12.7109375" style="216" customWidth="1"/>
    <col min="11791" max="11791" width="12.28515625" style="216" bestFit="1" customWidth="1"/>
    <col min="11792" max="11792" width="13.140625" style="216" customWidth="1"/>
    <col min="11793" max="12033" width="9.140625" style="216"/>
    <col min="12034" max="12034" width="2.7109375" style="216" customWidth="1"/>
    <col min="12035" max="12035" width="9.140625" style="216"/>
    <col min="12036" max="12036" width="40.28515625" style="216" bestFit="1" customWidth="1"/>
    <col min="12037" max="12037" width="12" style="216" customWidth="1"/>
    <col min="12038" max="12038" width="10" style="216" customWidth="1"/>
    <col min="12039" max="12039" width="14.85546875" style="216" customWidth="1"/>
    <col min="12040" max="12040" width="9.5703125" style="216" customWidth="1"/>
    <col min="12041" max="12042" width="12.28515625" style="216" customWidth="1"/>
    <col min="12043" max="12045" width="12.85546875" style="216" customWidth="1"/>
    <col min="12046" max="12046" width="12.7109375" style="216" customWidth="1"/>
    <col min="12047" max="12047" width="12.28515625" style="216" bestFit="1" customWidth="1"/>
    <col min="12048" max="12048" width="13.140625" style="216" customWidth="1"/>
    <col min="12049" max="12289" width="9.140625" style="216"/>
    <col min="12290" max="12290" width="2.7109375" style="216" customWidth="1"/>
    <col min="12291" max="12291" width="9.140625" style="216"/>
    <col min="12292" max="12292" width="40.28515625" style="216" bestFit="1" customWidth="1"/>
    <col min="12293" max="12293" width="12" style="216" customWidth="1"/>
    <col min="12294" max="12294" width="10" style="216" customWidth="1"/>
    <col min="12295" max="12295" width="14.85546875" style="216" customWidth="1"/>
    <col min="12296" max="12296" width="9.5703125" style="216" customWidth="1"/>
    <col min="12297" max="12298" width="12.28515625" style="216" customWidth="1"/>
    <col min="12299" max="12301" width="12.85546875" style="216" customWidth="1"/>
    <col min="12302" max="12302" width="12.7109375" style="216" customWidth="1"/>
    <col min="12303" max="12303" width="12.28515625" style="216" bestFit="1" customWidth="1"/>
    <col min="12304" max="12304" width="13.140625" style="216" customWidth="1"/>
    <col min="12305" max="12545" width="9.140625" style="216"/>
    <col min="12546" max="12546" width="2.7109375" style="216" customWidth="1"/>
    <col min="12547" max="12547" width="9.140625" style="216"/>
    <col min="12548" max="12548" width="40.28515625" style="216" bestFit="1" customWidth="1"/>
    <col min="12549" max="12549" width="12" style="216" customWidth="1"/>
    <col min="12550" max="12550" width="10" style="216" customWidth="1"/>
    <col min="12551" max="12551" width="14.85546875" style="216" customWidth="1"/>
    <col min="12552" max="12552" width="9.5703125" style="216" customWidth="1"/>
    <col min="12553" max="12554" width="12.28515625" style="216" customWidth="1"/>
    <col min="12555" max="12557" width="12.85546875" style="216" customWidth="1"/>
    <col min="12558" max="12558" width="12.7109375" style="216" customWidth="1"/>
    <col min="12559" max="12559" width="12.28515625" style="216" bestFit="1" customWidth="1"/>
    <col min="12560" max="12560" width="13.140625" style="216" customWidth="1"/>
    <col min="12561" max="12801" width="9.140625" style="216"/>
    <col min="12802" max="12802" width="2.7109375" style="216" customWidth="1"/>
    <col min="12803" max="12803" width="9.140625" style="216"/>
    <col min="12804" max="12804" width="40.28515625" style="216" bestFit="1" customWidth="1"/>
    <col min="12805" max="12805" width="12" style="216" customWidth="1"/>
    <col min="12806" max="12806" width="10" style="216" customWidth="1"/>
    <col min="12807" max="12807" width="14.85546875" style="216" customWidth="1"/>
    <col min="12808" max="12808" width="9.5703125" style="216" customWidth="1"/>
    <col min="12809" max="12810" width="12.28515625" style="216" customWidth="1"/>
    <col min="12811" max="12813" width="12.85546875" style="216" customWidth="1"/>
    <col min="12814" max="12814" width="12.7109375" style="216" customWidth="1"/>
    <col min="12815" max="12815" width="12.28515625" style="216" bestFit="1" customWidth="1"/>
    <col min="12816" max="12816" width="13.140625" style="216" customWidth="1"/>
    <col min="12817" max="13057" width="9.140625" style="216"/>
    <col min="13058" max="13058" width="2.7109375" style="216" customWidth="1"/>
    <col min="13059" max="13059" width="9.140625" style="216"/>
    <col min="13060" max="13060" width="40.28515625" style="216" bestFit="1" customWidth="1"/>
    <col min="13061" max="13061" width="12" style="216" customWidth="1"/>
    <col min="13062" max="13062" width="10" style="216" customWidth="1"/>
    <col min="13063" max="13063" width="14.85546875" style="216" customWidth="1"/>
    <col min="13064" max="13064" width="9.5703125" style="216" customWidth="1"/>
    <col min="13065" max="13066" width="12.28515625" style="216" customWidth="1"/>
    <col min="13067" max="13069" width="12.85546875" style="216" customWidth="1"/>
    <col min="13070" max="13070" width="12.7109375" style="216" customWidth="1"/>
    <col min="13071" max="13071" width="12.28515625" style="216" bestFit="1" customWidth="1"/>
    <col min="13072" max="13072" width="13.140625" style="216" customWidth="1"/>
    <col min="13073" max="13313" width="9.140625" style="216"/>
    <col min="13314" max="13314" width="2.7109375" style="216" customWidth="1"/>
    <col min="13315" max="13315" width="9.140625" style="216"/>
    <col min="13316" max="13316" width="40.28515625" style="216" bestFit="1" customWidth="1"/>
    <col min="13317" max="13317" width="12" style="216" customWidth="1"/>
    <col min="13318" max="13318" width="10" style="216" customWidth="1"/>
    <col min="13319" max="13319" width="14.85546875" style="216" customWidth="1"/>
    <col min="13320" max="13320" width="9.5703125" style="216" customWidth="1"/>
    <col min="13321" max="13322" width="12.28515625" style="216" customWidth="1"/>
    <col min="13323" max="13325" width="12.85546875" style="216" customWidth="1"/>
    <col min="13326" max="13326" width="12.7109375" style="216" customWidth="1"/>
    <col min="13327" max="13327" width="12.28515625" style="216" bestFit="1" customWidth="1"/>
    <col min="13328" max="13328" width="13.140625" style="216" customWidth="1"/>
    <col min="13329" max="13569" width="9.140625" style="216"/>
    <col min="13570" max="13570" width="2.7109375" style="216" customWidth="1"/>
    <col min="13571" max="13571" width="9.140625" style="216"/>
    <col min="13572" max="13572" width="40.28515625" style="216" bestFit="1" customWidth="1"/>
    <col min="13573" max="13573" width="12" style="216" customWidth="1"/>
    <col min="13574" max="13574" width="10" style="216" customWidth="1"/>
    <col min="13575" max="13575" width="14.85546875" style="216" customWidth="1"/>
    <col min="13576" max="13576" width="9.5703125" style="216" customWidth="1"/>
    <col min="13577" max="13578" width="12.28515625" style="216" customWidth="1"/>
    <col min="13579" max="13581" width="12.85546875" style="216" customWidth="1"/>
    <col min="13582" max="13582" width="12.7109375" style="216" customWidth="1"/>
    <col min="13583" max="13583" width="12.28515625" style="216" bestFit="1" customWidth="1"/>
    <col min="13584" max="13584" width="13.140625" style="216" customWidth="1"/>
    <col min="13585" max="13825" width="9.140625" style="216"/>
    <col min="13826" max="13826" width="2.7109375" style="216" customWidth="1"/>
    <col min="13827" max="13827" width="9.140625" style="216"/>
    <col min="13828" max="13828" width="40.28515625" style="216" bestFit="1" customWidth="1"/>
    <col min="13829" max="13829" width="12" style="216" customWidth="1"/>
    <col min="13830" max="13830" width="10" style="216" customWidth="1"/>
    <col min="13831" max="13831" width="14.85546875" style="216" customWidth="1"/>
    <col min="13832" max="13832" width="9.5703125" style="216" customWidth="1"/>
    <col min="13833" max="13834" width="12.28515625" style="216" customWidth="1"/>
    <col min="13835" max="13837" width="12.85546875" style="216" customWidth="1"/>
    <col min="13838" max="13838" width="12.7109375" style="216" customWidth="1"/>
    <col min="13839" max="13839" width="12.28515625" style="216" bestFit="1" customWidth="1"/>
    <col min="13840" max="13840" width="13.140625" style="216" customWidth="1"/>
    <col min="13841" max="14081" width="9.140625" style="216"/>
    <col min="14082" max="14082" width="2.7109375" style="216" customWidth="1"/>
    <col min="14083" max="14083" width="9.140625" style="216"/>
    <col min="14084" max="14084" width="40.28515625" style="216" bestFit="1" customWidth="1"/>
    <col min="14085" max="14085" width="12" style="216" customWidth="1"/>
    <col min="14086" max="14086" width="10" style="216" customWidth="1"/>
    <col min="14087" max="14087" width="14.85546875" style="216" customWidth="1"/>
    <col min="14088" max="14088" width="9.5703125" style="216" customWidth="1"/>
    <col min="14089" max="14090" width="12.28515625" style="216" customWidth="1"/>
    <col min="14091" max="14093" width="12.85546875" style="216" customWidth="1"/>
    <col min="14094" max="14094" width="12.7109375" style="216" customWidth="1"/>
    <col min="14095" max="14095" width="12.28515625" style="216" bestFit="1" customWidth="1"/>
    <col min="14096" max="14096" width="13.140625" style="216" customWidth="1"/>
    <col min="14097" max="14337" width="9.140625" style="216"/>
    <col min="14338" max="14338" width="2.7109375" style="216" customWidth="1"/>
    <col min="14339" max="14339" width="9.140625" style="216"/>
    <col min="14340" max="14340" width="40.28515625" style="216" bestFit="1" customWidth="1"/>
    <col min="14341" max="14341" width="12" style="216" customWidth="1"/>
    <col min="14342" max="14342" width="10" style="216" customWidth="1"/>
    <col min="14343" max="14343" width="14.85546875" style="216" customWidth="1"/>
    <col min="14344" max="14344" width="9.5703125" style="216" customWidth="1"/>
    <col min="14345" max="14346" width="12.28515625" style="216" customWidth="1"/>
    <col min="14347" max="14349" width="12.85546875" style="216" customWidth="1"/>
    <col min="14350" max="14350" width="12.7109375" style="216" customWidth="1"/>
    <col min="14351" max="14351" width="12.28515625" style="216" bestFit="1" customWidth="1"/>
    <col min="14352" max="14352" width="13.140625" style="216" customWidth="1"/>
    <col min="14353" max="14593" width="9.140625" style="216"/>
    <col min="14594" max="14594" width="2.7109375" style="216" customWidth="1"/>
    <col min="14595" max="14595" width="9.140625" style="216"/>
    <col min="14596" max="14596" width="40.28515625" style="216" bestFit="1" customWidth="1"/>
    <col min="14597" max="14597" width="12" style="216" customWidth="1"/>
    <col min="14598" max="14598" width="10" style="216" customWidth="1"/>
    <col min="14599" max="14599" width="14.85546875" style="216" customWidth="1"/>
    <col min="14600" max="14600" width="9.5703125" style="216" customWidth="1"/>
    <col min="14601" max="14602" width="12.28515625" style="216" customWidth="1"/>
    <col min="14603" max="14605" width="12.85546875" style="216" customWidth="1"/>
    <col min="14606" max="14606" width="12.7109375" style="216" customWidth="1"/>
    <col min="14607" max="14607" width="12.28515625" style="216" bestFit="1" customWidth="1"/>
    <col min="14608" max="14608" width="13.140625" style="216" customWidth="1"/>
    <col min="14609" max="14849" width="9.140625" style="216"/>
    <col min="14850" max="14850" width="2.7109375" style="216" customWidth="1"/>
    <col min="14851" max="14851" width="9.140625" style="216"/>
    <col min="14852" max="14852" width="40.28515625" style="216" bestFit="1" customWidth="1"/>
    <col min="14853" max="14853" width="12" style="216" customWidth="1"/>
    <col min="14854" max="14854" width="10" style="216" customWidth="1"/>
    <col min="14855" max="14855" width="14.85546875" style="216" customWidth="1"/>
    <col min="14856" max="14856" width="9.5703125" style="216" customWidth="1"/>
    <col min="14857" max="14858" width="12.28515625" style="216" customWidth="1"/>
    <col min="14859" max="14861" width="12.85546875" style="216" customWidth="1"/>
    <col min="14862" max="14862" width="12.7109375" style="216" customWidth="1"/>
    <col min="14863" max="14863" width="12.28515625" style="216" bestFit="1" customWidth="1"/>
    <col min="14864" max="14864" width="13.140625" style="216" customWidth="1"/>
    <col min="14865" max="15105" width="9.140625" style="216"/>
    <col min="15106" max="15106" width="2.7109375" style="216" customWidth="1"/>
    <col min="15107" max="15107" width="9.140625" style="216"/>
    <col min="15108" max="15108" width="40.28515625" style="216" bestFit="1" customWidth="1"/>
    <col min="15109" max="15109" width="12" style="216" customWidth="1"/>
    <col min="15110" max="15110" width="10" style="216" customWidth="1"/>
    <col min="15111" max="15111" width="14.85546875" style="216" customWidth="1"/>
    <col min="15112" max="15112" width="9.5703125" style="216" customWidth="1"/>
    <col min="15113" max="15114" width="12.28515625" style="216" customWidth="1"/>
    <col min="15115" max="15117" width="12.85546875" style="216" customWidth="1"/>
    <col min="15118" max="15118" width="12.7109375" style="216" customWidth="1"/>
    <col min="15119" max="15119" width="12.28515625" style="216" bestFit="1" customWidth="1"/>
    <col min="15120" max="15120" width="13.140625" style="216" customWidth="1"/>
    <col min="15121" max="15361" width="9.140625" style="216"/>
    <col min="15362" max="15362" width="2.7109375" style="216" customWidth="1"/>
    <col min="15363" max="15363" width="9.140625" style="216"/>
    <col min="15364" max="15364" width="40.28515625" style="216" bestFit="1" customWidth="1"/>
    <col min="15365" max="15365" width="12" style="216" customWidth="1"/>
    <col min="15366" max="15366" width="10" style="216" customWidth="1"/>
    <col min="15367" max="15367" width="14.85546875" style="216" customWidth="1"/>
    <col min="15368" max="15368" width="9.5703125" style="216" customWidth="1"/>
    <col min="15369" max="15370" width="12.28515625" style="216" customWidth="1"/>
    <col min="15371" max="15373" width="12.85546875" style="216" customWidth="1"/>
    <col min="15374" max="15374" width="12.7109375" style="216" customWidth="1"/>
    <col min="15375" max="15375" width="12.28515625" style="216" bestFit="1" customWidth="1"/>
    <col min="15376" max="15376" width="13.140625" style="216" customWidth="1"/>
    <col min="15377" max="15617" width="9.140625" style="216"/>
    <col min="15618" max="15618" width="2.7109375" style="216" customWidth="1"/>
    <col min="15619" max="15619" width="9.140625" style="216"/>
    <col min="15620" max="15620" width="40.28515625" style="216" bestFit="1" customWidth="1"/>
    <col min="15621" max="15621" width="12" style="216" customWidth="1"/>
    <col min="15622" max="15622" width="10" style="216" customWidth="1"/>
    <col min="15623" max="15623" width="14.85546875" style="216" customWidth="1"/>
    <col min="15624" max="15624" width="9.5703125" style="216" customWidth="1"/>
    <col min="15625" max="15626" width="12.28515625" style="216" customWidth="1"/>
    <col min="15627" max="15629" width="12.85546875" style="216" customWidth="1"/>
    <col min="15630" max="15630" width="12.7109375" style="216" customWidth="1"/>
    <col min="15631" max="15631" width="12.28515625" style="216" bestFit="1" customWidth="1"/>
    <col min="15632" max="15632" width="13.140625" style="216" customWidth="1"/>
    <col min="15633" max="15873" width="9.140625" style="216"/>
    <col min="15874" max="15874" width="2.7109375" style="216" customWidth="1"/>
    <col min="15875" max="15875" width="9.140625" style="216"/>
    <col min="15876" max="15876" width="40.28515625" style="216" bestFit="1" customWidth="1"/>
    <col min="15877" max="15877" width="12" style="216" customWidth="1"/>
    <col min="15878" max="15878" width="10" style="216" customWidth="1"/>
    <col min="15879" max="15879" width="14.85546875" style="216" customWidth="1"/>
    <col min="15880" max="15880" width="9.5703125" style="216" customWidth="1"/>
    <col min="15881" max="15882" width="12.28515625" style="216" customWidth="1"/>
    <col min="15883" max="15885" width="12.85546875" style="216" customWidth="1"/>
    <col min="15886" max="15886" width="12.7109375" style="216" customWidth="1"/>
    <col min="15887" max="15887" width="12.28515625" style="216" bestFit="1" customWidth="1"/>
    <col min="15888" max="15888" width="13.140625" style="216" customWidth="1"/>
    <col min="15889" max="16129" width="9.140625" style="216"/>
    <col min="16130" max="16130" width="2.7109375" style="216" customWidth="1"/>
    <col min="16131" max="16131" width="9.140625" style="216"/>
    <col min="16132" max="16132" width="40.28515625" style="216" bestFit="1" customWidth="1"/>
    <col min="16133" max="16133" width="12" style="216" customWidth="1"/>
    <col min="16134" max="16134" width="10" style="216" customWidth="1"/>
    <col min="16135" max="16135" width="14.85546875" style="216" customWidth="1"/>
    <col min="16136" max="16136" width="9.5703125" style="216" customWidth="1"/>
    <col min="16137" max="16138" width="12.28515625" style="216" customWidth="1"/>
    <col min="16139" max="16141" width="12.85546875" style="216" customWidth="1"/>
    <col min="16142" max="16142" width="12.7109375" style="216" customWidth="1"/>
    <col min="16143" max="16143" width="12.28515625" style="216" bestFit="1" customWidth="1"/>
    <col min="16144" max="16144" width="13.140625" style="216" customWidth="1"/>
    <col min="16145" max="16384" width="9.140625" style="216"/>
  </cols>
  <sheetData>
    <row r="1" spans="2:17" x14ac:dyDescent="0.2">
      <c r="G1" s="218"/>
      <c r="H1" s="219"/>
      <c r="I1" s="219"/>
      <c r="J1" s="219"/>
      <c r="K1" s="219"/>
      <c r="L1" s="219"/>
      <c r="M1" s="219"/>
      <c r="O1" s="217" t="s">
        <v>419</v>
      </c>
      <c r="P1" s="766" t="str">
        <f>EBNUMBER</f>
        <v>EB-2014-0113</v>
      </c>
      <c r="Q1" s="219"/>
    </row>
    <row r="2" spans="2:17" x14ac:dyDescent="0.2">
      <c r="G2" s="218"/>
      <c r="H2" s="219"/>
      <c r="I2" s="219"/>
      <c r="J2" s="219"/>
      <c r="K2" s="219"/>
      <c r="L2" s="219"/>
      <c r="M2" s="219"/>
      <c r="O2" s="217" t="s">
        <v>420</v>
      </c>
      <c r="P2" s="767">
        <v>2</v>
      </c>
      <c r="Q2" s="219"/>
    </row>
    <row r="3" spans="2:17" x14ac:dyDescent="0.2">
      <c r="G3" s="218"/>
      <c r="H3" s="219"/>
      <c r="I3" s="219"/>
      <c r="J3" s="219"/>
      <c r="K3" s="219"/>
      <c r="L3" s="219"/>
      <c r="M3" s="219"/>
      <c r="O3" s="217" t="s">
        <v>421</v>
      </c>
      <c r="P3" s="767">
        <v>2</v>
      </c>
      <c r="Q3" s="219"/>
    </row>
    <row r="4" spans="2:17" x14ac:dyDescent="0.2">
      <c r="G4" s="218"/>
      <c r="H4" s="219"/>
      <c r="I4" s="219"/>
      <c r="J4" s="219"/>
      <c r="K4" s="219"/>
      <c r="L4" s="219"/>
      <c r="M4" s="219"/>
      <c r="O4" s="217" t="s">
        <v>422</v>
      </c>
      <c r="P4" s="767">
        <v>2</v>
      </c>
      <c r="Q4" s="219"/>
    </row>
    <row r="5" spans="2:17" x14ac:dyDescent="0.2">
      <c r="G5" s="218"/>
      <c r="H5" s="219"/>
      <c r="I5" s="219"/>
      <c r="J5" s="219"/>
      <c r="K5" s="219"/>
      <c r="L5" s="219"/>
      <c r="M5" s="219"/>
      <c r="O5" s="217" t="s">
        <v>423</v>
      </c>
      <c r="P5" s="768"/>
      <c r="Q5" s="219"/>
    </row>
    <row r="6" spans="2:17" x14ac:dyDescent="0.2">
      <c r="G6" s="218"/>
      <c r="H6" s="219"/>
      <c r="I6" s="219"/>
      <c r="J6" s="219"/>
      <c r="K6" s="219"/>
      <c r="L6" s="219"/>
      <c r="M6" s="219"/>
      <c r="O6" s="217"/>
      <c r="P6" s="766"/>
      <c r="Q6" s="219"/>
    </row>
    <row r="7" spans="2:17" x14ac:dyDescent="0.2">
      <c r="G7" s="218"/>
      <c r="H7" s="219"/>
      <c r="I7" s="219"/>
      <c r="J7" s="219"/>
      <c r="K7" s="219"/>
      <c r="L7" s="219"/>
      <c r="M7" s="220"/>
      <c r="O7" s="217" t="s">
        <v>424</v>
      </c>
      <c r="P7" s="1467">
        <v>42119</v>
      </c>
      <c r="Q7" s="220"/>
    </row>
    <row r="9" spans="2:17" ht="18" x14ac:dyDescent="0.25">
      <c r="B9" s="1856" t="s">
        <v>608</v>
      </c>
      <c r="C9" s="1856"/>
      <c r="D9" s="1856"/>
      <c r="E9" s="1856"/>
      <c r="F9" s="1856"/>
      <c r="G9" s="1856"/>
      <c r="H9" s="1856"/>
      <c r="I9" s="1856"/>
      <c r="J9" s="1856"/>
      <c r="K9" s="1856"/>
      <c r="L9" s="1856"/>
      <c r="M9" s="1856"/>
      <c r="N9" s="1856"/>
      <c r="O9" s="1856"/>
      <c r="P9" s="1856"/>
    </row>
    <row r="10" spans="2:17" ht="18" x14ac:dyDescent="0.25">
      <c r="B10" s="1856" t="s">
        <v>3</v>
      </c>
      <c r="C10" s="1856"/>
      <c r="D10" s="1856"/>
      <c r="E10" s="1856"/>
      <c r="F10" s="1856"/>
      <c r="G10" s="1856"/>
      <c r="H10" s="1856"/>
      <c r="I10" s="1856"/>
      <c r="J10" s="1856"/>
      <c r="K10" s="1856"/>
      <c r="L10" s="1856"/>
      <c r="M10" s="1856"/>
      <c r="N10" s="1856"/>
      <c r="O10" s="1856"/>
      <c r="P10" s="1856"/>
    </row>
    <row r="11" spans="2:17" ht="23.25" customHeight="1" x14ac:dyDescent="0.2">
      <c r="B11" s="1877" t="s">
        <v>516</v>
      </c>
      <c r="C11" s="1877"/>
      <c r="D11" s="1877"/>
      <c r="E11" s="1877"/>
      <c r="F11" s="1877"/>
      <c r="G11" s="1877"/>
      <c r="H11" s="1877"/>
      <c r="I11" s="1877"/>
      <c r="J11" s="1877"/>
      <c r="K11" s="1877"/>
      <c r="L11" s="1877"/>
      <c r="M11" s="1877"/>
      <c r="N11" s="1877"/>
      <c r="O11" s="1877"/>
      <c r="P11" s="1877"/>
    </row>
    <row r="12" spans="2:17" ht="13.5" customHeight="1" x14ac:dyDescent="0.25">
      <c r="B12" s="671"/>
      <c r="C12" s="671"/>
      <c r="D12" s="676" t="s">
        <v>40</v>
      </c>
      <c r="E12" s="665">
        <v>2012</v>
      </c>
      <c r="F12" s="676" t="s">
        <v>162</v>
      </c>
      <c r="G12" s="671"/>
      <c r="H12" s="671"/>
      <c r="I12" s="671"/>
      <c r="J12" s="671"/>
      <c r="K12" s="671"/>
      <c r="L12" s="671"/>
      <c r="M12" s="671"/>
    </row>
    <row r="13" spans="2:17" ht="13.5" thickBot="1" x14ac:dyDescent="0.25"/>
    <row r="14" spans="2:17" ht="61.5" customHeight="1" x14ac:dyDescent="0.2">
      <c r="B14" s="1871" t="s">
        <v>4</v>
      </c>
      <c r="C14" s="1873" t="s">
        <v>346</v>
      </c>
      <c r="D14" s="221" t="s">
        <v>537</v>
      </c>
      <c r="E14" s="221" t="s">
        <v>348</v>
      </c>
      <c r="F14" s="221" t="s">
        <v>518</v>
      </c>
      <c r="G14" s="221" t="s">
        <v>519</v>
      </c>
      <c r="H14" s="221" t="s">
        <v>520</v>
      </c>
      <c r="I14" s="237" t="s">
        <v>521</v>
      </c>
      <c r="J14" s="222" t="s">
        <v>522</v>
      </c>
      <c r="K14" s="222" t="s">
        <v>536</v>
      </c>
      <c r="L14" s="1880" t="s">
        <v>794</v>
      </c>
      <c r="M14" s="222" t="s">
        <v>523</v>
      </c>
      <c r="N14" s="222" t="s">
        <v>531</v>
      </c>
      <c r="O14" s="1880" t="s">
        <v>720</v>
      </c>
      <c r="P14" s="222" t="s">
        <v>719</v>
      </c>
    </row>
    <row r="15" spans="2:17" ht="19.5" customHeight="1" thickBot="1" x14ac:dyDescent="0.25">
      <c r="B15" s="1878"/>
      <c r="C15" s="1879"/>
      <c r="D15" s="294" t="s">
        <v>5</v>
      </c>
      <c r="E15" s="294" t="s">
        <v>6</v>
      </c>
      <c r="F15" s="308" t="s">
        <v>524</v>
      </c>
      <c r="G15" s="294" t="s">
        <v>9</v>
      </c>
      <c r="H15" s="294" t="s">
        <v>10</v>
      </c>
      <c r="I15" s="309" t="s">
        <v>525</v>
      </c>
      <c r="J15" s="296" t="s">
        <v>526</v>
      </c>
      <c r="K15" s="310" t="s">
        <v>527</v>
      </c>
      <c r="L15" s="1881"/>
      <c r="M15" s="296" t="s">
        <v>528</v>
      </c>
      <c r="N15" s="296" t="s">
        <v>529</v>
      </c>
      <c r="O15" s="1882"/>
      <c r="P15" s="310" t="s">
        <v>714</v>
      </c>
    </row>
    <row r="16" spans="2:17" ht="25.5" x14ac:dyDescent="0.2">
      <c r="B16" s="838">
        <v>1611</v>
      </c>
      <c r="C16" s="839" t="s">
        <v>515</v>
      </c>
      <c r="D16" s="204">
        <f>+'App.2-CA_CGAAP_DepExp_2011'!D16-'App.2-CA_CGAAP_DepExp_2011'!E16</f>
        <v>108703</v>
      </c>
      <c r="E16" s="204">
        <v>367397.41</v>
      </c>
      <c r="F16" s="282">
        <v>9</v>
      </c>
      <c r="G16" s="282">
        <v>5</v>
      </c>
      <c r="H16" s="594">
        <f t="shared" ref="H16:H55" si="0">IF(G16=0,0,1/G16)</f>
        <v>0.2</v>
      </c>
      <c r="I16" s="796">
        <f t="shared" ref="I16:I55" si="1">IF(F16=0,0,+D16/F16)</f>
        <v>12078.111111111111</v>
      </c>
      <c r="J16" s="796">
        <f t="shared" ref="J16:J55" si="2">IF(G16=0,0,+(E16*0.5)/G16)</f>
        <v>36739.740999999995</v>
      </c>
      <c r="K16" s="796">
        <f t="shared" ref="K16:K55" si="3">IF(ISERROR(+I16+J16), 0, +I16+J16)</f>
        <v>48817.852111111104</v>
      </c>
      <c r="L16" s="204">
        <v>97936</v>
      </c>
      <c r="M16" s="796">
        <f t="shared" ref="M16:M55" si="4">IF(ISERROR(+K16-L16), 0, +K16-L16)</f>
        <v>-49118.147888888896</v>
      </c>
      <c r="N16" s="796">
        <f t="shared" ref="N16:N55" si="5">IF(G16=0,0,+(E16)/G16)</f>
        <v>73479.481999999989</v>
      </c>
      <c r="O16" s="204"/>
      <c r="P16" s="796">
        <f>IF(ISERROR(+N16+I16-O16), 0, +N16+I16-O16)</f>
        <v>85557.593111111099</v>
      </c>
    </row>
    <row r="17" spans="2:16" ht="25.5" x14ac:dyDescent="0.2">
      <c r="B17" s="782">
        <v>1612</v>
      </c>
      <c r="C17" s="783" t="s">
        <v>650</v>
      </c>
      <c r="D17" s="204">
        <f>+'App.2-CA_CGAAP_DepExp_2011'!D17-'App.2-CA_CGAAP_DepExp_2011'!E17</f>
        <v>0</v>
      </c>
      <c r="E17" s="204"/>
      <c r="F17" s="282"/>
      <c r="G17" s="282"/>
      <c r="H17" s="586">
        <f t="shared" si="0"/>
        <v>0</v>
      </c>
      <c r="I17" s="796">
        <f t="shared" si="1"/>
        <v>0</v>
      </c>
      <c r="J17" s="796">
        <f t="shared" si="2"/>
        <v>0</v>
      </c>
      <c r="K17" s="796">
        <f t="shared" si="3"/>
        <v>0</v>
      </c>
      <c r="L17" s="204"/>
      <c r="M17" s="796">
        <f t="shared" si="4"/>
        <v>0</v>
      </c>
      <c r="N17" s="796">
        <f t="shared" si="5"/>
        <v>0</v>
      </c>
      <c r="O17" s="204"/>
      <c r="P17" s="796">
        <f t="shared" ref="P17:P55" si="6">IF(ISERROR(+N17+I17-O17), 0, +N17+I17-O17)</f>
        <v>0</v>
      </c>
    </row>
    <row r="18" spans="2:16" x14ac:dyDescent="0.2">
      <c r="B18" s="785">
        <v>1805</v>
      </c>
      <c r="C18" s="786" t="s">
        <v>383</v>
      </c>
      <c r="D18" s="204">
        <f>+'App.2-CA_CGAAP_DepExp_2011'!D18-'App.2-CA_CGAAP_DepExp_2011'!E18</f>
        <v>6733.79</v>
      </c>
      <c r="E18" s="204">
        <v>904.09</v>
      </c>
      <c r="F18" s="282"/>
      <c r="G18" s="282"/>
      <c r="H18" s="586">
        <f t="shared" si="0"/>
        <v>0</v>
      </c>
      <c r="I18" s="796">
        <f t="shared" si="1"/>
        <v>0</v>
      </c>
      <c r="J18" s="796">
        <f t="shared" si="2"/>
        <v>0</v>
      </c>
      <c r="K18" s="796">
        <f t="shared" si="3"/>
        <v>0</v>
      </c>
      <c r="L18" s="204"/>
      <c r="M18" s="796">
        <f t="shared" si="4"/>
        <v>0</v>
      </c>
      <c r="N18" s="796">
        <f t="shared" si="5"/>
        <v>0</v>
      </c>
      <c r="O18" s="204"/>
      <c r="P18" s="796">
        <f t="shared" si="6"/>
        <v>0</v>
      </c>
    </row>
    <row r="19" spans="2:16" x14ac:dyDescent="0.2">
      <c r="B19" s="782">
        <v>1808</v>
      </c>
      <c r="C19" s="787" t="s">
        <v>384</v>
      </c>
      <c r="D19" s="204">
        <f>+'App.2-CA_CGAAP_DepExp_2011'!D19-'App.2-CA_CGAAP_DepExp_2011'!E19</f>
        <v>0</v>
      </c>
      <c r="E19" s="204"/>
      <c r="F19" s="282"/>
      <c r="G19" s="282"/>
      <c r="H19" s="586">
        <f t="shared" si="0"/>
        <v>0</v>
      </c>
      <c r="I19" s="796">
        <f t="shared" si="1"/>
        <v>0</v>
      </c>
      <c r="J19" s="796">
        <f t="shared" si="2"/>
        <v>0</v>
      </c>
      <c r="K19" s="796">
        <f t="shared" si="3"/>
        <v>0</v>
      </c>
      <c r="L19" s="204"/>
      <c r="M19" s="796">
        <f t="shared" si="4"/>
        <v>0</v>
      </c>
      <c r="N19" s="796">
        <f t="shared" si="5"/>
        <v>0</v>
      </c>
      <c r="O19" s="204"/>
      <c r="P19" s="796">
        <f t="shared" si="6"/>
        <v>0</v>
      </c>
    </row>
    <row r="20" spans="2:16" x14ac:dyDescent="0.2">
      <c r="B20" s="782">
        <v>1810</v>
      </c>
      <c r="C20" s="787" t="s">
        <v>417</v>
      </c>
      <c r="D20" s="204">
        <f>+'App.2-CA_CGAAP_DepExp_2011'!D20-'App.2-CA_CGAAP_DepExp_2011'!E20</f>
        <v>0</v>
      </c>
      <c r="E20" s="204"/>
      <c r="F20" s="282"/>
      <c r="G20" s="282"/>
      <c r="H20" s="586">
        <f t="shared" si="0"/>
        <v>0</v>
      </c>
      <c r="I20" s="796">
        <f t="shared" si="1"/>
        <v>0</v>
      </c>
      <c r="J20" s="796">
        <f t="shared" si="2"/>
        <v>0</v>
      </c>
      <c r="K20" s="796">
        <f t="shared" si="3"/>
        <v>0</v>
      </c>
      <c r="L20" s="204"/>
      <c r="M20" s="796">
        <f t="shared" si="4"/>
        <v>0</v>
      </c>
      <c r="N20" s="796">
        <f t="shared" si="5"/>
        <v>0</v>
      </c>
      <c r="O20" s="204"/>
      <c r="P20" s="796">
        <f t="shared" si="6"/>
        <v>0</v>
      </c>
    </row>
    <row r="21" spans="2:16" x14ac:dyDescent="0.2">
      <c r="B21" s="782">
        <v>1815</v>
      </c>
      <c r="C21" s="787" t="s">
        <v>385</v>
      </c>
      <c r="D21" s="204">
        <f>+'App.2-CA_CGAAP_DepExp_2011'!D21-'App.2-CA_CGAAP_DepExp_2011'!E21</f>
        <v>0</v>
      </c>
      <c r="E21" s="204"/>
      <c r="F21" s="282"/>
      <c r="G21" s="282"/>
      <c r="H21" s="586">
        <f t="shared" si="0"/>
        <v>0</v>
      </c>
      <c r="I21" s="796">
        <f t="shared" si="1"/>
        <v>0</v>
      </c>
      <c r="J21" s="796">
        <f t="shared" si="2"/>
        <v>0</v>
      </c>
      <c r="K21" s="796">
        <f t="shared" si="3"/>
        <v>0</v>
      </c>
      <c r="L21" s="204"/>
      <c r="M21" s="796">
        <f t="shared" si="4"/>
        <v>0</v>
      </c>
      <c r="N21" s="796">
        <f t="shared" si="5"/>
        <v>0</v>
      </c>
      <c r="O21" s="204"/>
      <c r="P21" s="796">
        <f t="shared" si="6"/>
        <v>0</v>
      </c>
    </row>
    <row r="22" spans="2:16" x14ac:dyDescent="0.2">
      <c r="B22" s="782">
        <v>1820</v>
      </c>
      <c r="C22" s="783" t="s">
        <v>306</v>
      </c>
      <c r="D22" s="204">
        <f>+'App.2-CA_CGAAP_DepExp_2011'!D22-'App.2-CA_CGAAP_DepExp_2011'!E22</f>
        <v>18848.959999999963</v>
      </c>
      <c r="E22" s="204"/>
      <c r="F22" s="282">
        <v>24</v>
      </c>
      <c r="G22" s="282">
        <v>45</v>
      </c>
      <c r="H22" s="586">
        <f t="shared" si="0"/>
        <v>2.2222222222222223E-2</v>
      </c>
      <c r="I22" s="796">
        <f t="shared" si="1"/>
        <v>785.37333333333174</v>
      </c>
      <c r="J22" s="796">
        <f t="shared" si="2"/>
        <v>0</v>
      </c>
      <c r="K22" s="796">
        <f t="shared" si="3"/>
        <v>785.37333333333174</v>
      </c>
      <c r="L22" s="204">
        <v>836</v>
      </c>
      <c r="M22" s="796">
        <f t="shared" si="4"/>
        <v>-50.626666666668257</v>
      </c>
      <c r="N22" s="796">
        <f t="shared" si="5"/>
        <v>0</v>
      </c>
      <c r="O22" s="204"/>
      <c r="P22" s="796">
        <f>IF(ISERROR(+N22+I22-O22), 0, +N22+I22-O22)</f>
        <v>785.37333333333174</v>
      </c>
    </row>
    <row r="23" spans="2:16" x14ac:dyDescent="0.2">
      <c r="B23" s="782">
        <v>1825</v>
      </c>
      <c r="C23" s="787" t="s">
        <v>386</v>
      </c>
      <c r="D23" s="204">
        <f>+'App.2-CA_CGAAP_DepExp_2011'!D23-'App.2-CA_CGAAP_DepExp_2011'!E23</f>
        <v>0</v>
      </c>
      <c r="E23" s="204"/>
      <c r="F23" s="282"/>
      <c r="G23" s="282"/>
      <c r="H23" s="586">
        <f t="shared" si="0"/>
        <v>0</v>
      </c>
      <c r="I23" s="796">
        <f t="shared" si="1"/>
        <v>0</v>
      </c>
      <c r="J23" s="796">
        <f t="shared" si="2"/>
        <v>0</v>
      </c>
      <c r="K23" s="796">
        <f t="shared" si="3"/>
        <v>0</v>
      </c>
      <c r="L23" s="204"/>
      <c r="M23" s="796">
        <f t="shared" si="4"/>
        <v>0</v>
      </c>
      <c r="N23" s="796">
        <f t="shared" si="5"/>
        <v>0</v>
      </c>
      <c r="O23" s="204"/>
      <c r="P23" s="796">
        <f t="shared" si="6"/>
        <v>0</v>
      </c>
    </row>
    <row r="24" spans="2:16" x14ac:dyDescent="0.2">
      <c r="B24" s="782">
        <v>1830</v>
      </c>
      <c r="C24" s="787" t="s">
        <v>387</v>
      </c>
      <c r="D24" s="204">
        <f>+'App.2-CA_CGAAP_DepExp_2011'!D24-'App.2-CA_CGAAP_DepExp_2011'!E24</f>
        <v>4582040.1300000008</v>
      </c>
      <c r="E24" s="204">
        <v>188797.41</v>
      </c>
      <c r="F24" s="282">
        <v>39</v>
      </c>
      <c r="G24" s="282">
        <v>45</v>
      </c>
      <c r="H24" s="586">
        <f t="shared" si="0"/>
        <v>2.2222222222222223E-2</v>
      </c>
      <c r="I24" s="796">
        <f t="shared" si="1"/>
        <v>117488.20846153848</v>
      </c>
      <c r="J24" s="796">
        <f>IF(G24=0,0,+(E24*0.5)/G24)</f>
        <v>2097.7490000000003</v>
      </c>
      <c r="K24" s="796">
        <f t="shared" si="3"/>
        <v>119585.95746153848</v>
      </c>
      <c r="L24" s="204">
        <v>120687</v>
      </c>
      <c r="M24" s="796">
        <f t="shared" si="4"/>
        <v>-1101.0425384615228</v>
      </c>
      <c r="N24" s="796">
        <f>IF(G24=0,0,+(E24)/G24)</f>
        <v>4195.4980000000005</v>
      </c>
      <c r="O24" s="204"/>
      <c r="P24" s="796">
        <f t="shared" si="6"/>
        <v>121683.70646153849</v>
      </c>
    </row>
    <row r="25" spans="2:16" x14ac:dyDescent="0.2">
      <c r="B25" s="782">
        <v>1835</v>
      </c>
      <c r="C25" s="787" t="s">
        <v>307</v>
      </c>
      <c r="D25" s="204">
        <f>+'App.2-CA_CGAAP_DepExp_2011'!D25-'App.2-CA_CGAAP_DepExp_2011'!E25</f>
        <v>3549663</v>
      </c>
      <c r="E25" s="204">
        <v>195298.31</v>
      </c>
      <c r="F25" s="282">
        <v>52</v>
      </c>
      <c r="G25" s="282">
        <v>60</v>
      </c>
      <c r="H25" s="586">
        <f t="shared" si="0"/>
        <v>1.6666666666666666E-2</v>
      </c>
      <c r="I25" s="796">
        <f t="shared" si="1"/>
        <v>68262.75</v>
      </c>
      <c r="J25" s="796">
        <f t="shared" si="2"/>
        <v>1627.4859166666668</v>
      </c>
      <c r="K25" s="796">
        <f t="shared" si="3"/>
        <v>69890.235916666672</v>
      </c>
      <c r="L25" s="204">
        <v>69636</v>
      </c>
      <c r="M25" s="796">
        <f t="shared" si="4"/>
        <v>254.23591666667198</v>
      </c>
      <c r="N25" s="796">
        <f t="shared" si="5"/>
        <v>3254.9718333333335</v>
      </c>
      <c r="O25" s="204"/>
      <c r="P25" s="796">
        <f t="shared" si="6"/>
        <v>71517.721833333329</v>
      </c>
    </row>
    <row r="26" spans="2:16" x14ac:dyDescent="0.2">
      <c r="B26" s="782">
        <v>1840</v>
      </c>
      <c r="C26" s="787" t="s">
        <v>308</v>
      </c>
      <c r="D26" s="204">
        <f>+'App.2-CA_CGAAP_DepExp_2011'!D26-'App.2-CA_CGAAP_DepExp_2011'!E26</f>
        <v>2030332</v>
      </c>
      <c r="E26" s="204">
        <v>459743.43</v>
      </c>
      <c r="F26" s="282">
        <v>29</v>
      </c>
      <c r="G26" s="282">
        <v>40</v>
      </c>
      <c r="H26" s="586">
        <f t="shared" si="0"/>
        <v>2.5000000000000001E-2</v>
      </c>
      <c r="I26" s="796">
        <f t="shared" si="1"/>
        <v>70011.448275862072</v>
      </c>
      <c r="J26" s="796">
        <f t="shared" si="2"/>
        <v>5746.7928750000001</v>
      </c>
      <c r="K26" s="796">
        <f t="shared" si="3"/>
        <v>75758.241150862072</v>
      </c>
      <c r="L26" s="204">
        <v>83914</v>
      </c>
      <c r="M26" s="796">
        <f t="shared" si="4"/>
        <v>-8155.7588491379283</v>
      </c>
      <c r="N26" s="796">
        <f t="shared" si="5"/>
        <v>11493.58575</v>
      </c>
      <c r="O26" s="204"/>
      <c r="P26" s="796">
        <f t="shared" si="6"/>
        <v>81505.034025862071</v>
      </c>
    </row>
    <row r="27" spans="2:16" x14ac:dyDescent="0.2">
      <c r="B27" s="782">
        <v>1845</v>
      </c>
      <c r="C27" s="787" t="s">
        <v>309</v>
      </c>
      <c r="D27" s="204">
        <f>+'App.2-CA_CGAAP_DepExp_2011'!D27-'App.2-CA_CGAAP_DepExp_2011'!E27</f>
        <v>4268047</v>
      </c>
      <c r="E27" s="204">
        <v>559389.01</v>
      </c>
      <c r="F27" s="282">
        <v>36</v>
      </c>
      <c r="G27" s="282">
        <v>40</v>
      </c>
      <c r="H27" s="586">
        <f t="shared" si="0"/>
        <v>2.5000000000000001E-2</v>
      </c>
      <c r="I27" s="796">
        <f t="shared" si="1"/>
        <v>118556.86111111111</v>
      </c>
      <c r="J27" s="796">
        <f t="shared" si="2"/>
        <v>6992.3626249999998</v>
      </c>
      <c r="K27" s="796">
        <f t="shared" si="3"/>
        <v>125549.2237361111</v>
      </c>
      <c r="L27" s="204">
        <v>141840</v>
      </c>
      <c r="M27" s="796">
        <f t="shared" si="4"/>
        <v>-16290.776263888896</v>
      </c>
      <c r="N27" s="796">
        <f t="shared" si="5"/>
        <v>13984.72525</v>
      </c>
      <c r="O27" s="204"/>
      <c r="P27" s="796">
        <f t="shared" si="6"/>
        <v>132541.58636111111</v>
      </c>
    </row>
    <row r="28" spans="2:16" x14ac:dyDescent="0.2">
      <c r="B28" s="782">
        <v>1850</v>
      </c>
      <c r="C28" s="787" t="s">
        <v>388</v>
      </c>
      <c r="D28" s="204">
        <f>+'App.2-CA_CGAAP_DepExp_2011'!D28-'App.2-CA_CGAAP_DepExp_2011'!E28</f>
        <v>4259782</v>
      </c>
      <c r="E28" s="204">
        <v>338734.81</v>
      </c>
      <c r="F28" s="282">
        <v>30</v>
      </c>
      <c r="G28" s="282">
        <v>40</v>
      </c>
      <c r="H28" s="586">
        <f t="shared" si="0"/>
        <v>2.5000000000000001E-2</v>
      </c>
      <c r="I28" s="796">
        <f t="shared" si="1"/>
        <v>141992.73333333334</v>
      </c>
      <c r="J28" s="796">
        <f t="shared" si="2"/>
        <v>4234.185125</v>
      </c>
      <c r="K28" s="796">
        <f t="shared" si="3"/>
        <v>146226.91845833333</v>
      </c>
      <c r="L28" s="204">
        <v>149109</v>
      </c>
      <c r="M28" s="796">
        <f t="shared" si="4"/>
        <v>-2882.0815416666737</v>
      </c>
      <c r="N28" s="796">
        <f t="shared" si="5"/>
        <v>8468.3702499999999</v>
      </c>
      <c r="O28" s="204"/>
      <c r="P28" s="796">
        <f t="shared" si="6"/>
        <v>150461.10358333334</v>
      </c>
    </row>
    <row r="29" spans="2:16" x14ac:dyDescent="0.2">
      <c r="B29" s="782">
        <v>1855</v>
      </c>
      <c r="C29" s="787" t="s">
        <v>310</v>
      </c>
      <c r="D29" s="204">
        <f>+'App.2-CA_CGAAP_DepExp_2011'!D29-'App.2-CA_CGAAP_DepExp_2011'!E29</f>
        <v>2869274.3499999996</v>
      </c>
      <c r="E29" s="204">
        <v>158550.78</v>
      </c>
      <c r="F29" s="282">
        <v>34</v>
      </c>
      <c r="G29" s="282">
        <v>40</v>
      </c>
      <c r="H29" s="586">
        <f t="shared" si="0"/>
        <v>2.5000000000000001E-2</v>
      </c>
      <c r="I29" s="796">
        <f t="shared" si="1"/>
        <v>84390.422058823518</v>
      </c>
      <c r="J29" s="796">
        <f t="shared" si="2"/>
        <v>1981.8847499999999</v>
      </c>
      <c r="K29" s="796">
        <f t="shared" si="3"/>
        <v>86372.306808823516</v>
      </c>
      <c r="L29" s="204">
        <v>87925</v>
      </c>
      <c r="M29" s="796">
        <f t="shared" si="4"/>
        <v>-1552.6931911764841</v>
      </c>
      <c r="N29" s="796">
        <f t="shared" si="5"/>
        <v>3963.7694999999999</v>
      </c>
      <c r="O29" s="204"/>
      <c r="P29" s="796">
        <f t="shared" si="6"/>
        <v>88354.191558823513</v>
      </c>
    </row>
    <row r="30" spans="2:16" x14ac:dyDescent="0.2">
      <c r="B30" s="782">
        <v>1860</v>
      </c>
      <c r="C30" s="787" t="s">
        <v>389</v>
      </c>
      <c r="D30" s="204">
        <f>+'App.2-CA_CGAAP_DepExp_2011'!D30-'App.2-CA_CGAAP_DepExp_2011'!E30</f>
        <v>933199.55</v>
      </c>
      <c r="E30" s="204">
        <v>4237.6099999999997</v>
      </c>
      <c r="F30" s="282">
        <v>13</v>
      </c>
      <c r="G30" s="282">
        <v>15</v>
      </c>
      <c r="H30" s="586">
        <f t="shared" si="0"/>
        <v>6.6666666666666666E-2</v>
      </c>
      <c r="I30" s="796">
        <f t="shared" si="1"/>
        <v>71784.580769230772</v>
      </c>
      <c r="J30" s="796">
        <f t="shared" si="2"/>
        <v>141.25366666666665</v>
      </c>
      <c r="K30" s="796">
        <f t="shared" si="3"/>
        <v>71925.834435897443</v>
      </c>
      <c r="L30" s="204">
        <v>76025</v>
      </c>
      <c r="M30" s="796">
        <f t="shared" si="4"/>
        <v>-4099.1655641025573</v>
      </c>
      <c r="N30" s="796">
        <f t="shared" si="5"/>
        <v>282.50733333333329</v>
      </c>
      <c r="O30" s="204"/>
      <c r="P30" s="796">
        <f t="shared" si="6"/>
        <v>72067.088102564099</v>
      </c>
    </row>
    <row r="31" spans="2:16" x14ac:dyDescent="0.2">
      <c r="B31" s="785">
        <v>1860</v>
      </c>
      <c r="C31" s="786" t="s">
        <v>311</v>
      </c>
      <c r="D31" s="204">
        <f>+'App.2-CA_CGAAP_DepExp_2011'!D31-'App.2-CA_CGAAP_DepExp_2011'!E31</f>
        <v>3082487</v>
      </c>
      <c r="E31" s="204">
        <v>18382</v>
      </c>
      <c r="F31" s="282">
        <v>15</v>
      </c>
      <c r="G31" s="282">
        <v>15</v>
      </c>
      <c r="H31" s="586">
        <f t="shared" si="0"/>
        <v>6.6666666666666666E-2</v>
      </c>
      <c r="I31" s="796">
        <f t="shared" si="1"/>
        <v>205499.13333333333</v>
      </c>
      <c r="J31" s="796">
        <f t="shared" si="2"/>
        <v>612.73333333333335</v>
      </c>
      <c r="K31" s="796">
        <f t="shared" si="3"/>
        <v>206111.86666666667</v>
      </c>
      <c r="L31" s="204">
        <v>571777</v>
      </c>
      <c r="M31" s="796">
        <f t="shared" si="4"/>
        <v>-365665.1333333333</v>
      </c>
      <c r="N31" s="796">
        <f t="shared" si="5"/>
        <v>1225.4666666666667</v>
      </c>
      <c r="O31" s="204"/>
      <c r="P31" s="796">
        <f t="shared" si="6"/>
        <v>206724.6</v>
      </c>
    </row>
    <row r="32" spans="2:16" x14ac:dyDescent="0.2">
      <c r="B32" s="785">
        <v>1905</v>
      </c>
      <c r="C32" s="786" t="s">
        <v>383</v>
      </c>
      <c r="D32" s="204">
        <f>+'App.2-CA_CGAAP_DepExp_2011'!D32-'App.2-CA_CGAAP_DepExp_2011'!E32</f>
        <v>174187.53</v>
      </c>
      <c r="E32" s="204"/>
      <c r="F32" s="282">
        <v>0</v>
      </c>
      <c r="G32" s="282">
        <v>15</v>
      </c>
      <c r="H32" s="586">
        <f t="shared" si="0"/>
        <v>6.6666666666666666E-2</v>
      </c>
      <c r="I32" s="796">
        <f t="shared" si="1"/>
        <v>0</v>
      </c>
      <c r="J32" s="796">
        <f t="shared" si="2"/>
        <v>0</v>
      </c>
      <c r="K32" s="796">
        <f t="shared" si="3"/>
        <v>0</v>
      </c>
      <c r="L32" s="204"/>
      <c r="M32" s="796">
        <f t="shared" si="4"/>
        <v>0</v>
      </c>
      <c r="N32" s="796">
        <f t="shared" si="5"/>
        <v>0</v>
      </c>
      <c r="O32" s="204"/>
      <c r="P32" s="796">
        <f t="shared" si="6"/>
        <v>0</v>
      </c>
    </row>
    <row r="33" spans="2:16" x14ac:dyDescent="0.2">
      <c r="B33" s="782">
        <v>1908</v>
      </c>
      <c r="C33" s="787" t="s">
        <v>391</v>
      </c>
      <c r="D33" s="204">
        <f>+'App.2-CA_CGAAP_DepExp_2011'!D33-'App.2-CA_CGAAP_DepExp_2011'!E33</f>
        <v>1485042.7799999998</v>
      </c>
      <c r="E33" s="204">
        <v>15493.24</v>
      </c>
      <c r="F33" s="282">
        <v>43</v>
      </c>
      <c r="G33" s="282">
        <v>60</v>
      </c>
      <c r="H33" s="586">
        <f t="shared" si="0"/>
        <v>1.6666666666666666E-2</v>
      </c>
      <c r="I33" s="796">
        <f t="shared" si="1"/>
        <v>34535.87860465116</v>
      </c>
      <c r="J33" s="796">
        <f t="shared" si="2"/>
        <v>129.11033333333333</v>
      </c>
      <c r="K33" s="796">
        <f t="shared" si="3"/>
        <v>34664.98893798449</v>
      </c>
      <c r="L33" s="204">
        <v>36971</v>
      </c>
      <c r="M33" s="796">
        <f t="shared" si="4"/>
        <v>-2306.0110620155101</v>
      </c>
      <c r="N33" s="796">
        <f>IF(G33=0,0,+(E33)/G33)</f>
        <v>258.22066666666666</v>
      </c>
      <c r="O33" s="204"/>
      <c r="P33" s="796">
        <f t="shared" si="6"/>
        <v>34794.099271317828</v>
      </c>
    </row>
    <row r="34" spans="2:16" x14ac:dyDescent="0.2">
      <c r="B34" s="782">
        <v>1910</v>
      </c>
      <c r="C34" s="787" t="s">
        <v>417</v>
      </c>
      <c r="D34" s="204">
        <f>+'App.2-CA_CGAAP_DepExp_2011'!D34-'App.2-CA_CGAAP_DepExp_2011'!E34</f>
        <v>0</v>
      </c>
      <c r="E34" s="204"/>
      <c r="F34" s="282"/>
      <c r="G34" s="282"/>
      <c r="H34" s="586">
        <f t="shared" si="0"/>
        <v>0</v>
      </c>
      <c r="I34" s="796">
        <f t="shared" si="1"/>
        <v>0</v>
      </c>
      <c r="J34" s="796">
        <f t="shared" si="2"/>
        <v>0</v>
      </c>
      <c r="K34" s="796">
        <f t="shared" si="3"/>
        <v>0</v>
      </c>
      <c r="L34" s="204"/>
      <c r="M34" s="796">
        <f t="shared" si="4"/>
        <v>0</v>
      </c>
      <c r="N34" s="796">
        <f t="shared" si="5"/>
        <v>0</v>
      </c>
      <c r="O34" s="204"/>
      <c r="P34" s="796">
        <f t="shared" si="6"/>
        <v>0</v>
      </c>
    </row>
    <row r="35" spans="2:16" x14ac:dyDescent="0.2">
      <c r="B35" s="782">
        <v>1915</v>
      </c>
      <c r="C35" s="787" t="s">
        <v>312</v>
      </c>
      <c r="D35" s="204">
        <f>+'App.2-CA_CGAAP_DepExp_2011'!D35-'App.2-CA_CGAAP_DepExp_2011'!E35</f>
        <v>48475</v>
      </c>
      <c r="E35" s="204">
        <v>23461.869999999995</v>
      </c>
      <c r="F35" s="282">
        <v>10</v>
      </c>
      <c r="G35" s="282">
        <v>10</v>
      </c>
      <c r="H35" s="586">
        <f t="shared" si="0"/>
        <v>0.1</v>
      </c>
      <c r="I35" s="796">
        <f t="shared" si="1"/>
        <v>4847.5</v>
      </c>
      <c r="J35" s="796">
        <f t="shared" si="2"/>
        <v>1173.0934999999997</v>
      </c>
      <c r="K35" s="796">
        <f t="shared" si="3"/>
        <v>6020.5934999999999</v>
      </c>
      <c r="L35" s="204">
        <v>7194</v>
      </c>
      <c r="M35" s="796">
        <f t="shared" si="4"/>
        <v>-1173.4065000000001</v>
      </c>
      <c r="N35" s="796">
        <f t="shared" si="5"/>
        <v>2346.1869999999994</v>
      </c>
      <c r="O35" s="204"/>
      <c r="P35" s="796">
        <f t="shared" si="6"/>
        <v>7193.6869999999999</v>
      </c>
    </row>
    <row r="36" spans="2:16" x14ac:dyDescent="0.2">
      <c r="B36" s="782">
        <v>1915</v>
      </c>
      <c r="C36" s="787" t="s">
        <v>313</v>
      </c>
      <c r="D36" s="204">
        <f>+'App.2-CA_CGAAP_DepExp_2011'!D36-'App.2-CA_CGAAP_DepExp_2011'!E36</f>
        <v>0</v>
      </c>
      <c r="E36" s="204"/>
      <c r="F36" s="282"/>
      <c r="G36" s="282"/>
      <c r="H36" s="586">
        <f t="shared" si="0"/>
        <v>0</v>
      </c>
      <c r="I36" s="796">
        <f t="shared" si="1"/>
        <v>0</v>
      </c>
      <c r="J36" s="796">
        <f t="shared" si="2"/>
        <v>0</v>
      </c>
      <c r="K36" s="796">
        <f t="shared" si="3"/>
        <v>0</v>
      </c>
      <c r="L36" s="204">
        <v>0</v>
      </c>
      <c r="M36" s="796">
        <f t="shared" si="4"/>
        <v>0</v>
      </c>
      <c r="N36" s="796">
        <f t="shared" si="5"/>
        <v>0</v>
      </c>
      <c r="O36" s="204"/>
      <c r="P36" s="796">
        <f t="shared" si="6"/>
        <v>0</v>
      </c>
    </row>
    <row r="37" spans="2:16" x14ac:dyDescent="0.2">
      <c r="B37" s="782">
        <v>1920</v>
      </c>
      <c r="C37" s="787" t="s">
        <v>314</v>
      </c>
      <c r="D37" s="204">
        <f>+'App.2-CA_CGAAP_DepExp_2011'!D37-'App.2-CA_CGAAP_DepExp_2011'!E37</f>
        <v>0</v>
      </c>
      <c r="E37" s="204"/>
      <c r="F37" s="282"/>
      <c r="G37" s="282"/>
      <c r="H37" s="586">
        <f t="shared" si="0"/>
        <v>0</v>
      </c>
      <c r="I37" s="796">
        <f t="shared" si="1"/>
        <v>0</v>
      </c>
      <c r="J37" s="796">
        <f t="shared" si="2"/>
        <v>0</v>
      </c>
      <c r="K37" s="796">
        <f t="shared" si="3"/>
        <v>0</v>
      </c>
      <c r="L37" s="204"/>
      <c r="M37" s="796">
        <f t="shared" si="4"/>
        <v>0</v>
      </c>
      <c r="N37" s="796">
        <f t="shared" si="5"/>
        <v>0</v>
      </c>
      <c r="O37" s="204"/>
      <c r="P37" s="796">
        <f t="shared" si="6"/>
        <v>0</v>
      </c>
    </row>
    <row r="38" spans="2:16" x14ac:dyDescent="0.2">
      <c r="B38" s="788">
        <v>1920</v>
      </c>
      <c r="C38" s="783" t="s">
        <v>316</v>
      </c>
      <c r="D38" s="204">
        <f>+'App.2-CA_CGAAP_DepExp_2011'!D38-'App.2-CA_CGAAP_DepExp_2011'!E38</f>
        <v>0</v>
      </c>
      <c r="E38" s="204">
        <v>136793.63</v>
      </c>
      <c r="F38" s="282">
        <v>5</v>
      </c>
      <c r="G38" s="282">
        <v>5</v>
      </c>
      <c r="H38" s="586">
        <f t="shared" si="0"/>
        <v>0.2</v>
      </c>
      <c r="I38" s="796">
        <f t="shared" si="1"/>
        <v>0</v>
      </c>
      <c r="J38" s="796">
        <f t="shared" si="2"/>
        <v>13679.363000000001</v>
      </c>
      <c r="K38" s="796">
        <f t="shared" si="3"/>
        <v>13679.363000000001</v>
      </c>
      <c r="L38" s="204">
        <v>40379</v>
      </c>
      <c r="M38" s="796">
        <f t="shared" si="4"/>
        <v>-26699.636999999999</v>
      </c>
      <c r="N38" s="796">
        <f t="shared" si="5"/>
        <v>27358.726000000002</v>
      </c>
      <c r="O38" s="204"/>
      <c r="P38" s="796">
        <f t="shared" si="6"/>
        <v>27358.726000000002</v>
      </c>
    </row>
    <row r="39" spans="2:16" x14ac:dyDescent="0.2">
      <c r="B39" s="788">
        <v>1920</v>
      </c>
      <c r="C39" s="783" t="s">
        <v>315</v>
      </c>
      <c r="D39" s="204">
        <f>+'App.2-CA_CGAAP_DepExp_2011'!D39-'App.2-CA_CGAAP_DepExp_2011'!E39</f>
        <v>0</v>
      </c>
      <c r="E39" s="204"/>
      <c r="F39" s="282"/>
      <c r="G39" s="282"/>
      <c r="H39" s="586">
        <f t="shared" si="0"/>
        <v>0</v>
      </c>
      <c r="I39" s="796">
        <f t="shared" si="1"/>
        <v>0</v>
      </c>
      <c r="J39" s="796">
        <f t="shared" si="2"/>
        <v>0</v>
      </c>
      <c r="K39" s="796">
        <f t="shared" si="3"/>
        <v>0</v>
      </c>
      <c r="L39" s="204"/>
      <c r="M39" s="796">
        <f t="shared" si="4"/>
        <v>0</v>
      </c>
      <c r="N39" s="796">
        <f t="shared" si="5"/>
        <v>0</v>
      </c>
      <c r="O39" s="204"/>
      <c r="P39" s="796">
        <f t="shared" si="6"/>
        <v>0</v>
      </c>
    </row>
    <row r="40" spans="2:16" x14ac:dyDescent="0.2">
      <c r="B40" s="782">
        <v>1930</v>
      </c>
      <c r="C40" s="787" t="s">
        <v>404</v>
      </c>
      <c r="D40" s="204">
        <f>+'App.2-CA_CGAAP_DepExp_2011'!D40-'App.2-CA_CGAAP_DepExp_2011'!E40</f>
        <v>0</v>
      </c>
      <c r="E40" s="204">
        <v>679340</v>
      </c>
      <c r="F40" s="282">
        <v>10</v>
      </c>
      <c r="G40" s="282">
        <v>10</v>
      </c>
      <c r="H40" s="586">
        <f t="shared" si="0"/>
        <v>0.1</v>
      </c>
      <c r="I40" s="796">
        <f t="shared" si="1"/>
        <v>0</v>
      </c>
      <c r="J40" s="796">
        <f t="shared" si="2"/>
        <v>33967</v>
      </c>
      <c r="K40" s="796">
        <f t="shared" si="3"/>
        <v>33967</v>
      </c>
      <c r="L40" s="204">
        <v>136811</v>
      </c>
      <c r="M40" s="796">
        <f t="shared" si="4"/>
        <v>-102844</v>
      </c>
      <c r="N40" s="796">
        <f t="shared" si="5"/>
        <v>67934</v>
      </c>
      <c r="O40" s="204"/>
      <c r="P40" s="796">
        <f t="shared" si="6"/>
        <v>67934</v>
      </c>
    </row>
    <row r="41" spans="2:16" x14ac:dyDescent="0.2">
      <c r="B41" s="782">
        <v>1935</v>
      </c>
      <c r="C41" s="787" t="s">
        <v>405</v>
      </c>
      <c r="D41" s="204">
        <f>+'App.2-CA_CGAAP_DepExp_2011'!D41-'App.2-CA_CGAAP_DepExp_2011'!E41</f>
        <v>0</v>
      </c>
      <c r="E41" s="204"/>
      <c r="F41" s="282"/>
      <c r="G41" s="282"/>
      <c r="H41" s="586">
        <f t="shared" si="0"/>
        <v>0</v>
      </c>
      <c r="I41" s="796">
        <f t="shared" si="1"/>
        <v>0</v>
      </c>
      <c r="J41" s="796">
        <f t="shared" si="2"/>
        <v>0</v>
      </c>
      <c r="K41" s="796">
        <f t="shared" si="3"/>
        <v>0</v>
      </c>
      <c r="L41" s="204"/>
      <c r="M41" s="796">
        <f t="shared" si="4"/>
        <v>0</v>
      </c>
      <c r="N41" s="796">
        <f t="shared" si="5"/>
        <v>0</v>
      </c>
      <c r="O41" s="204"/>
      <c r="P41" s="796">
        <f t="shared" si="6"/>
        <v>0</v>
      </c>
    </row>
    <row r="42" spans="2:16" x14ac:dyDescent="0.2">
      <c r="B42" s="782">
        <v>1940</v>
      </c>
      <c r="C42" s="787" t="s">
        <v>406</v>
      </c>
      <c r="D42" s="204">
        <f>+'App.2-CA_CGAAP_DepExp_2011'!D42-'App.2-CA_CGAAP_DepExp_2011'!E42</f>
        <v>28110</v>
      </c>
      <c r="E42" s="204">
        <v>349128.9</v>
      </c>
      <c r="F42" s="282">
        <v>10</v>
      </c>
      <c r="G42" s="282">
        <v>10</v>
      </c>
      <c r="H42" s="586">
        <f t="shared" si="0"/>
        <v>0.1</v>
      </c>
      <c r="I42" s="796">
        <f t="shared" si="1"/>
        <v>2811</v>
      </c>
      <c r="J42" s="796">
        <f t="shared" si="2"/>
        <v>17456.445</v>
      </c>
      <c r="K42" s="796">
        <f t="shared" si="3"/>
        <v>20267.445</v>
      </c>
      <c r="L42" s="204">
        <v>43346</v>
      </c>
      <c r="M42" s="796">
        <f t="shared" si="4"/>
        <v>-23078.555</v>
      </c>
      <c r="N42" s="796">
        <f t="shared" si="5"/>
        <v>34912.89</v>
      </c>
      <c r="O42" s="204"/>
      <c r="P42" s="796">
        <f t="shared" si="6"/>
        <v>37723.89</v>
      </c>
    </row>
    <row r="43" spans="2:16" x14ac:dyDescent="0.2">
      <c r="B43" s="782">
        <v>1945</v>
      </c>
      <c r="C43" s="787" t="s">
        <v>407</v>
      </c>
      <c r="D43" s="204">
        <f>+'App.2-CA_CGAAP_DepExp_2011'!D43-'App.2-CA_CGAAP_DepExp_2011'!E43</f>
        <v>0</v>
      </c>
      <c r="E43" s="204"/>
      <c r="F43" s="282"/>
      <c r="G43" s="282"/>
      <c r="H43" s="586">
        <f t="shared" si="0"/>
        <v>0</v>
      </c>
      <c r="I43" s="796">
        <f t="shared" si="1"/>
        <v>0</v>
      </c>
      <c r="J43" s="796">
        <f t="shared" si="2"/>
        <v>0</v>
      </c>
      <c r="K43" s="796">
        <f t="shared" si="3"/>
        <v>0</v>
      </c>
      <c r="L43" s="204"/>
      <c r="M43" s="796">
        <f t="shared" si="4"/>
        <v>0</v>
      </c>
      <c r="N43" s="796">
        <f t="shared" si="5"/>
        <v>0</v>
      </c>
      <c r="O43" s="204"/>
      <c r="P43" s="796">
        <f t="shared" si="6"/>
        <v>0</v>
      </c>
    </row>
    <row r="44" spans="2:16" x14ac:dyDescent="0.2">
      <c r="B44" s="782">
        <v>1950</v>
      </c>
      <c r="C44" s="787" t="s">
        <v>317</v>
      </c>
      <c r="D44" s="204">
        <f>+'App.2-CA_CGAAP_DepExp_2011'!D44-'App.2-CA_CGAAP_DepExp_2011'!E44</f>
        <v>0</v>
      </c>
      <c r="E44" s="204"/>
      <c r="F44" s="282"/>
      <c r="G44" s="282"/>
      <c r="H44" s="586">
        <f t="shared" si="0"/>
        <v>0</v>
      </c>
      <c r="I44" s="796">
        <f t="shared" si="1"/>
        <v>0</v>
      </c>
      <c r="J44" s="796">
        <f t="shared" si="2"/>
        <v>0</v>
      </c>
      <c r="K44" s="796">
        <f t="shared" si="3"/>
        <v>0</v>
      </c>
      <c r="L44" s="204"/>
      <c r="M44" s="796">
        <f t="shared" si="4"/>
        <v>0</v>
      </c>
      <c r="N44" s="796">
        <f t="shared" si="5"/>
        <v>0</v>
      </c>
      <c r="O44" s="204"/>
      <c r="P44" s="796">
        <f t="shared" si="6"/>
        <v>0</v>
      </c>
    </row>
    <row r="45" spans="2:16" x14ac:dyDescent="0.2">
      <c r="B45" s="782">
        <v>1955</v>
      </c>
      <c r="C45" s="787" t="s">
        <v>408</v>
      </c>
      <c r="D45" s="204">
        <f>+'App.2-CA_CGAAP_DepExp_2011'!D45-'App.2-CA_CGAAP_DepExp_2011'!E45</f>
        <v>0</v>
      </c>
      <c r="E45" s="204">
        <v>12465.77</v>
      </c>
      <c r="F45" s="282">
        <v>15</v>
      </c>
      <c r="G45" s="282">
        <v>15</v>
      </c>
      <c r="H45" s="586">
        <f t="shared" si="0"/>
        <v>6.6666666666666666E-2</v>
      </c>
      <c r="I45" s="796">
        <f t="shared" si="1"/>
        <v>0</v>
      </c>
      <c r="J45" s="796">
        <f t="shared" si="2"/>
        <v>415.52566666666667</v>
      </c>
      <c r="K45" s="796">
        <f t="shared" si="3"/>
        <v>415.52566666666667</v>
      </c>
      <c r="L45" s="204">
        <v>2493</v>
      </c>
      <c r="M45" s="796">
        <f t="shared" si="4"/>
        <v>-2077.4743333333336</v>
      </c>
      <c r="N45" s="796">
        <f t="shared" si="5"/>
        <v>831.05133333333333</v>
      </c>
      <c r="O45" s="204"/>
      <c r="P45" s="796">
        <f t="shared" si="6"/>
        <v>831.05133333333333</v>
      </c>
    </row>
    <row r="46" spans="2:16" x14ac:dyDescent="0.2">
      <c r="B46" s="789">
        <v>1955</v>
      </c>
      <c r="C46" s="790" t="s">
        <v>318</v>
      </c>
      <c r="D46" s="204">
        <f>+'App.2-CA_CGAAP_DepExp_2011'!D46-'App.2-CA_CGAAP_DepExp_2011'!E46</f>
        <v>0</v>
      </c>
      <c r="E46" s="204"/>
      <c r="F46" s="282"/>
      <c r="G46" s="282"/>
      <c r="H46" s="586">
        <f t="shared" si="0"/>
        <v>0</v>
      </c>
      <c r="I46" s="796">
        <f t="shared" si="1"/>
        <v>0</v>
      </c>
      <c r="J46" s="796">
        <f t="shared" si="2"/>
        <v>0</v>
      </c>
      <c r="K46" s="796">
        <f t="shared" si="3"/>
        <v>0</v>
      </c>
      <c r="L46" s="204"/>
      <c r="M46" s="796">
        <f t="shared" si="4"/>
        <v>0</v>
      </c>
      <c r="N46" s="796">
        <f t="shared" si="5"/>
        <v>0</v>
      </c>
      <c r="O46" s="204"/>
      <c r="P46" s="796">
        <f t="shared" si="6"/>
        <v>0</v>
      </c>
    </row>
    <row r="47" spans="2:16" x14ac:dyDescent="0.2">
      <c r="B47" s="788">
        <v>1960</v>
      </c>
      <c r="C47" s="783" t="s">
        <v>319</v>
      </c>
      <c r="D47" s="204">
        <f>+'App.2-CA_CGAAP_DepExp_2011'!D47-'App.2-CA_CGAAP_DepExp_2011'!E47</f>
        <v>0</v>
      </c>
      <c r="E47" s="204">
        <v>200000</v>
      </c>
      <c r="F47" s="282">
        <v>15</v>
      </c>
      <c r="G47" s="282">
        <v>15</v>
      </c>
      <c r="H47" s="586">
        <f t="shared" si="0"/>
        <v>6.6666666666666666E-2</v>
      </c>
      <c r="I47" s="796">
        <f t="shared" si="1"/>
        <v>0</v>
      </c>
      <c r="J47" s="796">
        <f t="shared" si="2"/>
        <v>6666.666666666667</v>
      </c>
      <c r="K47" s="796">
        <f t="shared" si="3"/>
        <v>6666.666666666667</v>
      </c>
      <c r="L47" s="204">
        <v>13333</v>
      </c>
      <c r="M47" s="796">
        <f t="shared" si="4"/>
        <v>-6666.333333333333</v>
      </c>
      <c r="N47" s="796">
        <f t="shared" si="5"/>
        <v>13333.333333333334</v>
      </c>
      <c r="O47" s="204"/>
      <c r="P47" s="796">
        <f t="shared" si="6"/>
        <v>13333.333333333334</v>
      </c>
    </row>
    <row r="48" spans="2:16" x14ac:dyDescent="0.2">
      <c r="B48" s="789">
        <v>1970</v>
      </c>
      <c r="C48" s="832" t="s">
        <v>773</v>
      </c>
      <c r="D48" s="204">
        <f>+'App.2-CA_CGAAP_DepExp_2011'!D48-'App.2-CA_CGAAP_DepExp_2011'!E48</f>
        <v>0</v>
      </c>
      <c r="E48" s="204"/>
      <c r="F48" s="282"/>
      <c r="G48" s="282"/>
      <c r="H48" s="586">
        <f t="shared" si="0"/>
        <v>0</v>
      </c>
      <c r="I48" s="796">
        <f t="shared" si="1"/>
        <v>0</v>
      </c>
      <c r="J48" s="796">
        <f t="shared" si="2"/>
        <v>0</v>
      </c>
      <c r="K48" s="796">
        <f t="shared" si="3"/>
        <v>0</v>
      </c>
      <c r="L48" s="204"/>
      <c r="M48" s="796">
        <f t="shared" si="4"/>
        <v>0</v>
      </c>
      <c r="N48" s="796">
        <f t="shared" si="5"/>
        <v>0</v>
      </c>
      <c r="O48" s="204"/>
      <c r="P48" s="796">
        <f t="shared" si="6"/>
        <v>0</v>
      </c>
    </row>
    <row r="49" spans="2:16" x14ac:dyDescent="0.2">
      <c r="B49" s="782">
        <v>1975</v>
      </c>
      <c r="C49" s="787" t="s">
        <v>409</v>
      </c>
      <c r="D49" s="204">
        <f>+'App.2-CA_CGAAP_DepExp_2011'!D49-'App.2-CA_CGAAP_DepExp_2011'!E49</f>
        <v>0</v>
      </c>
      <c r="E49" s="204"/>
      <c r="F49" s="282"/>
      <c r="G49" s="282"/>
      <c r="H49" s="586">
        <f t="shared" si="0"/>
        <v>0</v>
      </c>
      <c r="I49" s="796">
        <f t="shared" si="1"/>
        <v>0</v>
      </c>
      <c r="J49" s="796">
        <f t="shared" si="2"/>
        <v>0</v>
      </c>
      <c r="K49" s="796">
        <f t="shared" si="3"/>
        <v>0</v>
      </c>
      <c r="L49" s="204"/>
      <c r="M49" s="796">
        <f t="shared" si="4"/>
        <v>0</v>
      </c>
      <c r="N49" s="796">
        <f t="shared" si="5"/>
        <v>0</v>
      </c>
      <c r="O49" s="204"/>
      <c r="P49" s="796">
        <f t="shared" si="6"/>
        <v>0</v>
      </c>
    </row>
    <row r="50" spans="2:16" x14ac:dyDescent="0.2">
      <c r="B50" s="782">
        <v>1980</v>
      </c>
      <c r="C50" s="787" t="s">
        <v>410</v>
      </c>
      <c r="D50" s="204">
        <f>+'App.2-CA_CGAAP_DepExp_2011'!D50-'App.2-CA_CGAAP_DepExp_2011'!E50</f>
        <v>43592.36</v>
      </c>
      <c r="E50" s="204">
        <v>412316.37</v>
      </c>
      <c r="F50" s="282">
        <v>12</v>
      </c>
      <c r="G50" s="282">
        <v>15</v>
      </c>
      <c r="H50" s="586">
        <f t="shared" si="0"/>
        <v>6.6666666666666666E-2</v>
      </c>
      <c r="I50" s="796">
        <f t="shared" si="1"/>
        <v>3632.6966666666667</v>
      </c>
      <c r="J50" s="796">
        <f t="shared" si="2"/>
        <v>13743.878999999999</v>
      </c>
      <c r="K50" s="796">
        <f t="shared" si="3"/>
        <v>17376.575666666664</v>
      </c>
      <c r="L50" s="204">
        <v>31788</v>
      </c>
      <c r="M50" s="796">
        <f t="shared" si="4"/>
        <v>-14411.424333333336</v>
      </c>
      <c r="N50" s="796">
        <f t="shared" si="5"/>
        <v>27487.757999999998</v>
      </c>
      <c r="O50" s="204"/>
      <c r="P50" s="796">
        <f t="shared" si="6"/>
        <v>31120.454666666665</v>
      </c>
    </row>
    <row r="51" spans="2:16" x14ac:dyDescent="0.2">
      <c r="B51" s="782">
        <v>1985</v>
      </c>
      <c r="C51" s="787" t="s">
        <v>411</v>
      </c>
      <c r="D51" s="204">
        <f>+'App.2-CA_CGAAP_DepExp_2011'!D51-'App.2-CA_CGAAP_DepExp_2011'!E51</f>
        <v>0</v>
      </c>
      <c r="E51" s="204"/>
      <c r="F51" s="282"/>
      <c r="G51" s="282"/>
      <c r="H51" s="586">
        <f t="shared" si="0"/>
        <v>0</v>
      </c>
      <c r="I51" s="796">
        <f t="shared" si="1"/>
        <v>0</v>
      </c>
      <c r="J51" s="796">
        <f t="shared" si="2"/>
        <v>0</v>
      </c>
      <c r="K51" s="796">
        <f t="shared" si="3"/>
        <v>0</v>
      </c>
      <c r="L51" s="204"/>
      <c r="M51" s="796">
        <f t="shared" si="4"/>
        <v>0</v>
      </c>
      <c r="N51" s="796">
        <f t="shared" si="5"/>
        <v>0</v>
      </c>
      <c r="O51" s="204"/>
      <c r="P51" s="796">
        <f t="shared" si="6"/>
        <v>0</v>
      </c>
    </row>
    <row r="52" spans="2:16" x14ac:dyDescent="0.2">
      <c r="B52" s="782">
        <v>1990</v>
      </c>
      <c r="C52" s="791" t="s">
        <v>774</v>
      </c>
      <c r="D52" s="204">
        <f>+'App.2-CA_CGAAP_DepExp_2011'!D52-'App.2-CA_CGAAP_DepExp_2011'!E52</f>
        <v>0</v>
      </c>
      <c r="E52" s="204"/>
      <c r="F52" s="282"/>
      <c r="G52" s="282"/>
      <c r="H52" s="586">
        <f t="shared" si="0"/>
        <v>0</v>
      </c>
      <c r="I52" s="796">
        <f t="shared" si="1"/>
        <v>0</v>
      </c>
      <c r="J52" s="796">
        <f t="shared" si="2"/>
        <v>0</v>
      </c>
      <c r="K52" s="796">
        <f t="shared" si="3"/>
        <v>0</v>
      </c>
      <c r="L52" s="204"/>
      <c r="M52" s="796">
        <f t="shared" si="4"/>
        <v>0</v>
      </c>
      <c r="N52" s="796">
        <f t="shared" si="5"/>
        <v>0</v>
      </c>
      <c r="O52" s="204"/>
      <c r="P52" s="796">
        <f t="shared" si="6"/>
        <v>0</v>
      </c>
    </row>
    <row r="53" spans="2:16" x14ac:dyDescent="0.2">
      <c r="B53" s="782">
        <v>1995</v>
      </c>
      <c r="C53" s="787" t="s">
        <v>412</v>
      </c>
      <c r="D53" s="204">
        <f>+'App.2-CA_CGAAP_DepExp_2011'!D53-'App.2-CA_CGAAP_DepExp_2011'!E53</f>
        <v>-1975697</v>
      </c>
      <c r="E53" s="204">
        <v>-318520.11</v>
      </c>
      <c r="F53" s="282">
        <v>20</v>
      </c>
      <c r="G53" s="282">
        <v>40</v>
      </c>
      <c r="H53" s="586">
        <f t="shared" si="0"/>
        <v>2.5000000000000001E-2</v>
      </c>
      <c r="I53" s="796">
        <f t="shared" si="1"/>
        <v>-98784.85</v>
      </c>
      <c r="J53" s="796">
        <f t="shared" si="2"/>
        <v>-3981.5013749999998</v>
      </c>
      <c r="K53" s="796">
        <f t="shared" si="3"/>
        <v>-102766.351375</v>
      </c>
      <c r="L53" s="204">
        <v>-162754</v>
      </c>
      <c r="M53" s="796">
        <f t="shared" si="4"/>
        <v>59987.648625000002</v>
      </c>
      <c r="N53" s="796">
        <f t="shared" si="5"/>
        <v>-7963.0027499999997</v>
      </c>
      <c r="O53" s="204"/>
      <c r="P53" s="796">
        <f t="shared" si="6"/>
        <v>-106747.85275000001</v>
      </c>
    </row>
    <row r="54" spans="2:16" x14ac:dyDescent="0.2">
      <c r="B54" s="227" t="s">
        <v>13</v>
      </c>
      <c r="C54" s="228"/>
      <c r="D54" s="204"/>
      <c r="E54" s="204"/>
      <c r="F54" s="282"/>
      <c r="G54" s="282"/>
      <c r="H54" s="586">
        <f t="shared" si="0"/>
        <v>0</v>
      </c>
      <c r="I54" s="796">
        <f t="shared" si="1"/>
        <v>0</v>
      </c>
      <c r="J54" s="796">
        <f t="shared" si="2"/>
        <v>0</v>
      </c>
      <c r="K54" s="796">
        <f t="shared" si="3"/>
        <v>0</v>
      </c>
      <c r="L54" s="204"/>
      <c r="M54" s="796">
        <f t="shared" si="4"/>
        <v>0</v>
      </c>
      <c r="N54" s="796">
        <f t="shared" si="5"/>
        <v>0</v>
      </c>
      <c r="O54" s="204"/>
      <c r="P54" s="796">
        <f t="shared" si="6"/>
        <v>0</v>
      </c>
    </row>
    <row r="55" spans="2:16" ht="13.5" thickBot="1" x14ac:dyDescent="0.25">
      <c r="B55" s="229"/>
      <c r="C55" s="230"/>
      <c r="D55" s="204"/>
      <c r="E55" s="204"/>
      <c r="F55" s="282"/>
      <c r="G55" s="282"/>
      <c r="H55" s="593">
        <f t="shared" si="0"/>
        <v>0</v>
      </c>
      <c r="I55" s="796">
        <f t="shared" si="1"/>
        <v>0</v>
      </c>
      <c r="J55" s="796">
        <f t="shared" si="2"/>
        <v>0</v>
      </c>
      <c r="K55" s="796">
        <f t="shared" si="3"/>
        <v>0</v>
      </c>
      <c r="L55" s="204"/>
      <c r="M55" s="796">
        <f t="shared" si="4"/>
        <v>0</v>
      </c>
      <c r="N55" s="796">
        <f t="shared" si="5"/>
        <v>0</v>
      </c>
      <c r="O55" s="204"/>
      <c r="P55" s="796">
        <f t="shared" si="6"/>
        <v>0</v>
      </c>
    </row>
    <row r="56" spans="2:16" ht="14.25" thickTop="1" thickBot="1" x14ac:dyDescent="0.25">
      <c r="B56" s="231"/>
      <c r="C56" s="232" t="s">
        <v>413</v>
      </c>
      <c r="D56" s="796">
        <f>SUM(D16:D55)</f>
        <v>25512821.450000007</v>
      </c>
      <c r="E56" s="796">
        <f>SUM(E16:E55)</f>
        <v>3801914.53</v>
      </c>
      <c r="F56" s="796"/>
      <c r="G56" s="234"/>
      <c r="H56" s="588"/>
      <c r="I56" s="796">
        <f t="shared" ref="I56:P56" si="7">SUM(I16:I55)</f>
        <v>837891.84705899481</v>
      </c>
      <c r="J56" s="796">
        <f t="shared" si="7"/>
        <v>143423.77008333331</v>
      </c>
      <c r="K56" s="796">
        <f t="shared" si="7"/>
        <v>981315.61714232841</v>
      </c>
      <c r="L56" s="796">
        <f t="shared" si="7"/>
        <v>1549246</v>
      </c>
      <c r="M56" s="796">
        <f t="shared" si="7"/>
        <v>-567930.38285767182</v>
      </c>
      <c r="N56" s="796">
        <f t="shared" si="7"/>
        <v>286847.54016666661</v>
      </c>
      <c r="O56" s="796">
        <f>SUM(O16:O55)</f>
        <v>0</v>
      </c>
      <c r="P56" s="796">
        <f t="shared" si="7"/>
        <v>1124739.3872256614</v>
      </c>
    </row>
    <row r="57" spans="2:16" x14ac:dyDescent="0.2">
      <c r="B57" s="239"/>
      <c r="C57" s="803" t="s">
        <v>778</v>
      </c>
      <c r="D57" s="176"/>
      <c r="E57" s="176"/>
      <c r="F57" s="176"/>
      <c r="H57" s="840"/>
      <c r="I57" s="176"/>
      <c r="J57" s="176"/>
      <c r="K57" s="204">
        <v>0</v>
      </c>
      <c r="L57" s="176"/>
      <c r="M57" s="176"/>
      <c r="N57" s="176"/>
      <c r="O57" s="176"/>
      <c r="P57" s="176"/>
    </row>
    <row r="58" spans="2:16" ht="18" customHeight="1" x14ac:dyDescent="0.2">
      <c r="C58" s="803" t="s">
        <v>413</v>
      </c>
      <c r="D58" s="176"/>
      <c r="E58" s="176"/>
      <c r="F58" s="176"/>
      <c r="K58" s="796">
        <f>+K57+K56</f>
        <v>981315.61714232841</v>
      </c>
      <c r="P58" s="1538"/>
    </row>
    <row r="59" spans="2:16" x14ac:dyDescent="0.2">
      <c r="B59" s="217" t="s">
        <v>15</v>
      </c>
      <c r="C59" s="236"/>
      <c r="D59" s="236"/>
      <c r="E59" s="236"/>
      <c r="F59" s="236"/>
      <c r="G59" s="236"/>
      <c r="H59" s="236"/>
      <c r="I59" s="236"/>
      <c r="J59" s="236"/>
      <c r="K59" s="236"/>
      <c r="L59" s="1542"/>
      <c r="M59" s="236"/>
    </row>
    <row r="60" spans="2:16" ht="7.5" customHeight="1" x14ac:dyDescent="0.2">
      <c r="B60" s="236"/>
      <c r="C60" s="236"/>
      <c r="D60" s="236"/>
      <c r="E60" s="236"/>
      <c r="F60" s="236"/>
      <c r="G60" s="236"/>
      <c r="H60" s="236"/>
      <c r="I60" s="236"/>
      <c r="J60" s="236"/>
      <c r="K60" s="236"/>
      <c r="L60" s="236"/>
      <c r="M60" s="236"/>
    </row>
    <row r="61" spans="2:16" x14ac:dyDescent="0.2">
      <c r="B61" s="284">
        <v>1</v>
      </c>
      <c r="C61" s="1790" t="s">
        <v>607</v>
      </c>
      <c r="D61" s="1790"/>
      <c r="E61" s="1790"/>
      <c r="F61" s="1790"/>
      <c r="G61" s="1790"/>
      <c r="H61" s="1790"/>
      <c r="I61" s="1790"/>
      <c r="J61" s="1790"/>
      <c r="K61" s="1790"/>
      <c r="L61" s="1790"/>
      <c r="M61" s="1790"/>
      <c r="N61" s="1790"/>
      <c r="O61" s="1790"/>
      <c r="P61" s="1790"/>
    </row>
    <row r="62" spans="2:16" x14ac:dyDescent="0.2">
      <c r="B62" s="284">
        <v>2</v>
      </c>
      <c r="C62" s="1790" t="s">
        <v>1934</v>
      </c>
      <c r="D62" s="1790"/>
      <c r="E62" s="1790"/>
      <c r="F62" s="1790"/>
      <c r="G62" s="1790"/>
      <c r="H62" s="1790"/>
      <c r="I62" s="1790"/>
      <c r="J62" s="1790"/>
      <c r="K62" s="1790"/>
      <c r="L62" s="1790"/>
      <c r="M62" s="1790"/>
      <c r="N62" s="1790"/>
      <c r="O62" s="1790"/>
      <c r="P62" s="1790"/>
    </row>
    <row r="63" spans="2:16" ht="12.75" customHeight="1" x14ac:dyDescent="0.2">
      <c r="B63" s="284">
        <v>3</v>
      </c>
      <c r="C63" s="1790" t="s">
        <v>609</v>
      </c>
      <c r="D63" s="1790"/>
      <c r="E63" s="1790"/>
      <c r="F63" s="1790"/>
      <c r="G63" s="1790"/>
      <c r="H63" s="1790"/>
      <c r="I63" s="1790"/>
      <c r="J63" s="1790"/>
      <c r="K63" s="1790"/>
      <c r="L63" s="1790"/>
      <c r="M63" s="1790"/>
      <c r="N63" s="1790"/>
      <c r="O63" s="1790"/>
      <c r="P63" s="1790"/>
    </row>
    <row r="64" spans="2:16" ht="36.75" customHeight="1" x14ac:dyDescent="0.2">
      <c r="B64" s="286">
        <v>4</v>
      </c>
      <c r="C64" s="1790" t="s">
        <v>610</v>
      </c>
      <c r="D64" s="1790"/>
      <c r="E64" s="1790"/>
      <c r="F64" s="1790"/>
      <c r="G64" s="1790"/>
      <c r="H64" s="1790"/>
      <c r="I64" s="1790"/>
      <c r="J64" s="1790"/>
      <c r="K64" s="1790"/>
      <c r="L64" s="1790"/>
      <c r="M64" s="1790"/>
      <c r="N64" s="1790"/>
      <c r="O64" s="1790"/>
      <c r="P64" s="1790"/>
    </row>
    <row r="65" spans="2:16" ht="16.5" customHeight="1" x14ac:dyDescent="0.2">
      <c r="B65" s="286">
        <v>5</v>
      </c>
      <c r="C65" s="1883" t="s">
        <v>611</v>
      </c>
      <c r="D65" s="1883"/>
      <c r="E65" s="1883"/>
      <c r="F65" s="1883"/>
      <c r="G65" s="1883"/>
      <c r="H65" s="1883"/>
      <c r="I65" s="1883"/>
      <c r="J65" s="1883"/>
      <c r="K65" s="1883"/>
      <c r="L65" s="1883"/>
      <c r="M65" s="1883"/>
      <c r="N65" s="1883"/>
      <c r="O65" s="1883"/>
      <c r="P65" s="1883"/>
    </row>
    <row r="66" spans="2:16" ht="14.25" customHeight="1" x14ac:dyDescent="0.2">
      <c r="B66" s="286">
        <v>6</v>
      </c>
      <c r="C66" s="1790" t="s">
        <v>718</v>
      </c>
      <c r="D66" s="1790"/>
      <c r="E66" s="1790"/>
      <c r="F66" s="1790"/>
      <c r="G66" s="1790"/>
      <c r="H66" s="1790"/>
      <c r="I66" s="1790"/>
      <c r="J66" s="1790"/>
      <c r="K66" s="1790"/>
      <c r="L66" s="1790"/>
      <c r="M66" s="1790"/>
      <c r="N66" s="1790"/>
      <c r="O66" s="1790"/>
      <c r="P66" s="1790"/>
    </row>
    <row r="67" spans="2:16" ht="14.25" customHeight="1" x14ac:dyDescent="0.2">
      <c r="B67" s="286"/>
      <c r="C67" s="672"/>
      <c r="D67" s="672"/>
      <c r="E67" s="672"/>
      <c r="F67" s="672"/>
      <c r="G67" s="672"/>
      <c r="H67" s="672"/>
      <c r="I67" s="672"/>
      <c r="J67" s="672"/>
      <c r="K67" s="672"/>
      <c r="L67" s="672"/>
      <c r="M67" s="672"/>
      <c r="N67" s="672"/>
      <c r="O67" s="672"/>
      <c r="P67" s="672"/>
    </row>
    <row r="68" spans="2:16" ht="12.75" customHeight="1" x14ac:dyDescent="0.2">
      <c r="B68" s="217" t="s">
        <v>325</v>
      </c>
      <c r="C68" s="1869" t="s">
        <v>270</v>
      </c>
      <c r="D68" s="1869"/>
      <c r="E68" s="1869"/>
      <c r="F68" s="1869"/>
      <c r="G68" s="1869"/>
      <c r="H68" s="1869"/>
      <c r="I68" s="1869"/>
      <c r="J68" s="1869"/>
      <c r="K68" s="1869"/>
      <c r="L68" s="1869"/>
      <c r="M68" s="1869"/>
      <c r="N68" s="1869"/>
      <c r="O68" s="1869"/>
      <c r="P68" s="1869"/>
    </row>
    <row r="69" spans="2:16" x14ac:dyDescent="0.2">
      <c r="C69" s="1869"/>
      <c r="D69" s="1869"/>
      <c r="E69" s="1869"/>
      <c r="F69" s="1869"/>
      <c r="G69" s="1869"/>
      <c r="H69" s="1869"/>
      <c r="I69" s="1869"/>
      <c r="J69" s="1869"/>
      <c r="K69" s="1869"/>
      <c r="L69" s="1869"/>
      <c r="M69" s="1869"/>
      <c r="N69" s="1869"/>
      <c r="O69" s="1869"/>
      <c r="P69" s="1869"/>
    </row>
    <row r="70" spans="2:16" x14ac:dyDescent="0.2">
      <c r="C70" s="675"/>
      <c r="D70" s="675"/>
      <c r="E70" s="675"/>
      <c r="F70" s="675"/>
      <c r="G70" s="675"/>
      <c r="H70" s="675"/>
      <c r="I70" s="675"/>
      <c r="J70" s="675"/>
      <c r="K70" s="675"/>
      <c r="L70" s="675"/>
      <c r="M70" s="675"/>
      <c r="N70" s="236"/>
      <c r="O70" s="236"/>
    </row>
    <row r="72" spans="2:16" x14ac:dyDescent="0.2">
      <c r="C72" s="236"/>
    </row>
    <row r="73" spans="2:16" x14ac:dyDescent="0.2">
      <c r="C73" s="236"/>
    </row>
  </sheetData>
  <mergeCells count="14">
    <mergeCell ref="C68:P69"/>
    <mergeCell ref="C61:P61"/>
    <mergeCell ref="C62:P62"/>
    <mergeCell ref="C63:P63"/>
    <mergeCell ref="C64:P64"/>
    <mergeCell ref="C65:P65"/>
    <mergeCell ref="C66:P66"/>
    <mergeCell ref="B9:P9"/>
    <mergeCell ref="B10:P10"/>
    <mergeCell ref="B11:P11"/>
    <mergeCell ref="B14:B15"/>
    <mergeCell ref="C14:C15"/>
    <mergeCell ref="L14:L15"/>
    <mergeCell ref="O14:O15"/>
  </mergeCells>
  <dataValidations disablePrompts="1" count="1">
    <dataValidation allowBlank="1" showInputMessage="1" showErrorMessage="1" promptTitle="Date Format" prompt="E.g:  &quot;August 1, 2011&quot;" sqref="M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M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M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M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M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M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M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M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M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M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M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M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M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M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M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M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dataValidations>
  <printOptions horizontalCentered="1"/>
  <pageMargins left="0.74803149606299213" right="0.74803149606299213" top="0.70866141732283472" bottom="0.39370078740157483" header="0.39370078740157483" footer="0.27559055118110237"/>
  <pageSetup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80"/>
  <sheetViews>
    <sheetView showGridLines="0" topLeftCell="A34" zoomScaleNormal="100" workbookViewId="0">
      <selection activeCell="O16" sqref="O16:O53"/>
    </sheetView>
  </sheetViews>
  <sheetFormatPr defaultRowHeight="12.75" x14ac:dyDescent="0.2"/>
  <cols>
    <col min="1" max="1" width="5.7109375" style="216" customWidth="1"/>
    <col min="2" max="2" width="9.140625" style="216"/>
    <col min="3" max="3" width="40.28515625" style="216" bestFit="1" customWidth="1"/>
    <col min="4" max="5" width="11.28515625" style="216" bestFit="1" customWidth="1"/>
    <col min="6" max="6" width="12.28515625" style="216" customWidth="1"/>
    <col min="7" max="7" width="16.28515625" style="216" customWidth="1"/>
    <col min="8" max="8" width="16.140625" style="216" customWidth="1"/>
    <col min="9" max="9" width="12.7109375" style="216" customWidth="1"/>
    <col min="10" max="11" width="14.42578125" style="216" customWidth="1"/>
    <col min="12" max="12" width="13.5703125" style="216" customWidth="1"/>
    <col min="13" max="13" width="9.140625" style="216"/>
    <col min="14" max="14" width="18.5703125" style="216" customWidth="1"/>
    <col min="15" max="15" width="9.7109375" style="216" bestFit="1" customWidth="1"/>
    <col min="16" max="257" width="9.140625" style="216"/>
    <col min="258" max="258" width="2.7109375" style="216" customWidth="1"/>
    <col min="259" max="259" width="9.140625" style="216"/>
    <col min="260" max="260" width="40.28515625" style="216" bestFit="1" customWidth="1"/>
    <col min="261" max="261" width="10" style="216" customWidth="1"/>
    <col min="262" max="262" width="10.140625" style="216" customWidth="1"/>
    <col min="263" max="263" width="12.28515625" style="216" customWidth="1"/>
    <col min="264" max="264" width="16.28515625" style="216" customWidth="1"/>
    <col min="265" max="265" width="12.85546875" style="216" customWidth="1"/>
    <col min="266" max="266" width="12.7109375" style="216" customWidth="1"/>
    <col min="267" max="267" width="14.42578125" style="216" customWidth="1"/>
    <col min="268" max="268" width="13.5703125" style="216" customWidth="1"/>
    <col min="269" max="513" width="9.140625" style="216"/>
    <col min="514" max="514" width="2.7109375" style="216" customWidth="1"/>
    <col min="515" max="515" width="9.140625" style="216"/>
    <col min="516" max="516" width="40.28515625" style="216" bestFit="1" customWidth="1"/>
    <col min="517" max="517" width="10" style="216" customWidth="1"/>
    <col min="518" max="518" width="10.140625" style="216" customWidth="1"/>
    <col min="519" max="519" width="12.28515625" style="216" customWidth="1"/>
    <col min="520" max="520" width="16.28515625" style="216" customWidth="1"/>
    <col min="521" max="521" width="12.85546875" style="216" customWidth="1"/>
    <col min="522" max="522" width="12.7109375" style="216" customWidth="1"/>
    <col min="523" max="523" width="14.42578125" style="216" customWidth="1"/>
    <col min="524" max="524" width="13.5703125" style="216" customWidth="1"/>
    <col min="525" max="769" width="9.140625" style="216"/>
    <col min="770" max="770" width="2.7109375" style="216" customWidth="1"/>
    <col min="771" max="771" width="9.140625" style="216"/>
    <col min="772" max="772" width="40.28515625" style="216" bestFit="1" customWidth="1"/>
    <col min="773" max="773" width="10" style="216" customWidth="1"/>
    <col min="774" max="774" width="10.140625" style="216" customWidth="1"/>
    <col min="775" max="775" width="12.28515625" style="216" customWidth="1"/>
    <col min="776" max="776" width="16.28515625" style="216" customWidth="1"/>
    <col min="777" max="777" width="12.85546875" style="216" customWidth="1"/>
    <col min="778" max="778" width="12.7109375" style="216" customWidth="1"/>
    <col min="779" max="779" width="14.42578125" style="216" customWidth="1"/>
    <col min="780" max="780" width="13.5703125" style="216" customWidth="1"/>
    <col min="781" max="1025" width="9.140625" style="216"/>
    <col min="1026" max="1026" width="2.7109375" style="216" customWidth="1"/>
    <col min="1027" max="1027" width="9.140625" style="216"/>
    <col min="1028" max="1028" width="40.28515625" style="216" bestFit="1" customWidth="1"/>
    <col min="1029" max="1029" width="10" style="216" customWidth="1"/>
    <col min="1030" max="1030" width="10.140625" style="216" customWidth="1"/>
    <col min="1031" max="1031" width="12.28515625" style="216" customWidth="1"/>
    <col min="1032" max="1032" width="16.28515625" style="216" customWidth="1"/>
    <col min="1033" max="1033" width="12.85546875" style="216" customWidth="1"/>
    <col min="1034" max="1034" width="12.7109375" style="216" customWidth="1"/>
    <col min="1035" max="1035" width="14.42578125" style="216" customWidth="1"/>
    <col min="1036" max="1036" width="13.5703125" style="216" customWidth="1"/>
    <col min="1037" max="1281" width="9.140625" style="216"/>
    <col min="1282" max="1282" width="2.7109375" style="216" customWidth="1"/>
    <col min="1283" max="1283" width="9.140625" style="216"/>
    <col min="1284" max="1284" width="40.28515625" style="216" bestFit="1" customWidth="1"/>
    <col min="1285" max="1285" width="10" style="216" customWidth="1"/>
    <col min="1286" max="1286" width="10.140625" style="216" customWidth="1"/>
    <col min="1287" max="1287" width="12.28515625" style="216" customWidth="1"/>
    <col min="1288" max="1288" width="16.28515625" style="216" customWidth="1"/>
    <col min="1289" max="1289" width="12.85546875" style="216" customWidth="1"/>
    <col min="1290" max="1290" width="12.7109375" style="216" customWidth="1"/>
    <col min="1291" max="1291" width="14.42578125" style="216" customWidth="1"/>
    <col min="1292" max="1292" width="13.5703125" style="216" customWidth="1"/>
    <col min="1293" max="1537" width="9.140625" style="216"/>
    <col min="1538" max="1538" width="2.7109375" style="216" customWidth="1"/>
    <col min="1539" max="1539" width="9.140625" style="216"/>
    <col min="1540" max="1540" width="40.28515625" style="216" bestFit="1" customWidth="1"/>
    <col min="1541" max="1541" width="10" style="216" customWidth="1"/>
    <col min="1542" max="1542" width="10.140625" style="216" customWidth="1"/>
    <col min="1543" max="1543" width="12.28515625" style="216" customWidth="1"/>
    <col min="1544" max="1544" width="16.28515625" style="216" customWidth="1"/>
    <col min="1545" max="1545" width="12.85546875" style="216" customWidth="1"/>
    <col min="1546" max="1546" width="12.7109375" style="216" customWidth="1"/>
    <col min="1547" max="1547" width="14.42578125" style="216" customWidth="1"/>
    <col min="1548" max="1548" width="13.5703125" style="216" customWidth="1"/>
    <col min="1549" max="1793" width="9.140625" style="216"/>
    <col min="1794" max="1794" width="2.7109375" style="216" customWidth="1"/>
    <col min="1795" max="1795" width="9.140625" style="216"/>
    <col min="1796" max="1796" width="40.28515625" style="216" bestFit="1" customWidth="1"/>
    <col min="1797" max="1797" width="10" style="216" customWidth="1"/>
    <col min="1798" max="1798" width="10.140625" style="216" customWidth="1"/>
    <col min="1799" max="1799" width="12.28515625" style="216" customWidth="1"/>
    <col min="1800" max="1800" width="16.28515625" style="216" customWidth="1"/>
    <col min="1801" max="1801" width="12.85546875" style="216" customWidth="1"/>
    <col min="1802" max="1802" width="12.7109375" style="216" customWidth="1"/>
    <col min="1803" max="1803" width="14.42578125" style="216" customWidth="1"/>
    <col min="1804" max="1804" width="13.5703125" style="216" customWidth="1"/>
    <col min="1805" max="2049" width="9.140625" style="216"/>
    <col min="2050" max="2050" width="2.7109375" style="216" customWidth="1"/>
    <col min="2051" max="2051" width="9.140625" style="216"/>
    <col min="2052" max="2052" width="40.28515625" style="216" bestFit="1" customWidth="1"/>
    <col min="2053" max="2053" width="10" style="216" customWidth="1"/>
    <col min="2054" max="2054" width="10.140625" style="216" customWidth="1"/>
    <col min="2055" max="2055" width="12.28515625" style="216" customWidth="1"/>
    <col min="2056" max="2056" width="16.28515625" style="216" customWidth="1"/>
    <col min="2057" max="2057" width="12.85546875" style="216" customWidth="1"/>
    <col min="2058" max="2058" width="12.7109375" style="216" customWidth="1"/>
    <col min="2059" max="2059" width="14.42578125" style="216" customWidth="1"/>
    <col min="2060" max="2060" width="13.5703125" style="216" customWidth="1"/>
    <col min="2061" max="2305" width="9.140625" style="216"/>
    <col min="2306" max="2306" width="2.7109375" style="216" customWidth="1"/>
    <col min="2307" max="2307" width="9.140625" style="216"/>
    <col min="2308" max="2308" width="40.28515625" style="216" bestFit="1" customWidth="1"/>
    <col min="2309" max="2309" width="10" style="216" customWidth="1"/>
    <col min="2310" max="2310" width="10.140625" style="216" customWidth="1"/>
    <col min="2311" max="2311" width="12.28515625" style="216" customWidth="1"/>
    <col min="2312" max="2312" width="16.28515625" style="216" customWidth="1"/>
    <col min="2313" max="2313" width="12.85546875" style="216" customWidth="1"/>
    <col min="2314" max="2314" width="12.7109375" style="216" customWidth="1"/>
    <col min="2315" max="2315" width="14.42578125" style="216" customWidth="1"/>
    <col min="2316" max="2316" width="13.5703125" style="216" customWidth="1"/>
    <col min="2317" max="2561" width="9.140625" style="216"/>
    <col min="2562" max="2562" width="2.7109375" style="216" customWidth="1"/>
    <col min="2563" max="2563" width="9.140625" style="216"/>
    <col min="2564" max="2564" width="40.28515625" style="216" bestFit="1" customWidth="1"/>
    <col min="2565" max="2565" width="10" style="216" customWidth="1"/>
    <col min="2566" max="2566" width="10.140625" style="216" customWidth="1"/>
    <col min="2567" max="2567" width="12.28515625" style="216" customWidth="1"/>
    <col min="2568" max="2568" width="16.28515625" style="216" customWidth="1"/>
    <col min="2569" max="2569" width="12.85546875" style="216" customWidth="1"/>
    <col min="2570" max="2570" width="12.7109375" style="216" customWidth="1"/>
    <col min="2571" max="2571" width="14.42578125" style="216" customWidth="1"/>
    <col min="2572" max="2572" width="13.5703125" style="216" customWidth="1"/>
    <col min="2573" max="2817" width="9.140625" style="216"/>
    <col min="2818" max="2818" width="2.7109375" style="216" customWidth="1"/>
    <col min="2819" max="2819" width="9.140625" style="216"/>
    <col min="2820" max="2820" width="40.28515625" style="216" bestFit="1" customWidth="1"/>
    <col min="2821" max="2821" width="10" style="216" customWidth="1"/>
    <col min="2822" max="2822" width="10.140625" style="216" customWidth="1"/>
    <col min="2823" max="2823" width="12.28515625" style="216" customWidth="1"/>
    <col min="2824" max="2824" width="16.28515625" style="216" customWidth="1"/>
    <col min="2825" max="2825" width="12.85546875" style="216" customWidth="1"/>
    <col min="2826" max="2826" width="12.7109375" style="216" customWidth="1"/>
    <col min="2827" max="2827" width="14.42578125" style="216" customWidth="1"/>
    <col min="2828" max="2828" width="13.5703125" style="216" customWidth="1"/>
    <col min="2829" max="3073" width="9.140625" style="216"/>
    <col min="3074" max="3074" width="2.7109375" style="216" customWidth="1"/>
    <col min="3075" max="3075" width="9.140625" style="216"/>
    <col min="3076" max="3076" width="40.28515625" style="216" bestFit="1" customWidth="1"/>
    <col min="3077" max="3077" width="10" style="216" customWidth="1"/>
    <col min="3078" max="3078" width="10.140625" style="216" customWidth="1"/>
    <col min="3079" max="3079" width="12.28515625" style="216" customWidth="1"/>
    <col min="3080" max="3080" width="16.28515625" style="216" customWidth="1"/>
    <col min="3081" max="3081" width="12.85546875" style="216" customWidth="1"/>
    <col min="3082" max="3082" width="12.7109375" style="216" customWidth="1"/>
    <col min="3083" max="3083" width="14.42578125" style="216" customWidth="1"/>
    <col min="3084" max="3084" width="13.5703125" style="216" customWidth="1"/>
    <col min="3085" max="3329" width="9.140625" style="216"/>
    <col min="3330" max="3330" width="2.7109375" style="216" customWidth="1"/>
    <col min="3331" max="3331" width="9.140625" style="216"/>
    <col min="3332" max="3332" width="40.28515625" style="216" bestFit="1" customWidth="1"/>
    <col min="3333" max="3333" width="10" style="216" customWidth="1"/>
    <col min="3334" max="3334" width="10.140625" style="216" customWidth="1"/>
    <col min="3335" max="3335" width="12.28515625" style="216" customWidth="1"/>
    <col min="3336" max="3336" width="16.28515625" style="216" customWidth="1"/>
    <col min="3337" max="3337" width="12.85546875" style="216" customWidth="1"/>
    <col min="3338" max="3338" width="12.7109375" style="216" customWidth="1"/>
    <col min="3339" max="3339" width="14.42578125" style="216" customWidth="1"/>
    <col min="3340" max="3340" width="13.5703125" style="216" customWidth="1"/>
    <col min="3341" max="3585" width="9.140625" style="216"/>
    <col min="3586" max="3586" width="2.7109375" style="216" customWidth="1"/>
    <col min="3587" max="3587" width="9.140625" style="216"/>
    <col min="3588" max="3588" width="40.28515625" style="216" bestFit="1" customWidth="1"/>
    <col min="3589" max="3589" width="10" style="216" customWidth="1"/>
    <col min="3590" max="3590" width="10.140625" style="216" customWidth="1"/>
    <col min="3591" max="3591" width="12.28515625" style="216" customWidth="1"/>
    <col min="3592" max="3592" width="16.28515625" style="216" customWidth="1"/>
    <col min="3593" max="3593" width="12.85546875" style="216" customWidth="1"/>
    <col min="3594" max="3594" width="12.7109375" style="216" customWidth="1"/>
    <col min="3595" max="3595" width="14.42578125" style="216" customWidth="1"/>
    <col min="3596" max="3596" width="13.5703125" style="216" customWidth="1"/>
    <col min="3597" max="3841" width="9.140625" style="216"/>
    <col min="3842" max="3842" width="2.7109375" style="216" customWidth="1"/>
    <col min="3843" max="3843" width="9.140625" style="216"/>
    <col min="3844" max="3844" width="40.28515625" style="216" bestFit="1" customWidth="1"/>
    <col min="3845" max="3845" width="10" style="216" customWidth="1"/>
    <col min="3846" max="3846" width="10.140625" style="216" customWidth="1"/>
    <col min="3847" max="3847" width="12.28515625" style="216" customWidth="1"/>
    <col min="3848" max="3848" width="16.28515625" style="216" customWidth="1"/>
    <col min="3849" max="3849" width="12.85546875" style="216" customWidth="1"/>
    <col min="3850" max="3850" width="12.7109375" style="216" customWidth="1"/>
    <col min="3851" max="3851" width="14.42578125" style="216" customWidth="1"/>
    <col min="3852" max="3852" width="13.5703125" style="216" customWidth="1"/>
    <col min="3853" max="4097" width="9.140625" style="216"/>
    <col min="4098" max="4098" width="2.7109375" style="216" customWidth="1"/>
    <col min="4099" max="4099" width="9.140625" style="216"/>
    <col min="4100" max="4100" width="40.28515625" style="216" bestFit="1" customWidth="1"/>
    <col min="4101" max="4101" width="10" style="216" customWidth="1"/>
    <col min="4102" max="4102" width="10.140625" style="216" customWidth="1"/>
    <col min="4103" max="4103" width="12.28515625" style="216" customWidth="1"/>
    <col min="4104" max="4104" width="16.28515625" style="216" customWidth="1"/>
    <col min="4105" max="4105" width="12.85546875" style="216" customWidth="1"/>
    <col min="4106" max="4106" width="12.7109375" style="216" customWidth="1"/>
    <col min="4107" max="4107" width="14.42578125" style="216" customWidth="1"/>
    <col min="4108" max="4108" width="13.5703125" style="216" customWidth="1"/>
    <col min="4109" max="4353" width="9.140625" style="216"/>
    <col min="4354" max="4354" width="2.7109375" style="216" customWidth="1"/>
    <col min="4355" max="4355" width="9.140625" style="216"/>
    <col min="4356" max="4356" width="40.28515625" style="216" bestFit="1" customWidth="1"/>
    <col min="4357" max="4357" width="10" style="216" customWidth="1"/>
    <col min="4358" max="4358" width="10.140625" style="216" customWidth="1"/>
    <col min="4359" max="4359" width="12.28515625" style="216" customWidth="1"/>
    <col min="4360" max="4360" width="16.28515625" style="216" customWidth="1"/>
    <col min="4361" max="4361" width="12.85546875" style="216" customWidth="1"/>
    <col min="4362" max="4362" width="12.7109375" style="216" customWidth="1"/>
    <col min="4363" max="4363" width="14.42578125" style="216" customWidth="1"/>
    <col min="4364" max="4364" width="13.5703125" style="216" customWidth="1"/>
    <col min="4365" max="4609" width="9.140625" style="216"/>
    <col min="4610" max="4610" width="2.7109375" style="216" customWidth="1"/>
    <col min="4611" max="4611" width="9.140625" style="216"/>
    <col min="4612" max="4612" width="40.28515625" style="216" bestFit="1" customWidth="1"/>
    <col min="4613" max="4613" width="10" style="216" customWidth="1"/>
    <col min="4614" max="4614" width="10.140625" style="216" customWidth="1"/>
    <col min="4615" max="4615" width="12.28515625" style="216" customWidth="1"/>
    <col min="4616" max="4616" width="16.28515625" style="216" customWidth="1"/>
    <col min="4617" max="4617" width="12.85546875" style="216" customWidth="1"/>
    <col min="4618" max="4618" width="12.7109375" style="216" customWidth="1"/>
    <col min="4619" max="4619" width="14.42578125" style="216" customWidth="1"/>
    <col min="4620" max="4620" width="13.5703125" style="216" customWidth="1"/>
    <col min="4621" max="4865" width="9.140625" style="216"/>
    <col min="4866" max="4866" width="2.7109375" style="216" customWidth="1"/>
    <col min="4867" max="4867" width="9.140625" style="216"/>
    <col min="4868" max="4868" width="40.28515625" style="216" bestFit="1" customWidth="1"/>
    <col min="4869" max="4869" width="10" style="216" customWidth="1"/>
    <col min="4870" max="4870" width="10.140625" style="216" customWidth="1"/>
    <col min="4871" max="4871" width="12.28515625" style="216" customWidth="1"/>
    <col min="4872" max="4872" width="16.28515625" style="216" customWidth="1"/>
    <col min="4873" max="4873" width="12.85546875" style="216" customWidth="1"/>
    <col min="4874" max="4874" width="12.7109375" style="216" customWidth="1"/>
    <col min="4875" max="4875" width="14.42578125" style="216" customWidth="1"/>
    <col min="4876" max="4876" width="13.5703125" style="216" customWidth="1"/>
    <col min="4877" max="5121" width="9.140625" style="216"/>
    <col min="5122" max="5122" width="2.7109375" style="216" customWidth="1"/>
    <col min="5123" max="5123" width="9.140625" style="216"/>
    <col min="5124" max="5124" width="40.28515625" style="216" bestFit="1" customWidth="1"/>
    <col min="5125" max="5125" width="10" style="216" customWidth="1"/>
    <col min="5126" max="5126" width="10.140625" style="216" customWidth="1"/>
    <col min="5127" max="5127" width="12.28515625" style="216" customWidth="1"/>
    <col min="5128" max="5128" width="16.28515625" style="216" customWidth="1"/>
    <col min="5129" max="5129" width="12.85546875" style="216" customWidth="1"/>
    <col min="5130" max="5130" width="12.7109375" style="216" customWidth="1"/>
    <col min="5131" max="5131" width="14.42578125" style="216" customWidth="1"/>
    <col min="5132" max="5132" width="13.5703125" style="216" customWidth="1"/>
    <col min="5133" max="5377" width="9.140625" style="216"/>
    <col min="5378" max="5378" width="2.7109375" style="216" customWidth="1"/>
    <col min="5379" max="5379" width="9.140625" style="216"/>
    <col min="5380" max="5380" width="40.28515625" style="216" bestFit="1" customWidth="1"/>
    <col min="5381" max="5381" width="10" style="216" customWidth="1"/>
    <col min="5382" max="5382" width="10.140625" style="216" customWidth="1"/>
    <col min="5383" max="5383" width="12.28515625" style="216" customWidth="1"/>
    <col min="5384" max="5384" width="16.28515625" style="216" customWidth="1"/>
    <col min="5385" max="5385" width="12.85546875" style="216" customWidth="1"/>
    <col min="5386" max="5386" width="12.7109375" style="216" customWidth="1"/>
    <col min="5387" max="5387" width="14.42578125" style="216" customWidth="1"/>
    <col min="5388" max="5388" width="13.5703125" style="216" customWidth="1"/>
    <col min="5389" max="5633" width="9.140625" style="216"/>
    <col min="5634" max="5634" width="2.7109375" style="216" customWidth="1"/>
    <col min="5635" max="5635" width="9.140625" style="216"/>
    <col min="5636" max="5636" width="40.28515625" style="216" bestFit="1" customWidth="1"/>
    <col min="5637" max="5637" width="10" style="216" customWidth="1"/>
    <col min="5638" max="5638" width="10.140625" style="216" customWidth="1"/>
    <col min="5639" max="5639" width="12.28515625" style="216" customWidth="1"/>
    <col min="5640" max="5640" width="16.28515625" style="216" customWidth="1"/>
    <col min="5641" max="5641" width="12.85546875" style="216" customWidth="1"/>
    <col min="5642" max="5642" width="12.7109375" style="216" customWidth="1"/>
    <col min="5643" max="5643" width="14.42578125" style="216" customWidth="1"/>
    <col min="5644" max="5644" width="13.5703125" style="216" customWidth="1"/>
    <col min="5645" max="5889" width="9.140625" style="216"/>
    <col min="5890" max="5890" width="2.7109375" style="216" customWidth="1"/>
    <col min="5891" max="5891" width="9.140625" style="216"/>
    <col min="5892" max="5892" width="40.28515625" style="216" bestFit="1" customWidth="1"/>
    <col min="5893" max="5893" width="10" style="216" customWidth="1"/>
    <col min="5894" max="5894" width="10.140625" style="216" customWidth="1"/>
    <col min="5895" max="5895" width="12.28515625" style="216" customWidth="1"/>
    <col min="5896" max="5896" width="16.28515625" style="216" customWidth="1"/>
    <col min="5897" max="5897" width="12.85546875" style="216" customWidth="1"/>
    <col min="5898" max="5898" width="12.7109375" style="216" customWidth="1"/>
    <col min="5899" max="5899" width="14.42578125" style="216" customWidth="1"/>
    <col min="5900" max="5900" width="13.5703125" style="216" customWidth="1"/>
    <col min="5901" max="6145" width="9.140625" style="216"/>
    <col min="6146" max="6146" width="2.7109375" style="216" customWidth="1"/>
    <col min="6147" max="6147" width="9.140625" style="216"/>
    <col min="6148" max="6148" width="40.28515625" style="216" bestFit="1" customWidth="1"/>
    <col min="6149" max="6149" width="10" style="216" customWidth="1"/>
    <col min="6150" max="6150" width="10.140625" style="216" customWidth="1"/>
    <col min="6151" max="6151" width="12.28515625" style="216" customWidth="1"/>
    <col min="6152" max="6152" width="16.28515625" style="216" customWidth="1"/>
    <col min="6153" max="6153" width="12.85546875" style="216" customWidth="1"/>
    <col min="6154" max="6154" width="12.7109375" style="216" customWidth="1"/>
    <col min="6155" max="6155" width="14.42578125" style="216" customWidth="1"/>
    <col min="6156" max="6156" width="13.5703125" style="216" customWidth="1"/>
    <col min="6157" max="6401" width="9.140625" style="216"/>
    <col min="6402" max="6402" width="2.7109375" style="216" customWidth="1"/>
    <col min="6403" max="6403" width="9.140625" style="216"/>
    <col min="6404" max="6404" width="40.28515625" style="216" bestFit="1" customWidth="1"/>
    <col min="6405" max="6405" width="10" style="216" customWidth="1"/>
    <col min="6406" max="6406" width="10.140625" style="216" customWidth="1"/>
    <col min="6407" max="6407" width="12.28515625" style="216" customWidth="1"/>
    <col min="6408" max="6408" width="16.28515625" style="216" customWidth="1"/>
    <col min="6409" max="6409" width="12.85546875" style="216" customWidth="1"/>
    <col min="6410" max="6410" width="12.7109375" style="216" customWidth="1"/>
    <col min="6411" max="6411" width="14.42578125" style="216" customWidth="1"/>
    <col min="6412" max="6412" width="13.5703125" style="216" customWidth="1"/>
    <col min="6413" max="6657" width="9.140625" style="216"/>
    <col min="6658" max="6658" width="2.7109375" style="216" customWidth="1"/>
    <col min="6659" max="6659" width="9.140625" style="216"/>
    <col min="6660" max="6660" width="40.28515625" style="216" bestFit="1" customWidth="1"/>
    <col min="6661" max="6661" width="10" style="216" customWidth="1"/>
    <col min="6662" max="6662" width="10.140625" style="216" customWidth="1"/>
    <col min="6663" max="6663" width="12.28515625" style="216" customWidth="1"/>
    <col min="6664" max="6664" width="16.28515625" style="216" customWidth="1"/>
    <col min="6665" max="6665" width="12.85546875" style="216" customWidth="1"/>
    <col min="6666" max="6666" width="12.7109375" style="216" customWidth="1"/>
    <col min="6667" max="6667" width="14.42578125" style="216" customWidth="1"/>
    <col min="6668" max="6668" width="13.5703125" style="216" customWidth="1"/>
    <col min="6669" max="6913" width="9.140625" style="216"/>
    <col min="6914" max="6914" width="2.7109375" style="216" customWidth="1"/>
    <col min="6915" max="6915" width="9.140625" style="216"/>
    <col min="6916" max="6916" width="40.28515625" style="216" bestFit="1" customWidth="1"/>
    <col min="6917" max="6917" width="10" style="216" customWidth="1"/>
    <col min="6918" max="6918" width="10.140625" style="216" customWidth="1"/>
    <col min="6919" max="6919" width="12.28515625" style="216" customWidth="1"/>
    <col min="6920" max="6920" width="16.28515625" style="216" customWidth="1"/>
    <col min="6921" max="6921" width="12.85546875" style="216" customWidth="1"/>
    <col min="6922" max="6922" width="12.7109375" style="216" customWidth="1"/>
    <col min="6923" max="6923" width="14.42578125" style="216" customWidth="1"/>
    <col min="6924" max="6924" width="13.5703125" style="216" customWidth="1"/>
    <col min="6925" max="7169" width="9.140625" style="216"/>
    <col min="7170" max="7170" width="2.7109375" style="216" customWidth="1"/>
    <col min="7171" max="7171" width="9.140625" style="216"/>
    <col min="7172" max="7172" width="40.28515625" style="216" bestFit="1" customWidth="1"/>
    <col min="7173" max="7173" width="10" style="216" customWidth="1"/>
    <col min="7174" max="7174" width="10.140625" style="216" customWidth="1"/>
    <col min="7175" max="7175" width="12.28515625" style="216" customWidth="1"/>
    <col min="7176" max="7176" width="16.28515625" style="216" customWidth="1"/>
    <col min="7177" max="7177" width="12.85546875" style="216" customWidth="1"/>
    <col min="7178" max="7178" width="12.7109375" style="216" customWidth="1"/>
    <col min="7179" max="7179" width="14.42578125" style="216" customWidth="1"/>
    <col min="7180" max="7180" width="13.5703125" style="216" customWidth="1"/>
    <col min="7181" max="7425" width="9.140625" style="216"/>
    <col min="7426" max="7426" width="2.7109375" style="216" customWidth="1"/>
    <col min="7427" max="7427" width="9.140625" style="216"/>
    <col min="7428" max="7428" width="40.28515625" style="216" bestFit="1" customWidth="1"/>
    <col min="7429" max="7429" width="10" style="216" customWidth="1"/>
    <col min="7430" max="7430" width="10.140625" style="216" customWidth="1"/>
    <col min="7431" max="7431" width="12.28515625" style="216" customWidth="1"/>
    <col min="7432" max="7432" width="16.28515625" style="216" customWidth="1"/>
    <col min="7433" max="7433" width="12.85546875" style="216" customWidth="1"/>
    <col min="7434" max="7434" width="12.7109375" style="216" customWidth="1"/>
    <col min="7435" max="7435" width="14.42578125" style="216" customWidth="1"/>
    <col min="7436" max="7436" width="13.5703125" style="216" customWidth="1"/>
    <col min="7437" max="7681" width="9.140625" style="216"/>
    <col min="7682" max="7682" width="2.7109375" style="216" customWidth="1"/>
    <col min="7683" max="7683" width="9.140625" style="216"/>
    <col min="7684" max="7684" width="40.28515625" style="216" bestFit="1" customWidth="1"/>
    <col min="7685" max="7685" width="10" style="216" customWidth="1"/>
    <col min="7686" max="7686" width="10.140625" style="216" customWidth="1"/>
    <col min="7687" max="7687" width="12.28515625" style="216" customWidth="1"/>
    <col min="7688" max="7688" width="16.28515625" style="216" customWidth="1"/>
    <col min="7689" max="7689" width="12.85546875" style="216" customWidth="1"/>
    <col min="7690" max="7690" width="12.7109375" style="216" customWidth="1"/>
    <col min="7691" max="7691" width="14.42578125" style="216" customWidth="1"/>
    <col min="7692" max="7692" width="13.5703125" style="216" customWidth="1"/>
    <col min="7693" max="7937" width="9.140625" style="216"/>
    <col min="7938" max="7938" width="2.7109375" style="216" customWidth="1"/>
    <col min="7939" max="7939" width="9.140625" style="216"/>
    <col min="7940" max="7940" width="40.28515625" style="216" bestFit="1" customWidth="1"/>
    <col min="7941" max="7941" width="10" style="216" customWidth="1"/>
    <col min="7942" max="7942" width="10.140625" style="216" customWidth="1"/>
    <col min="7943" max="7943" width="12.28515625" style="216" customWidth="1"/>
    <col min="7944" max="7944" width="16.28515625" style="216" customWidth="1"/>
    <col min="7945" max="7945" width="12.85546875" style="216" customWidth="1"/>
    <col min="7946" max="7946" width="12.7109375" style="216" customWidth="1"/>
    <col min="7947" max="7947" width="14.42578125" style="216" customWidth="1"/>
    <col min="7948" max="7948" width="13.5703125" style="216" customWidth="1"/>
    <col min="7949" max="8193" width="9.140625" style="216"/>
    <col min="8194" max="8194" width="2.7109375" style="216" customWidth="1"/>
    <col min="8195" max="8195" width="9.140625" style="216"/>
    <col min="8196" max="8196" width="40.28515625" style="216" bestFit="1" customWidth="1"/>
    <col min="8197" max="8197" width="10" style="216" customWidth="1"/>
    <col min="8198" max="8198" width="10.140625" style="216" customWidth="1"/>
    <col min="8199" max="8199" width="12.28515625" style="216" customWidth="1"/>
    <col min="8200" max="8200" width="16.28515625" style="216" customWidth="1"/>
    <col min="8201" max="8201" width="12.85546875" style="216" customWidth="1"/>
    <col min="8202" max="8202" width="12.7109375" style="216" customWidth="1"/>
    <col min="8203" max="8203" width="14.42578125" style="216" customWidth="1"/>
    <col min="8204" max="8204" width="13.5703125" style="216" customWidth="1"/>
    <col min="8205" max="8449" width="9.140625" style="216"/>
    <col min="8450" max="8450" width="2.7109375" style="216" customWidth="1"/>
    <col min="8451" max="8451" width="9.140625" style="216"/>
    <col min="8452" max="8452" width="40.28515625" style="216" bestFit="1" customWidth="1"/>
    <col min="8453" max="8453" width="10" style="216" customWidth="1"/>
    <col min="8454" max="8454" width="10.140625" style="216" customWidth="1"/>
    <col min="8455" max="8455" width="12.28515625" style="216" customWidth="1"/>
    <col min="8456" max="8456" width="16.28515625" style="216" customWidth="1"/>
    <col min="8457" max="8457" width="12.85546875" style="216" customWidth="1"/>
    <col min="8458" max="8458" width="12.7109375" style="216" customWidth="1"/>
    <col min="8459" max="8459" width="14.42578125" style="216" customWidth="1"/>
    <col min="8460" max="8460" width="13.5703125" style="216" customWidth="1"/>
    <col min="8461" max="8705" width="9.140625" style="216"/>
    <col min="8706" max="8706" width="2.7109375" style="216" customWidth="1"/>
    <col min="8707" max="8707" width="9.140625" style="216"/>
    <col min="8708" max="8708" width="40.28515625" style="216" bestFit="1" customWidth="1"/>
    <col min="8709" max="8709" width="10" style="216" customWidth="1"/>
    <col min="8710" max="8710" width="10.140625" style="216" customWidth="1"/>
    <col min="8711" max="8711" width="12.28515625" style="216" customWidth="1"/>
    <col min="8712" max="8712" width="16.28515625" style="216" customWidth="1"/>
    <col min="8713" max="8713" width="12.85546875" style="216" customWidth="1"/>
    <col min="8714" max="8714" width="12.7109375" style="216" customWidth="1"/>
    <col min="8715" max="8715" width="14.42578125" style="216" customWidth="1"/>
    <col min="8716" max="8716" width="13.5703125" style="216" customWidth="1"/>
    <col min="8717" max="8961" width="9.140625" style="216"/>
    <col min="8962" max="8962" width="2.7109375" style="216" customWidth="1"/>
    <col min="8963" max="8963" width="9.140625" style="216"/>
    <col min="8964" max="8964" width="40.28515625" style="216" bestFit="1" customWidth="1"/>
    <col min="8965" max="8965" width="10" style="216" customWidth="1"/>
    <col min="8966" max="8966" width="10.140625" style="216" customWidth="1"/>
    <col min="8967" max="8967" width="12.28515625" style="216" customWidth="1"/>
    <col min="8968" max="8968" width="16.28515625" style="216" customWidth="1"/>
    <col min="8969" max="8969" width="12.85546875" style="216" customWidth="1"/>
    <col min="8970" max="8970" width="12.7109375" style="216" customWidth="1"/>
    <col min="8971" max="8971" width="14.42578125" style="216" customWidth="1"/>
    <col min="8972" max="8972" width="13.5703125" style="216" customWidth="1"/>
    <col min="8973" max="9217" width="9.140625" style="216"/>
    <col min="9218" max="9218" width="2.7109375" style="216" customWidth="1"/>
    <col min="9219" max="9219" width="9.140625" style="216"/>
    <col min="9220" max="9220" width="40.28515625" style="216" bestFit="1" customWidth="1"/>
    <col min="9221" max="9221" width="10" style="216" customWidth="1"/>
    <col min="9222" max="9222" width="10.140625" style="216" customWidth="1"/>
    <col min="9223" max="9223" width="12.28515625" style="216" customWidth="1"/>
    <col min="9224" max="9224" width="16.28515625" style="216" customWidth="1"/>
    <col min="9225" max="9225" width="12.85546875" style="216" customWidth="1"/>
    <col min="9226" max="9226" width="12.7109375" style="216" customWidth="1"/>
    <col min="9227" max="9227" width="14.42578125" style="216" customWidth="1"/>
    <col min="9228" max="9228" width="13.5703125" style="216" customWidth="1"/>
    <col min="9229" max="9473" width="9.140625" style="216"/>
    <col min="9474" max="9474" width="2.7109375" style="216" customWidth="1"/>
    <col min="9475" max="9475" width="9.140625" style="216"/>
    <col min="9476" max="9476" width="40.28515625" style="216" bestFit="1" customWidth="1"/>
    <col min="9477" max="9477" width="10" style="216" customWidth="1"/>
    <col min="9478" max="9478" width="10.140625" style="216" customWidth="1"/>
    <col min="9479" max="9479" width="12.28515625" style="216" customWidth="1"/>
    <col min="9480" max="9480" width="16.28515625" style="216" customWidth="1"/>
    <col min="9481" max="9481" width="12.85546875" style="216" customWidth="1"/>
    <col min="9482" max="9482" width="12.7109375" style="216" customWidth="1"/>
    <col min="9483" max="9483" width="14.42578125" style="216" customWidth="1"/>
    <col min="9484" max="9484" width="13.5703125" style="216" customWidth="1"/>
    <col min="9485" max="9729" width="9.140625" style="216"/>
    <col min="9730" max="9730" width="2.7109375" style="216" customWidth="1"/>
    <col min="9731" max="9731" width="9.140625" style="216"/>
    <col min="9732" max="9732" width="40.28515625" style="216" bestFit="1" customWidth="1"/>
    <col min="9733" max="9733" width="10" style="216" customWidth="1"/>
    <col min="9734" max="9734" width="10.140625" style="216" customWidth="1"/>
    <col min="9735" max="9735" width="12.28515625" style="216" customWidth="1"/>
    <col min="9736" max="9736" width="16.28515625" style="216" customWidth="1"/>
    <col min="9737" max="9737" width="12.85546875" style="216" customWidth="1"/>
    <col min="9738" max="9738" width="12.7109375" style="216" customWidth="1"/>
    <col min="9739" max="9739" width="14.42578125" style="216" customWidth="1"/>
    <col min="9740" max="9740" width="13.5703125" style="216" customWidth="1"/>
    <col min="9741" max="9985" width="9.140625" style="216"/>
    <col min="9986" max="9986" width="2.7109375" style="216" customWidth="1"/>
    <col min="9987" max="9987" width="9.140625" style="216"/>
    <col min="9988" max="9988" width="40.28515625" style="216" bestFit="1" customWidth="1"/>
    <col min="9989" max="9989" width="10" style="216" customWidth="1"/>
    <col min="9990" max="9990" width="10.140625" style="216" customWidth="1"/>
    <col min="9991" max="9991" width="12.28515625" style="216" customWidth="1"/>
    <col min="9992" max="9992" width="16.28515625" style="216" customWidth="1"/>
    <col min="9993" max="9993" width="12.85546875" style="216" customWidth="1"/>
    <col min="9994" max="9994" width="12.7109375" style="216" customWidth="1"/>
    <col min="9995" max="9995" width="14.42578125" style="216" customWidth="1"/>
    <col min="9996" max="9996" width="13.5703125" style="216" customWidth="1"/>
    <col min="9997" max="10241" width="9.140625" style="216"/>
    <col min="10242" max="10242" width="2.7109375" style="216" customWidth="1"/>
    <col min="10243" max="10243" width="9.140625" style="216"/>
    <col min="10244" max="10244" width="40.28515625" style="216" bestFit="1" customWidth="1"/>
    <col min="10245" max="10245" width="10" style="216" customWidth="1"/>
    <col min="10246" max="10246" width="10.140625" style="216" customWidth="1"/>
    <col min="10247" max="10247" width="12.28515625" style="216" customWidth="1"/>
    <col min="10248" max="10248" width="16.28515625" style="216" customWidth="1"/>
    <col min="10249" max="10249" width="12.85546875" style="216" customWidth="1"/>
    <col min="10250" max="10250" width="12.7109375" style="216" customWidth="1"/>
    <col min="10251" max="10251" width="14.42578125" style="216" customWidth="1"/>
    <col min="10252" max="10252" width="13.5703125" style="216" customWidth="1"/>
    <col min="10253" max="10497" width="9.140625" style="216"/>
    <col min="10498" max="10498" width="2.7109375" style="216" customWidth="1"/>
    <col min="10499" max="10499" width="9.140625" style="216"/>
    <col min="10500" max="10500" width="40.28515625" style="216" bestFit="1" customWidth="1"/>
    <col min="10501" max="10501" width="10" style="216" customWidth="1"/>
    <col min="10502" max="10502" width="10.140625" style="216" customWidth="1"/>
    <col min="10503" max="10503" width="12.28515625" style="216" customWidth="1"/>
    <col min="10504" max="10504" width="16.28515625" style="216" customWidth="1"/>
    <col min="10505" max="10505" width="12.85546875" style="216" customWidth="1"/>
    <col min="10506" max="10506" width="12.7109375" style="216" customWidth="1"/>
    <col min="10507" max="10507" width="14.42578125" style="216" customWidth="1"/>
    <col min="10508" max="10508" width="13.5703125" style="216" customWidth="1"/>
    <col min="10509" max="10753" width="9.140625" style="216"/>
    <col min="10754" max="10754" width="2.7109375" style="216" customWidth="1"/>
    <col min="10755" max="10755" width="9.140625" style="216"/>
    <col min="10756" max="10756" width="40.28515625" style="216" bestFit="1" customWidth="1"/>
    <col min="10757" max="10757" width="10" style="216" customWidth="1"/>
    <col min="10758" max="10758" width="10.140625" style="216" customWidth="1"/>
    <col min="10759" max="10759" width="12.28515625" style="216" customWidth="1"/>
    <col min="10760" max="10760" width="16.28515625" style="216" customWidth="1"/>
    <col min="10761" max="10761" width="12.85546875" style="216" customWidth="1"/>
    <col min="10762" max="10762" width="12.7109375" style="216" customWidth="1"/>
    <col min="10763" max="10763" width="14.42578125" style="216" customWidth="1"/>
    <col min="10764" max="10764" width="13.5703125" style="216" customWidth="1"/>
    <col min="10765" max="11009" width="9.140625" style="216"/>
    <col min="11010" max="11010" width="2.7109375" style="216" customWidth="1"/>
    <col min="11011" max="11011" width="9.140625" style="216"/>
    <col min="11012" max="11012" width="40.28515625" style="216" bestFit="1" customWidth="1"/>
    <col min="11013" max="11013" width="10" style="216" customWidth="1"/>
    <col min="11014" max="11014" width="10.140625" style="216" customWidth="1"/>
    <col min="11015" max="11015" width="12.28515625" style="216" customWidth="1"/>
    <col min="11016" max="11016" width="16.28515625" style="216" customWidth="1"/>
    <col min="11017" max="11017" width="12.85546875" style="216" customWidth="1"/>
    <col min="11018" max="11018" width="12.7109375" style="216" customWidth="1"/>
    <col min="11019" max="11019" width="14.42578125" style="216" customWidth="1"/>
    <col min="11020" max="11020" width="13.5703125" style="216" customWidth="1"/>
    <col min="11021" max="11265" width="9.140625" style="216"/>
    <col min="11266" max="11266" width="2.7109375" style="216" customWidth="1"/>
    <col min="11267" max="11267" width="9.140625" style="216"/>
    <col min="11268" max="11268" width="40.28515625" style="216" bestFit="1" customWidth="1"/>
    <col min="11269" max="11269" width="10" style="216" customWidth="1"/>
    <col min="11270" max="11270" width="10.140625" style="216" customWidth="1"/>
    <col min="11271" max="11271" width="12.28515625" style="216" customWidth="1"/>
    <col min="11272" max="11272" width="16.28515625" style="216" customWidth="1"/>
    <col min="11273" max="11273" width="12.85546875" style="216" customWidth="1"/>
    <col min="11274" max="11274" width="12.7109375" style="216" customWidth="1"/>
    <col min="11275" max="11275" width="14.42578125" style="216" customWidth="1"/>
    <col min="11276" max="11276" width="13.5703125" style="216" customWidth="1"/>
    <col min="11277" max="11521" width="9.140625" style="216"/>
    <col min="11522" max="11522" width="2.7109375" style="216" customWidth="1"/>
    <col min="11523" max="11523" width="9.140625" style="216"/>
    <col min="11524" max="11524" width="40.28515625" style="216" bestFit="1" customWidth="1"/>
    <col min="11525" max="11525" width="10" style="216" customWidth="1"/>
    <col min="11526" max="11526" width="10.140625" style="216" customWidth="1"/>
    <col min="11527" max="11527" width="12.28515625" style="216" customWidth="1"/>
    <col min="11528" max="11528" width="16.28515625" style="216" customWidth="1"/>
    <col min="11529" max="11529" width="12.85546875" style="216" customWidth="1"/>
    <col min="11530" max="11530" width="12.7109375" style="216" customWidth="1"/>
    <col min="11531" max="11531" width="14.42578125" style="216" customWidth="1"/>
    <col min="11532" max="11532" width="13.5703125" style="216" customWidth="1"/>
    <col min="11533" max="11777" width="9.140625" style="216"/>
    <col min="11778" max="11778" width="2.7109375" style="216" customWidth="1"/>
    <col min="11779" max="11779" width="9.140625" style="216"/>
    <col min="11780" max="11780" width="40.28515625" style="216" bestFit="1" customWidth="1"/>
    <col min="11781" max="11781" width="10" style="216" customWidth="1"/>
    <col min="11782" max="11782" width="10.140625" style="216" customWidth="1"/>
    <col min="11783" max="11783" width="12.28515625" style="216" customWidth="1"/>
    <col min="11784" max="11784" width="16.28515625" style="216" customWidth="1"/>
    <col min="11785" max="11785" width="12.85546875" style="216" customWidth="1"/>
    <col min="11786" max="11786" width="12.7109375" style="216" customWidth="1"/>
    <col min="11787" max="11787" width="14.42578125" style="216" customWidth="1"/>
    <col min="11788" max="11788" width="13.5703125" style="216" customWidth="1"/>
    <col min="11789" max="12033" width="9.140625" style="216"/>
    <col min="12034" max="12034" width="2.7109375" style="216" customWidth="1"/>
    <col min="12035" max="12035" width="9.140625" style="216"/>
    <col min="12036" max="12036" width="40.28515625" style="216" bestFit="1" customWidth="1"/>
    <col min="12037" max="12037" width="10" style="216" customWidth="1"/>
    <col min="12038" max="12038" width="10.140625" style="216" customWidth="1"/>
    <col min="12039" max="12039" width="12.28515625" style="216" customWidth="1"/>
    <col min="12040" max="12040" width="16.28515625" style="216" customWidth="1"/>
    <col min="12041" max="12041" width="12.85546875" style="216" customWidth="1"/>
    <col min="12042" max="12042" width="12.7109375" style="216" customWidth="1"/>
    <col min="12043" max="12043" width="14.42578125" style="216" customWidth="1"/>
    <col min="12044" max="12044" width="13.5703125" style="216" customWidth="1"/>
    <col min="12045" max="12289" width="9.140625" style="216"/>
    <col min="12290" max="12290" width="2.7109375" style="216" customWidth="1"/>
    <col min="12291" max="12291" width="9.140625" style="216"/>
    <col min="12292" max="12292" width="40.28515625" style="216" bestFit="1" customWidth="1"/>
    <col min="12293" max="12293" width="10" style="216" customWidth="1"/>
    <col min="12294" max="12294" width="10.140625" style="216" customWidth="1"/>
    <col min="12295" max="12295" width="12.28515625" style="216" customWidth="1"/>
    <col min="12296" max="12296" width="16.28515625" style="216" customWidth="1"/>
    <col min="12297" max="12297" width="12.85546875" style="216" customWidth="1"/>
    <col min="12298" max="12298" width="12.7109375" style="216" customWidth="1"/>
    <col min="12299" max="12299" width="14.42578125" style="216" customWidth="1"/>
    <col min="12300" max="12300" width="13.5703125" style="216" customWidth="1"/>
    <col min="12301" max="12545" width="9.140625" style="216"/>
    <col min="12546" max="12546" width="2.7109375" style="216" customWidth="1"/>
    <col min="12547" max="12547" width="9.140625" style="216"/>
    <col min="12548" max="12548" width="40.28515625" style="216" bestFit="1" customWidth="1"/>
    <col min="12549" max="12549" width="10" style="216" customWidth="1"/>
    <col min="12550" max="12550" width="10.140625" style="216" customWidth="1"/>
    <col min="12551" max="12551" width="12.28515625" style="216" customWidth="1"/>
    <col min="12552" max="12552" width="16.28515625" style="216" customWidth="1"/>
    <col min="12553" max="12553" width="12.85546875" style="216" customWidth="1"/>
    <col min="12554" max="12554" width="12.7109375" style="216" customWidth="1"/>
    <col min="12555" max="12555" width="14.42578125" style="216" customWidth="1"/>
    <col min="12556" max="12556" width="13.5703125" style="216" customWidth="1"/>
    <col min="12557" max="12801" width="9.140625" style="216"/>
    <col min="12802" max="12802" width="2.7109375" style="216" customWidth="1"/>
    <col min="12803" max="12803" width="9.140625" style="216"/>
    <col min="12804" max="12804" width="40.28515625" style="216" bestFit="1" customWidth="1"/>
    <col min="12805" max="12805" width="10" style="216" customWidth="1"/>
    <col min="12806" max="12806" width="10.140625" style="216" customWidth="1"/>
    <col min="12807" max="12807" width="12.28515625" style="216" customWidth="1"/>
    <col min="12808" max="12808" width="16.28515625" style="216" customWidth="1"/>
    <col min="12809" max="12809" width="12.85546875" style="216" customWidth="1"/>
    <col min="12810" max="12810" width="12.7109375" style="216" customWidth="1"/>
    <col min="12811" max="12811" width="14.42578125" style="216" customWidth="1"/>
    <col min="12812" max="12812" width="13.5703125" style="216" customWidth="1"/>
    <col min="12813" max="13057" width="9.140625" style="216"/>
    <col min="13058" max="13058" width="2.7109375" style="216" customWidth="1"/>
    <col min="13059" max="13059" width="9.140625" style="216"/>
    <col min="13060" max="13060" width="40.28515625" style="216" bestFit="1" customWidth="1"/>
    <col min="13061" max="13061" width="10" style="216" customWidth="1"/>
    <col min="13062" max="13062" width="10.140625" style="216" customWidth="1"/>
    <col min="13063" max="13063" width="12.28515625" style="216" customWidth="1"/>
    <col min="13064" max="13064" width="16.28515625" style="216" customWidth="1"/>
    <col min="13065" max="13065" width="12.85546875" style="216" customWidth="1"/>
    <col min="13066" max="13066" width="12.7109375" style="216" customWidth="1"/>
    <col min="13067" max="13067" width="14.42578125" style="216" customWidth="1"/>
    <col min="13068" max="13068" width="13.5703125" style="216" customWidth="1"/>
    <col min="13069" max="13313" width="9.140625" style="216"/>
    <col min="13314" max="13314" width="2.7109375" style="216" customWidth="1"/>
    <col min="13315" max="13315" width="9.140625" style="216"/>
    <col min="13316" max="13316" width="40.28515625" style="216" bestFit="1" customWidth="1"/>
    <col min="13317" max="13317" width="10" style="216" customWidth="1"/>
    <col min="13318" max="13318" width="10.140625" style="216" customWidth="1"/>
    <col min="13319" max="13319" width="12.28515625" style="216" customWidth="1"/>
    <col min="13320" max="13320" width="16.28515625" style="216" customWidth="1"/>
    <col min="13321" max="13321" width="12.85546875" style="216" customWidth="1"/>
    <col min="13322" max="13322" width="12.7109375" style="216" customWidth="1"/>
    <col min="13323" max="13323" width="14.42578125" style="216" customWidth="1"/>
    <col min="13324" max="13324" width="13.5703125" style="216" customWidth="1"/>
    <col min="13325" max="13569" width="9.140625" style="216"/>
    <col min="13570" max="13570" width="2.7109375" style="216" customWidth="1"/>
    <col min="13571" max="13571" width="9.140625" style="216"/>
    <col min="13572" max="13572" width="40.28515625" style="216" bestFit="1" customWidth="1"/>
    <col min="13573" max="13573" width="10" style="216" customWidth="1"/>
    <col min="13574" max="13574" width="10.140625" style="216" customWidth="1"/>
    <col min="13575" max="13575" width="12.28515625" style="216" customWidth="1"/>
    <col min="13576" max="13576" width="16.28515625" style="216" customWidth="1"/>
    <col min="13577" max="13577" width="12.85546875" style="216" customWidth="1"/>
    <col min="13578" max="13578" width="12.7109375" style="216" customWidth="1"/>
    <col min="13579" max="13579" width="14.42578125" style="216" customWidth="1"/>
    <col min="13580" max="13580" width="13.5703125" style="216" customWidth="1"/>
    <col min="13581" max="13825" width="9.140625" style="216"/>
    <col min="13826" max="13826" width="2.7109375" style="216" customWidth="1"/>
    <col min="13827" max="13827" width="9.140625" style="216"/>
    <col min="13828" max="13828" width="40.28515625" style="216" bestFit="1" customWidth="1"/>
    <col min="13829" max="13829" width="10" style="216" customWidth="1"/>
    <col min="13830" max="13830" width="10.140625" style="216" customWidth="1"/>
    <col min="13831" max="13831" width="12.28515625" style="216" customWidth="1"/>
    <col min="13832" max="13832" width="16.28515625" style="216" customWidth="1"/>
    <col min="13833" max="13833" width="12.85546875" style="216" customWidth="1"/>
    <col min="13834" max="13834" width="12.7109375" style="216" customWidth="1"/>
    <col min="13835" max="13835" width="14.42578125" style="216" customWidth="1"/>
    <col min="13836" max="13836" width="13.5703125" style="216" customWidth="1"/>
    <col min="13837" max="14081" width="9.140625" style="216"/>
    <col min="14082" max="14082" width="2.7109375" style="216" customWidth="1"/>
    <col min="14083" max="14083" width="9.140625" style="216"/>
    <col min="14084" max="14084" width="40.28515625" style="216" bestFit="1" customWidth="1"/>
    <col min="14085" max="14085" width="10" style="216" customWidth="1"/>
    <col min="14086" max="14086" width="10.140625" style="216" customWidth="1"/>
    <col min="14087" max="14087" width="12.28515625" style="216" customWidth="1"/>
    <col min="14088" max="14088" width="16.28515625" style="216" customWidth="1"/>
    <col min="14089" max="14089" width="12.85546875" style="216" customWidth="1"/>
    <col min="14090" max="14090" width="12.7109375" style="216" customWidth="1"/>
    <col min="14091" max="14091" width="14.42578125" style="216" customWidth="1"/>
    <col min="14092" max="14092" width="13.5703125" style="216" customWidth="1"/>
    <col min="14093" max="14337" width="9.140625" style="216"/>
    <col min="14338" max="14338" width="2.7109375" style="216" customWidth="1"/>
    <col min="14339" max="14339" width="9.140625" style="216"/>
    <col min="14340" max="14340" width="40.28515625" style="216" bestFit="1" customWidth="1"/>
    <col min="14341" max="14341" width="10" style="216" customWidth="1"/>
    <col min="14342" max="14342" width="10.140625" style="216" customWidth="1"/>
    <col min="14343" max="14343" width="12.28515625" style="216" customWidth="1"/>
    <col min="14344" max="14344" width="16.28515625" style="216" customWidth="1"/>
    <col min="14345" max="14345" width="12.85546875" style="216" customWidth="1"/>
    <col min="14346" max="14346" width="12.7109375" style="216" customWidth="1"/>
    <col min="14347" max="14347" width="14.42578125" style="216" customWidth="1"/>
    <col min="14348" max="14348" width="13.5703125" style="216" customWidth="1"/>
    <col min="14349" max="14593" width="9.140625" style="216"/>
    <col min="14594" max="14594" width="2.7109375" style="216" customWidth="1"/>
    <col min="14595" max="14595" width="9.140625" style="216"/>
    <col min="14596" max="14596" width="40.28515625" style="216" bestFit="1" customWidth="1"/>
    <col min="14597" max="14597" width="10" style="216" customWidth="1"/>
    <col min="14598" max="14598" width="10.140625" style="216" customWidth="1"/>
    <col min="14599" max="14599" width="12.28515625" style="216" customWidth="1"/>
    <col min="14600" max="14600" width="16.28515625" style="216" customWidth="1"/>
    <col min="14601" max="14601" width="12.85546875" style="216" customWidth="1"/>
    <col min="14602" max="14602" width="12.7109375" style="216" customWidth="1"/>
    <col min="14603" max="14603" width="14.42578125" style="216" customWidth="1"/>
    <col min="14604" max="14604" width="13.5703125" style="216" customWidth="1"/>
    <col min="14605" max="14849" width="9.140625" style="216"/>
    <col min="14850" max="14850" width="2.7109375" style="216" customWidth="1"/>
    <col min="14851" max="14851" width="9.140625" style="216"/>
    <col min="14852" max="14852" width="40.28515625" style="216" bestFit="1" customWidth="1"/>
    <col min="14853" max="14853" width="10" style="216" customWidth="1"/>
    <col min="14854" max="14854" width="10.140625" style="216" customWidth="1"/>
    <col min="14855" max="14855" width="12.28515625" style="216" customWidth="1"/>
    <col min="14856" max="14856" width="16.28515625" style="216" customWidth="1"/>
    <col min="14857" max="14857" width="12.85546875" style="216" customWidth="1"/>
    <col min="14858" max="14858" width="12.7109375" style="216" customWidth="1"/>
    <col min="14859" max="14859" width="14.42578125" style="216" customWidth="1"/>
    <col min="14860" max="14860" width="13.5703125" style="216" customWidth="1"/>
    <col min="14861" max="15105" width="9.140625" style="216"/>
    <col min="15106" max="15106" width="2.7109375" style="216" customWidth="1"/>
    <col min="15107" max="15107" width="9.140625" style="216"/>
    <col min="15108" max="15108" width="40.28515625" style="216" bestFit="1" customWidth="1"/>
    <col min="15109" max="15109" width="10" style="216" customWidth="1"/>
    <col min="15110" max="15110" width="10.140625" style="216" customWidth="1"/>
    <col min="15111" max="15111" width="12.28515625" style="216" customWidth="1"/>
    <col min="15112" max="15112" width="16.28515625" style="216" customWidth="1"/>
    <col min="15113" max="15113" width="12.85546875" style="216" customWidth="1"/>
    <col min="15114" max="15114" width="12.7109375" style="216" customWidth="1"/>
    <col min="15115" max="15115" width="14.42578125" style="216" customWidth="1"/>
    <col min="15116" max="15116" width="13.5703125" style="216" customWidth="1"/>
    <col min="15117" max="15361" width="9.140625" style="216"/>
    <col min="15362" max="15362" width="2.7109375" style="216" customWidth="1"/>
    <col min="15363" max="15363" width="9.140625" style="216"/>
    <col min="15364" max="15364" width="40.28515625" style="216" bestFit="1" customWidth="1"/>
    <col min="15365" max="15365" width="10" style="216" customWidth="1"/>
    <col min="15366" max="15366" width="10.140625" style="216" customWidth="1"/>
    <col min="15367" max="15367" width="12.28515625" style="216" customWidth="1"/>
    <col min="15368" max="15368" width="16.28515625" style="216" customWidth="1"/>
    <col min="15369" max="15369" width="12.85546875" style="216" customWidth="1"/>
    <col min="15370" max="15370" width="12.7109375" style="216" customWidth="1"/>
    <col min="15371" max="15371" width="14.42578125" style="216" customWidth="1"/>
    <col min="15372" max="15372" width="13.5703125" style="216" customWidth="1"/>
    <col min="15373" max="15617" width="9.140625" style="216"/>
    <col min="15618" max="15618" width="2.7109375" style="216" customWidth="1"/>
    <col min="15619" max="15619" width="9.140625" style="216"/>
    <col min="15620" max="15620" width="40.28515625" style="216" bestFit="1" customWidth="1"/>
    <col min="15621" max="15621" width="10" style="216" customWidth="1"/>
    <col min="15622" max="15622" width="10.140625" style="216" customWidth="1"/>
    <col min="15623" max="15623" width="12.28515625" style="216" customWidth="1"/>
    <col min="15624" max="15624" width="16.28515625" style="216" customWidth="1"/>
    <col min="15625" max="15625" width="12.85546875" style="216" customWidth="1"/>
    <col min="15626" max="15626" width="12.7109375" style="216" customWidth="1"/>
    <col min="15627" max="15627" width="14.42578125" style="216" customWidth="1"/>
    <col min="15628" max="15628" width="13.5703125" style="216" customWidth="1"/>
    <col min="15629" max="15873" width="9.140625" style="216"/>
    <col min="15874" max="15874" width="2.7109375" style="216" customWidth="1"/>
    <col min="15875" max="15875" width="9.140625" style="216"/>
    <col min="15876" max="15876" width="40.28515625" style="216" bestFit="1" customWidth="1"/>
    <col min="15877" max="15877" width="10" style="216" customWidth="1"/>
    <col min="15878" max="15878" width="10.140625" style="216" customWidth="1"/>
    <col min="15879" max="15879" width="12.28515625" style="216" customWidth="1"/>
    <col min="15880" max="15880" width="16.28515625" style="216" customWidth="1"/>
    <col min="15881" max="15881" width="12.85546875" style="216" customWidth="1"/>
    <col min="15882" max="15882" width="12.7109375" style="216" customWidth="1"/>
    <col min="15883" max="15883" width="14.42578125" style="216" customWidth="1"/>
    <col min="15884" max="15884" width="13.5703125" style="216" customWidth="1"/>
    <col min="15885" max="16129" width="9.140625" style="216"/>
    <col min="16130" max="16130" width="2.7109375" style="216" customWidth="1"/>
    <col min="16131" max="16131" width="9.140625" style="216"/>
    <col min="16132" max="16132" width="40.28515625" style="216" bestFit="1" customWidth="1"/>
    <col min="16133" max="16133" width="10" style="216" customWidth="1"/>
    <col min="16134" max="16134" width="10.140625" style="216" customWidth="1"/>
    <col min="16135" max="16135" width="12.28515625" style="216" customWidth="1"/>
    <col min="16136" max="16136" width="16.28515625" style="216" customWidth="1"/>
    <col min="16137" max="16137" width="12.85546875" style="216" customWidth="1"/>
    <col min="16138" max="16138" width="12.7109375" style="216" customWidth="1"/>
    <col min="16139" max="16139" width="14.42578125" style="216" customWidth="1"/>
    <col min="16140" max="16140" width="13.5703125" style="216" customWidth="1"/>
    <col min="16141" max="16384" width="9.140625" style="216"/>
  </cols>
  <sheetData>
    <row r="1" spans="2:15" x14ac:dyDescent="0.2">
      <c r="E1" s="218"/>
      <c r="F1" s="219"/>
      <c r="G1" s="219"/>
      <c r="H1" s="219"/>
      <c r="I1" s="219"/>
      <c r="K1" s="217" t="s">
        <v>419</v>
      </c>
      <c r="L1" s="766" t="str">
        <f>EBNUMBER</f>
        <v>EB-2014-0113</v>
      </c>
      <c r="M1" s="219"/>
    </row>
    <row r="2" spans="2:15" x14ac:dyDescent="0.2">
      <c r="E2" s="218"/>
      <c r="F2" s="219"/>
      <c r="G2" s="219"/>
      <c r="H2" s="219"/>
      <c r="I2" s="219"/>
      <c r="K2" s="217" t="s">
        <v>420</v>
      </c>
      <c r="L2" s="767">
        <v>2</v>
      </c>
      <c r="M2" s="219"/>
    </row>
    <row r="3" spans="2:15" x14ac:dyDescent="0.2">
      <c r="E3" s="218"/>
      <c r="F3" s="219"/>
      <c r="G3" s="219"/>
      <c r="H3" s="219"/>
      <c r="I3" s="219"/>
      <c r="K3" s="217" t="s">
        <v>421</v>
      </c>
      <c r="L3" s="767">
        <v>2</v>
      </c>
      <c r="M3" s="219"/>
    </row>
    <row r="4" spans="2:15" x14ac:dyDescent="0.2">
      <c r="E4" s="218"/>
      <c r="F4" s="219"/>
      <c r="G4" s="219"/>
      <c r="H4" s="219"/>
      <c r="I4" s="219"/>
      <c r="K4" s="217" t="s">
        <v>422</v>
      </c>
      <c r="L4" s="767">
        <v>2</v>
      </c>
      <c r="M4" s="219"/>
    </row>
    <row r="5" spans="2:15" x14ac:dyDescent="0.2">
      <c r="E5" s="218"/>
      <c r="F5" s="219"/>
      <c r="G5" s="219"/>
      <c r="H5" s="219"/>
      <c r="I5" s="219"/>
      <c r="K5" s="217" t="s">
        <v>423</v>
      </c>
      <c r="L5" s="768"/>
      <c r="M5" s="219"/>
    </row>
    <row r="6" spans="2:15" x14ac:dyDescent="0.2">
      <c r="E6" s="218"/>
      <c r="F6" s="219"/>
      <c r="G6" s="219"/>
      <c r="H6" s="219"/>
      <c r="I6" s="219"/>
      <c r="K6" s="217"/>
      <c r="L6" s="766"/>
      <c r="M6" s="219"/>
    </row>
    <row r="7" spans="2:15" x14ac:dyDescent="0.2">
      <c r="E7" s="218"/>
      <c r="F7" s="219"/>
      <c r="G7" s="219"/>
      <c r="H7" s="219"/>
      <c r="I7" s="220"/>
      <c r="K7" s="217" t="s">
        <v>424</v>
      </c>
      <c r="L7" s="1467">
        <v>42119</v>
      </c>
      <c r="M7" s="220"/>
    </row>
    <row r="9" spans="2:15" ht="18" x14ac:dyDescent="0.2">
      <c r="B9" s="1785" t="s">
        <v>612</v>
      </c>
      <c r="C9" s="1785"/>
      <c r="D9" s="1785"/>
      <c r="E9" s="1785"/>
      <c r="F9" s="1785"/>
      <c r="G9" s="1785"/>
      <c r="H9" s="1785"/>
      <c r="I9" s="1785"/>
      <c r="J9" s="1785"/>
      <c r="K9" s="1785"/>
      <c r="L9" s="1785"/>
    </row>
    <row r="10" spans="2:15" ht="18" x14ac:dyDescent="0.2">
      <c r="B10" s="1785" t="s">
        <v>3</v>
      </c>
      <c r="C10" s="1785"/>
      <c r="D10" s="1785"/>
      <c r="E10" s="1785"/>
      <c r="F10" s="1785"/>
      <c r="G10" s="1785"/>
      <c r="H10" s="1785"/>
      <c r="I10" s="1785"/>
      <c r="J10" s="1785"/>
      <c r="K10" s="1785"/>
      <c r="L10" s="1785"/>
    </row>
    <row r="11" spans="2:15" ht="24" customHeight="1" x14ac:dyDescent="0.2">
      <c r="B11" s="1877" t="s">
        <v>516</v>
      </c>
      <c r="C11" s="1877"/>
      <c r="D11" s="1877"/>
      <c r="E11" s="1877"/>
      <c r="F11" s="1877"/>
      <c r="G11" s="1877"/>
      <c r="H11" s="1877"/>
      <c r="I11" s="1877"/>
      <c r="J11" s="1877"/>
      <c r="K11" s="1877"/>
      <c r="L11" s="1877"/>
    </row>
    <row r="12" spans="2:15" ht="13.5" customHeight="1" x14ac:dyDescent="0.25">
      <c r="B12" s="671"/>
      <c r="C12" s="671"/>
      <c r="D12" s="676">
        <v>2013</v>
      </c>
      <c r="E12" s="676" t="s">
        <v>162</v>
      </c>
      <c r="F12" s="671"/>
      <c r="G12" s="671"/>
      <c r="H12" s="671"/>
      <c r="I12" s="671"/>
    </row>
    <row r="13" spans="2:15" ht="13.5" thickBot="1" x14ac:dyDescent="0.25"/>
    <row r="14" spans="2:15" ht="52.5" customHeight="1" x14ac:dyDescent="0.2">
      <c r="B14" s="1871" t="s">
        <v>4</v>
      </c>
      <c r="C14" s="1873" t="s">
        <v>346</v>
      </c>
      <c r="D14" s="221" t="s">
        <v>348</v>
      </c>
      <c r="E14" s="221" t="s">
        <v>530</v>
      </c>
      <c r="F14" s="221" t="s">
        <v>520</v>
      </c>
      <c r="G14" s="222" t="s">
        <v>533</v>
      </c>
      <c r="H14" s="1880" t="s">
        <v>786</v>
      </c>
      <c r="I14" s="222" t="s">
        <v>523</v>
      </c>
      <c r="J14" s="222" t="s">
        <v>787</v>
      </c>
      <c r="K14" s="1880" t="s">
        <v>720</v>
      </c>
      <c r="L14" s="222" t="s">
        <v>788</v>
      </c>
    </row>
    <row r="15" spans="2:15" ht="54" customHeight="1" thickBot="1" x14ac:dyDescent="0.25">
      <c r="B15" s="1878"/>
      <c r="C15" s="1879"/>
      <c r="D15" s="294" t="s">
        <v>6</v>
      </c>
      <c r="E15" s="294" t="s">
        <v>9</v>
      </c>
      <c r="F15" s="294" t="s">
        <v>10</v>
      </c>
      <c r="G15" s="295" t="s">
        <v>715</v>
      </c>
      <c r="H15" s="1881"/>
      <c r="I15" s="296" t="s">
        <v>517</v>
      </c>
      <c r="J15" s="296" t="s">
        <v>532</v>
      </c>
      <c r="K15" s="1882"/>
      <c r="L15" s="297" t="s">
        <v>790</v>
      </c>
    </row>
    <row r="16" spans="2:15" ht="25.5" x14ac:dyDescent="0.2">
      <c r="B16" s="782">
        <v>1611</v>
      </c>
      <c r="C16" s="783" t="s">
        <v>515</v>
      </c>
      <c r="D16" s="204">
        <v>15135</v>
      </c>
      <c r="E16" s="293">
        <v>5</v>
      </c>
      <c r="F16" s="589">
        <f t="shared" ref="F16:F55" si="0">IF(E16=0,0,1/E16)</f>
        <v>0.2</v>
      </c>
      <c r="G16" s="796">
        <f>IF(E16=0,+'App.2-CB_MIFRS_DepExp_2011'!P16,+'App.2-CB_MIFRS_DepExp_2011'!P16+((D16*0.5)/E16))</f>
        <v>87071.093111111099</v>
      </c>
      <c r="H16" s="204">
        <v>62933.67</v>
      </c>
      <c r="I16" s="796">
        <f t="shared" ref="I16:I55" si="1">IF(ISERROR(+G16-H16), 0, +G16-H16)</f>
        <v>24137.4231111111</v>
      </c>
      <c r="J16" s="796">
        <f t="shared" ref="J16:J55" si="2">IF(E16=0,0,+(D16)/E16)</f>
        <v>3027</v>
      </c>
      <c r="K16" s="204"/>
      <c r="L16" s="796">
        <f>IF(ISERROR(+J16+'App.2-CB_MIFRS_DepExp_2011'!P16-K16), 0, +J16+'App.2-CB_MIFRS_DepExp_2011'!P16-K16)</f>
        <v>88584.593111111099</v>
      </c>
      <c r="O16" s="1538">
        <f>+H16-L16</f>
        <v>-25650.9231111111</v>
      </c>
    </row>
    <row r="17" spans="2:16" ht="25.5" x14ac:dyDescent="0.2">
      <c r="B17" s="782">
        <v>1612</v>
      </c>
      <c r="C17" s="783" t="s">
        <v>650</v>
      </c>
      <c r="D17" s="204"/>
      <c r="E17" s="282"/>
      <c r="F17" s="226">
        <f t="shared" si="0"/>
        <v>0</v>
      </c>
      <c r="G17" s="796">
        <f>IF(E17=0,+'App.2-CB_MIFRS_DepExp_2011'!P17,+'App.2-CB_MIFRS_DepExp_2011'!P17+((D17*0.5)/E17))</f>
        <v>0</v>
      </c>
      <c r="H17" s="204"/>
      <c r="I17" s="796">
        <f t="shared" si="1"/>
        <v>0</v>
      </c>
      <c r="J17" s="796">
        <f t="shared" si="2"/>
        <v>0</v>
      </c>
      <c r="K17" s="204"/>
      <c r="L17" s="796">
        <f>IF(ISERROR(+J17+'App.2-CB_MIFRS_DepExp_2011'!P17-K17), 0, +J17+'App.2-CB_MIFRS_DepExp_2011'!P17-K17)</f>
        <v>0</v>
      </c>
      <c r="O17" s="1538">
        <f t="shared" ref="O17:O53" si="3">+H17-L17</f>
        <v>0</v>
      </c>
    </row>
    <row r="18" spans="2:16" x14ac:dyDescent="0.2">
      <c r="B18" s="785">
        <v>1805</v>
      </c>
      <c r="C18" s="786" t="s">
        <v>383</v>
      </c>
      <c r="D18" s="204"/>
      <c r="E18" s="282">
        <v>0</v>
      </c>
      <c r="F18" s="226">
        <f t="shared" si="0"/>
        <v>0</v>
      </c>
      <c r="G18" s="796">
        <f>IF(E18=0,+'App.2-CB_MIFRS_DepExp_2011'!P18,+'App.2-CB_MIFRS_DepExp_2011'!P18+((D18*0.5)/E18))</f>
        <v>0</v>
      </c>
      <c r="H18" s="204"/>
      <c r="I18" s="796">
        <f t="shared" si="1"/>
        <v>0</v>
      </c>
      <c r="J18" s="796">
        <f t="shared" si="2"/>
        <v>0</v>
      </c>
      <c r="K18" s="204"/>
      <c r="L18" s="796">
        <f>IF(ISERROR(+J18+'App.2-CB_MIFRS_DepExp_2011'!P18-K18), 0, +J18+'App.2-CB_MIFRS_DepExp_2011'!P18-K18)</f>
        <v>0</v>
      </c>
      <c r="O18" s="1538">
        <f t="shared" si="3"/>
        <v>0</v>
      </c>
    </row>
    <row r="19" spans="2:16" x14ac:dyDescent="0.2">
      <c r="B19" s="782">
        <v>1808</v>
      </c>
      <c r="C19" s="787" t="s">
        <v>384</v>
      </c>
      <c r="D19" s="204"/>
      <c r="E19" s="282"/>
      <c r="F19" s="226">
        <f t="shared" si="0"/>
        <v>0</v>
      </c>
      <c r="G19" s="796">
        <f>IF(E19=0,+'App.2-CB_MIFRS_DepExp_2011'!P19,+'App.2-CB_MIFRS_DepExp_2011'!P19+((D19*0.5)/E19))</f>
        <v>0</v>
      </c>
      <c r="H19" s="204"/>
      <c r="I19" s="796">
        <f t="shared" si="1"/>
        <v>0</v>
      </c>
      <c r="J19" s="796">
        <f t="shared" si="2"/>
        <v>0</v>
      </c>
      <c r="K19" s="204"/>
      <c r="L19" s="796">
        <f>IF(ISERROR(+J19+'App.2-CB_MIFRS_DepExp_2011'!P19-K19), 0, +J19+'App.2-CB_MIFRS_DepExp_2011'!P19-K19)</f>
        <v>0</v>
      </c>
      <c r="O19" s="1538">
        <f t="shared" si="3"/>
        <v>0</v>
      </c>
    </row>
    <row r="20" spans="2:16" x14ac:dyDescent="0.2">
      <c r="B20" s="782">
        <v>1810</v>
      </c>
      <c r="C20" s="787" t="s">
        <v>417</v>
      </c>
      <c r="D20" s="204"/>
      <c r="E20" s="282"/>
      <c r="F20" s="226">
        <f t="shared" si="0"/>
        <v>0</v>
      </c>
      <c r="G20" s="796">
        <f>IF(E20=0,+'App.2-CB_MIFRS_DepExp_2011'!P20,+'App.2-CB_MIFRS_DepExp_2011'!P20+((D20*0.5)/E20))</f>
        <v>0</v>
      </c>
      <c r="H20" s="204"/>
      <c r="I20" s="796">
        <f t="shared" si="1"/>
        <v>0</v>
      </c>
      <c r="J20" s="796">
        <f t="shared" si="2"/>
        <v>0</v>
      </c>
      <c r="K20" s="204"/>
      <c r="L20" s="796">
        <f>IF(ISERROR(+J20+'App.2-CB_MIFRS_DepExp_2011'!P20-K20), 0, +J20+'App.2-CB_MIFRS_DepExp_2011'!P20-K20)</f>
        <v>0</v>
      </c>
      <c r="O20" s="1538">
        <f t="shared" si="3"/>
        <v>0</v>
      </c>
    </row>
    <row r="21" spans="2:16" x14ac:dyDescent="0.2">
      <c r="B21" s="782">
        <v>1815</v>
      </c>
      <c r="C21" s="787" t="s">
        <v>385</v>
      </c>
      <c r="D21" s="204"/>
      <c r="E21" s="282"/>
      <c r="F21" s="226">
        <f t="shared" si="0"/>
        <v>0</v>
      </c>
      <c r="G21" s="796">
        <f>IF(E21=0,+'App.2-CB_MIFRS_DepExp_2011'!P21,+'App.2-CB_MIFRS_DepExp_2011'!P21+((D21*0.5)/E21))</f>
        <v>0</v>
      </c>
      <c r="H21" s="204"/>
      <c r="I21" s="796">
        <f t="shared" si="1"/>
        <v>0</v>
      </c>
      <c r="J21" s="796">
        <f t="shared" si="2"/>
        <v>0</v>
      </c>
      <c r="K21" s="204"/>
      <c r="L21" s="796">
        <f>IF(ISERROR(+J21+'App.2-CB_MIFRS_DepExp_2011'!P21-K21), 0, +J21+'App.2-CB_MIFRS_DepExp_2011'!P21-K21)</f>
        <v>0</v>
      </c>
      <c r="O21" s="1538">
        <f t="shared" si="3"/>
        <v>0</v>
      </c>
    </row>
    <row r="22" spans="2:16" x14ac:dyDescent="0.2">
      <c r="B22" s="782">
        <v>1820</v>
      </c>
      <c r="C22" s="783" t="s">
        <v>306</v>
      </c>
      <c r="D22" s="204">
        <v>0</v>
      </c>
      <c r="E22" s="282">
        <v>45</v>
      </c>
      <c r="F22" s="226">
        <f t="shared" si="0"/>
        <v>2.2222222222222223E-2</v>
      </c>
      <c r="G22" s="796">
        <f>IF(E22=0,+'App.2-CB_MIFRS_DepExp_2011'!P22,+'App.2-CB_MIFRS_DepExp_2011'!P22+((D22*0.5)/E22))</f>
        <v>785.37333333333174</v>
      </c>
      <c r="H22" s="204">
        <v>835.9</v>
      </c>
      <c r="I22" s="796">
        <f>IF(ISERROR(+G22-H22), 0, +G22-H22)</f>
        <v>-50.526666666668234</v>
      </c>
      <c r="J22" s="796">
        <f t="shared" si="2"/>
        <v>0</v>
      </c>
      <c r="K22" s="204"/>
      <c r="L22" s="796">
        <f>IF(ISERROR(+J22+'App.2-CB_MIFRS_DepExp_2011'!P22-K22), 0, +J22+'App.2-CB_MIFRS_DepExp_2011'!P22-K22)</f>
        <v>785.37333333333174</v>
      </c>
      <c r="O22" s="1538">
        <f t="shared" si="3"/>
        <v>50.526666666668234</v>
      </c>
      <c r="P22" s="1538"/>
    </row>
    <row r="23" spans="2:16" x14ac:dyDescent="0.2">
      <c r="B23" s="782">
        <v>1825</v>
      </c>
      <c r="C23" s="787" t="s">
        <v>386</v>
      </c>
      <c r="D23" s="204"/>
      <c r="E23" s="282"/>
      <c r="F23" s="226">
        <f t="shared" si="0"/>
        <v>0</v>
      </c>
      <c r="G23" s="796">
        <f>IF(E23=0,+'App.2-CB_MIFRS_DepExp_2011'!P23,+'App.2-CB_MIFRS_DepExp_2011'!P23+((D23*0.5)/E23))</f>
        <v>0</v>
      </c>
      <c r="H23" s="204"/>
      <c r="I23" s="796">
        <f t="shared" si="1"/>
        <v>0</v>
      </c>
      <c r="J23" s="796">
        <f t="shared" si="2"/>
        <v>0</v>
      </c>
      <c r="K23" s="204"/>
      <c r="L23" s="796">
        <f>IF(ISERROR(+J23+'App.2-CB_MIFRS_DepExp_2011'!P23-K23), 0, +J23+'App.2-CB_MIFRS_DepExp_2011'!P23-K23)</f>
        <v>0</v>
      </c>
      <c r="O23" s="1538">
        <f t="shared" si="3"/>
        <v>0</v>
      </c>
      <c r="P23" s="1538"/>
    </row>
    <row r="24" spans="2:16" x14ac:dyDescent="0.2">
      <c r="B24" s="782">
        <v>1830</v>
      </c>
      <c r="C24" s="787" t="s">
        <v>387</v>
      </c>
      <c r="D24" s="204">
        <v>286820.42</v>
      </c>
      <c r="E24" s="282">
        <v>45</v>
      </c>
      <c r="F24" s="226">
        <f t="shared" si="0"/>
        <v>2.2222222222222223E-2</v>
      </c>
      <c r="G24" s="796">
        <f>IF(E24=0,+'App.2-CB_MIFRS_DepExp_2011'!P24,+'App.2-CB_MIFRS_DepExp_2011'!P24+((D24*0.5)/E24))</f>
        <v>124870.60001709404</v>
      </c>
      <c r="H24" s="204">
        <v>127059.87</v>
      </c>
      <c r="I24" s="796">
        <f t="shared" si="1"/>
        <v>-2189.2699829059566</v>
      </c>
      <c r="J24" s="796">
        <f t="shared" si="2"/>
        <v>6373.7871111111108</v>
      </c>
      <c r="K24" s="204"/>
      <c r="L24" s="796">
        <f>IF(ISERROR(+J24+'App.2-CB_MIFRS_DepExp_2011'!P24-K24), 0, +J24+'App.2-CB_MIFRS_DepExp_2011'!P24-K24)</f>
        <v>128057.4935726496</v>
      </c>
      <c r="O24" s="1538">
        <f t="shared" si="3"/>
        <v>-997.62357264960883</v>
      </c>
      <c r="P24" s="1538"/>
    </row>
    <row r="25" spans="2:16" x14ac:dyDescent="0.2">
      <c r="B25" s="782">
        <v>1835</v>
      </c>
      <c r="C25" s="787" t="s">
        <v>307</v>
      </c>
      <c r="D25" s="204">
        <v>192086.61</v>
      </c>
      <c r="E25" s="282">
        <v>60</v>
      </c>
      <c r="F25" s="226">
        <f t="shared" si="0"/>
        <v>1.6666666666666666E-2</v>
      </c>
      <c r="G25" s="796">
        <f>IF(E25=0,+'App.2-CB_MIFRS_DepExp_2011'!P25,+'App.2-CB_MIFRS_DepExp_2011'!P25+((D25*0.5)/E25))</f>
        <v>73118.443583333326</v>
      </c>
      <c r="H25" s="204">
        <v>72837.740000000005</v>
      </c>
      <c r="I25" s="796">
        <f t="shared" si="1"/>
        <v>280.70358333332115</v>
      </c>
      <c r="J25" s="796">
        <f t="shared" si="2"/>
        <v>3201.4434999999999</v>
      </c>
      <c r="K25" s="204"/>
      <c r="L25" s="796">
        <f>IF(ISERROR(+J25+'App.2-CB_MIFRS_DepExp_2011'!P25-K25), 0, +J25+'App.2-CB_MIFRS_DepExp_2011'!P25-K25)</f>
        <v>74719.165333333323</v>
      </c>
      <c r="O25" s="1538">
        <f t="shared" si="3"/>
        <v>-1881.4253333333181</v>
      </c>
      <c r="P25" s="1538"/>
    </row>
    <row r="26" spans="2:16" x14ac:dyDescent="0.2">
      <c r="B26" s="782">
        <v>1840</v>
      </c>
      <c r="C26" s="787" t="s">
        <v>308</v>
      </c>
      <c r="D26" s="204">
        <v>284762.55</v>
      </c>
      <c r="E26" s="282">
        <v>40</v>
      </c>
      <c r="F26" s="226">
        <f t="shared" si="0"/>
        <v>2.5000000000000001E-2</v>
      </c>
      <c r="G26" s="796">
        <f>IF(E26=0,+'App.2-CB_MIFRS_DepExp_2011'!P26,+'App.2-CB_MIFRS_DepExp_2011'!P26+((D26*0.5)/E26))</f>
        <v>85064.565900862071</v>
      </c>
      <c r="H26" s="204">
        <v>91037.64</v>
      </c>
      <c r="I26" s="796">
        <f t="shared" si="1"/>
        <v>-5973.074099137928</v>
      </c>
      <c r="J26" s="796">
        <f t="shared" si="2"/>
        <v>7119.0637499999993</v>
      </c>
      <c r="K26" s="204"/>
      <c r="L26" s="796">
        <f>IF(ISERROR(+J26+'App.2-CB_MIFRS_DepExp_2011'!P26-K26), 0, +J26+'App.2-CB_MIFRS_DepExp_2011'!P26-K26)</f>
        <v>88624.097775862072</v>
      </c>
      <c r="O26" s="1538">
        <f t="shared" si="3"/>
        <v>2413.5422241379274</v>
      </c>
      <c r="P26" s="1538"/>
    </row>
    <row r="27" spans="2:16" x14ac:dyDescent="0.2">
      <c r="B27" s="782">
        <v>1845</v>
      </c>
      <c r="C27" s="787" t="s">
        <v>309</v>
      </c>
      <c r="D27" s="204">
        <v>314372.51</v>
      </c>
      <c r="E27" s="282">
        <v>40</v>
      </c>
      <c r="F27" s="226">
        <f t="shared" si="0"/>
        <v>2.5000000000000001E-2</v>
      </c>
      <c r="G27" s="796">
        <f>IF(E27=0,+'App.2-CB_MIFRS_DepExp_2011'!P27,+'App.2-CB_MIFRS_DepExp_2011'!P27+((D27*0.5)/E27))</f>
        <v>136471.2427361111</v>
      </c>
      <c r="H27" s="204">
        <v>149699.38</v>
      </c>
      <c r="I27" s="796">
        <f t="shared" si="1"/>
        <v>-13228.137263888901</v>
      </c>
      <c r="J27" s="796">
        <f t="shared" si="2"/>
        <v>7859.3127500000001</v>
      </c>
      <c r="K27" s="204"/>
      <c r="L27" s="796">
        <f>IF(ISERROR(+J27+'App.2-CB_MIFRS_DepExp_2011'!P27-K27), 0, +J27+'App.2-CB_MIFRS_DepExp_2011'!P27-K27)</f>
        <v>140400.89911111112</v>
      </c>
      <c r="O27" s="1538">
        <f t="shared" si="3"/>
        <v>9298.4808888888801</v>
      </c>
      <c r="P27" s="1538"/>
    </row>
    <row r="28" spans="2:16" x14ac:dyDescent="0.2">
      <c r="B28" s="782">
        <v>1850</v>
      </c>
      <c r="C28" s="787" t="s">
        <v>388</v>
      </c>
      <c r="D28" s="204">
        <v>347421.75</v>
      </c>
      <c r="E28" s="282">
        <v>40</v>
      </c>
      <c r="F28" s="226">
        <f t="shared" si="0"/>
        <v>2.5000000000000001E-2</v>
      </c>
      <c r="G28" s="796">
        <f>IF(E28=0,+'App.2-CB_MIFRS_DepExp_2011'!P28,+'App.2-CB_MIFRS_DepExp_2011'!P28+((D28*0.5)/E28))</f>
        <v>154803.87545833335</v>
      </c>
      <c r="H28" s="204">
        <v>157793.89000000001</v>
      </c>
      <c r="I28" s="796">
        <f t="shared" si="1"/>
        <v>-2990.0145416666637</v>
      </c>
      <c r="J28" s="796">
        <f t="shared" si="2"/>
        <v>8685.5437500000007</v>
      </c>
      <c r="K28" s="204"/>
      <c r="L28" s="796">
        <f>IF(ISERROR(+J28+'App.2-CB_MIFRS_DepExp_2011'!P28-K28), 0, +J28+'App.2-CB_MIFRS_DepExp_2011'!P28-K28)</f>
        <v>159146.64733333336</v>
      </c>
      <c r="O28" s="1538">
        <f t="shared" si="3"/>
        <v>-1352.7573333333421</v>
      </c>
      <c r="P28" s="1538"/>
    </row>
    <row r="29" spans="2:16" x14ac:dyDescent="0.2">
      <c r="B29" s="782">
        <v>1855</v>
      </c>
      <c r="C29" s="787" t="s">
        <v>310</v>
      </c>
      <c r="D29" s="204">
        <v>146631.46</v>
      </c>
      <c r="E29" s="282">
        <v>40</v>
      </c>
      <c r="F29" s="226">
        <f t="shared" si="0"/>
        <v>2.5000000000000001E-2</v>
      </c>
      <c r="G29" s="796">
        <f>IF(E29=0,+'App.2-CB_MIFRS_DepExp_2011'!P29,+'App.2-CB_MIFRS_DepExp_2011'!P29+((D29*0.5)/E29))</f>
        <v>90187.084808823507</v>
      </c>
      <c r="H29" s="204">
        <v>91590.819999999992</v>
      </c>
      <c r="I29" s="796">
        <f t="shared" si="1"/>
        <v>-1403.7351911764854</v>
      </c>
      <c r="J29" s="796">
        <f t="shared" si="2"/>
        <v>3665.7864999999997</v>
      </c>
      <c r="K29" s="204"/>
      <c r="L29" s="796">
        <f>IF(ISERROR(+J29+'App.2-CB_MIFRS_DepExp_2011'!P29-K29), 0, +J29+'App.2-CB_MIFRS_DepExp_2011'!P29-K29)</f>
        <v>92019.978058823515</v>
      </c>
      <c r="O29" s="1538">
        <f t="shared" si="3"/>
        <v>-429.15805882352288</v>
      </c>
      <c r="P29" s="1538"/>
    </row>
    <row r="30" spans="2:16" x14ac:dyDescent="0.2">
      <c r="B30" s="782">
        <v>1860</v>
      </c>
      <c r="C30" s="787" t="s">
        <v>389</v>
      </c>
      <c r="D30" s="204">
        <v>456.3</v>
      </c>
      <c r="E30" s="282">
        <v>15</v>
      </c>
      <c r="F30" s="226">
        <f t="shared" si="0"/>
        <v>6.6666666666666666E-2</v>
      </c>
      <c r="G30" s="796">
        <f>IF(E30=0,+'App.2-CB_MIFRS_DepExp_2011'!P30,+'App.2-CB_MIFRS_DepExp_2011'!P30+((D30*0.5)/E30))</f>
        <v>72082.298102564106</v>
      </c>
      <c r="H30" s="204">
        <v>74902.27</v>
      </c>
      <c r="I30" s="796">
        <f t="shared" si="1"/>
        <v>-2819.9718974358984</v>
      </c>
      <c r="J30" s="796">
        <f t="shared" si="2"/>
        <v>30.42</v>
      </c>
      <c r="K30" s="204"/>
      <c r="L30" s="796">
        <f>IF(ISERROR(+J30+'App.2-CB_MIFRS_DepExp_2011'!P30-K30), 0, +J30+'App.2-CB_MIFRS_DepExp_2011'!P30-K30)</f>
        <v>72097.508102564097</v>
      </c>
      <c r="O30" s="1538">
        <f t="shared" si="3"/>
        <v>2804.7618974359066</v>
      </c>
      <c r="P30" s="1538"/>
    </row>
    <row r="31" spans="2:16" x14ac:dyDescent="0.2">
      <c r="B31" s="785">
        <v>1860</v>
      </c>
      <c r="C31" s="786" t="s">
        <v>311</v>
      </c>
      <c r="D31" s="204">
        <v>46474.95</v>
      </c>
      <c r="E31" s="282">
        <v>15</v>
      </c>
      <c r="F31" s="226">
        <f t="shared" si="0"/>
        <v>6.6666666666666666E-2</v>
      </c>
      <c r="G31" s="796">
        <f>IF(E31=0,+'App.2-CB_MIFRS_DepExp_2011'!P31,+'App.2-CB_MIFRS_DepExp_2011'!P31+((D31*0.5)/E31))</f>
        <v>208273.76500000001</v>
      </c>
      <c r="H31" s="204">
        <v>209822.92</v>
      </c>
      <c r="I31" s="796">
        <f t="shared" si="1"/>
        <v>-1549.1549999999988</v>
      </c>
      <c r="J31" s="796">
        <f t="shared" si="2"/>
        <v>3098.33</v>
      </c>
      <c r="K31" s="204"/>
      <c r="L31" s="796">
        <f>IF(ISERROR(+J31+'App.2-CB_MIFRS_DepExp_2011'!P31-K31), 0, +J31+'App.2-CB_MIFRS_DepExp_2011'!P31-K31)</f>
        <v>209822.93</v>
      </c>
      <c r="O31" s="1538">
        <f t="shared" si="3"/>
        <v>-9.9999999802093953E-3</v>
      </c>
      <c r="P31" s="1538"/>
    </row>
    <row r="32" spans="2:16" x14ac:dyDescent="0.2">
      <c r="B32" s="785">
        <v>1905</v>
      </c>
      <c r="C32" s="786" t="s">
        <v>383</v>
      </c>
      <c r="D32" s="204"/>
      <c r="E32" s="282"/>
      <c r="F32" s="226">
        <f t="shared" si="0"/>
        <v>0</v>
      </c>
      <c r="G32" s="796">
        <f>IF(E32=0,+'App.2-CB_MIFRS_DepExp_2011'!P32,+'App.2-CB_MIFRS_DepExp_2011'!P32+((D32*0.5)/E32))</f>
        <v>0</v>
      </c>
      <c r="H32" s="204"/>
      <c r="I32" s="796">
        <f t="shared" si="1"/>
        <v>0</v>
      </c>
      <c r="J32" s="796">
        <f t="shared" si="2"/>
        <v>0</v>
      </c>
      <c r="K32" s="204"/>
      <c r="L32" s="796">
        <f>IF(ISERROR(+J32+'App.2-CB_MIFRS_DepExp_2011'!P32-K32), 0, +J32+'App.2-CB_MIFRS_DepExp_2011'!P32-K32)</f>
        <v>0</v>
      </c>
      <c r="O32" s="1538">
        <f t="shared" si="3"/>
        <v>0</v>
      </c>
    </row>
    <row r="33" spans="2:15" x14ac:dyDescent="0.2">
      <c r="B33" s="782">
        <v>1908</v>
      </c>
      <c r="C33" s="787" t="s">
        <v>391</v>
      </c>
      <c r="D33" s="204">
        <v>17973.34</v>
      </c>
      <c r="E33" s="282">
        <v>60</v>
      </c>
      <c r="F33" s="226">
        <f t="shared" si="0"/>
        <v>1.6666666666666666E-2</v>
      </c>
      <c r="G33" s="796">
        <f>IF(E33=0,+'App.2-CB_MIFRS_DepExp_2011'!P33,+'App.2-CB_MIFRS_DepExp_2011'!P33+((D33*0.5)/E33))</f>
        <v>34943.877104651161</v>
      </c>
      <c r="H33" s="204">
        <v>37826.26</v>
      </c>
      <c r="I33" s="796">
        <f t="shared" si="1"/>
        <v>-2882.382895348841</v>
      </c>
      <c r="J33" s="796">
        <f t="shared" si="2"/>
        <v>299.5556666666667</v>
      </c>
      <c r="K33" s="204"/>
      <c r="L33" s="796">
        <f>IF(ISERROR(+J33+'App.2-CB_MIFRS_DepExp_2011'!P33-K33), 0, +J33+'App.2-CB_MIFRS_DepExp_2011'!P33-K33)</f>
        <v>35093.654937984495</v>
      </c>
      <c r="O33" s="1538">
        <f t="shared" si="3"/>
        <v>2732.6050620155074</v>
      </c>
    </row>
    <row r="34" spans="2:15" x14ac:dyDescent="0.2">
      <c r="B34" s="782">
        <v>1910</v>
      </c>
      <c r="C34" s="787" t="s">
        <v>417</v>
      </c>
      <c r="D34" s="204"/>
      <c r="E34" s="282"/>
      <c r="F34" s="226">
        <f t="shared" si="0"/>
        <v>0</v>
      </c>
      <c r="G34" s="796">
        <f>IF(E34=0,+'App.2-CB_MIFRS_DepExp_2011'!P34,+'App.2-CB_MIFRS_DepExp_2011'!P34+((D34*0.5)/E34))</f>
        <v>0</v>
      </c>
      <c r="H34" s="204"/>
      <c r="I34" s="796">
        <f t="shared" si="1"/>
        <v>0</v>
      </c>
      <c r="J34" s="796">
        <f t="shared" si="2"/>
        <v>0</v>
      </c>
      <c r="K34" s="204"/>
      <c r="L34" s="796">
        <f>IF(ISERROR(+J34+'App.2-CB_MIFRS_DepExp_2011'!P34-K34), 0, +J34+'App.2-CB_MIFRS_DepExp_2011'!P34-K34)</f>
        <v>0</v>
      </c>
      <c r="O34" s="1538">
        <f t="shared" si="3"/>
        <v>0</v>
      </c>
    </row>
    <row r="35" spans="2:15" x14ac:dyDescent="0.2">
      <c r="B35" s="782">
        <v>1915</v>
      </c>
      <c r="C35" s="787" t="s">
        <v>312</v>
      </c>
      <c r="D35" s="204"/>
      <c r="E35" s="282">
        <v>10</v>
      </c>
      <c r="F35" s="226">
        <f t="shared" si="0"/>
        <v>0.1</v>
      </c>
      <c r="G35" s="796">
        <f>IF(E35=0,+'App.2-CB_MIFRS_DepExp_2011'!P35,+'App.2-CB_MIFRS_DepExp_2011'!P35+((D35*0.5)/E35))</f>
        <v>7193.6869999999999</v>
      </c>
      <c r="H35" s="204">
        <v>7193.64</v>
      </c>
      <c r="I35" s="796">
        <f t="shared" si="1"/>
        <v>4.6999999999570719E-2</v>
      </c>
      <c r="J35" s="796">
        <f t="shared" si="2"/>
        <v>0</v>
      </c>
      <c r="K35" s="204"/>
      <c r="L35" s="796">
        <f>IF(ISERROR(+J35+'App.2-CB_MIFRS_DepExp_2011'!P35-K35), 0, +J35+'App.2-CB_MIFRS_DepExp_2011'!P35-K35)</f>
        <v>7193.6869999999999</v>
      </c>
      <c r="O35" s="1538">
        <f t="shared" si="3"/>
        <v>-4.6999999999570719E-2</v>
      </c>
    </row>
    <row r="36" spans="2:15" x14ac:dyDescent="0.2">
      <c r="B36" s="782">
        <v>1915</v>
      </c>
      <c r="C36" s="787" t="s">
        <v>313</v>
      </c>
      <c r="D36" s="204"/>
      <c r="E36" s="282"/>
      <c r="F36" s="226">
        <f t="shared" si="0"/>
        <v>0</v>
      </c>
      <c r="G36" s="796">
        <f>IF(E36=0,+'App.2-CB_MIFRS_DepExp_2011'!P36,+'App.2-CB_MIFRS_DepExp_2011'!P36+((D36*0.5)/E36))</f>
        <v>0</v>
      </c>
      <c r="H36" s="204"/>
      <c r="I36" s="796">
        <f t="shared" si="1"/>
        <v>0</v>
      </c>
      <c r="J36" s="796">
        <f t="shared" si="2"/>
        <v>0</v>
      </c>
      <c r="K36" s="204"/>
      <c r="L36" s="796">
        <f>IF(ISERROR(+J36+'App.2-CB_MIFRS_DepExp_2011'!P36-K36), 0, +J36+'App.2-CB_MIFRS_DepExp_2011'!P36-K36)</f>
        <v>0</v>
      </c>
      <c r="O36" s="1538">
        <f t="shared" si="3"/>
        <v>0</v>
      </c>
    </row>
    <row r="37" spans="2:15" x14ac:dyDescent="0.2">
      <c r="B37" s="782">
        <v>1920</v>
      </c>
      <c r="C37" s="787" t="s">
        <v>314</v>
      </c>
      <c r="D37" s="204"/>
      <c r="E37" s="282"/>
      <c r="F37" s="226">
        <f t="shared" si="0"/>
        <v>0</v>
      </c>
      <c r="G37" s="796">
        <f>IF(E37=0,+'App.2-CB_MIFRS_DepExp_2011'!P37,+'App.2-CB_MIFRS_DepExp_2011'!P37+((D37*0.5)/E37))</f>
        <v>0</v>
      </c>
      <c r="H37" s="204"/>
      <c r="I37" s="796">
        <f t="shared" si="1"/>
        <v>0</v>
      </c>
      <c r="J37" s="796">
        <f t="shared" si="2"/>
        <v>0</v>
      </c>
      <c r="K37" s="204"/>
      <c r="L37" s="796">
        <f>IF(ISERROR(+J37+'App.2-CB_MIFRS_DepExp_2011'!P37-K37), 0, +J37+'App.2-CB_MIFRS_DepExp_2011'!P37-K37)</f>
        <v>0</v>
      </c>
      <c r="O37" s="1538">
        <f t="shared" si="3"/>
        <v>0</v>
      </c>
    </row>
    <row r="38" spans="2:15" x14ac:dyDescent="0.2">
      <c r="B38" s="788">
        <v>1920</v>
      </c>
      <c r="C38" s="783" t="s">
        <v>316</v>
      </c>
      <c r="D38" s="204">
        <v>165763.17000000001</v>
      </c>
      <c r="E38" s="282">
        <v>5</v>
      </c>
      <c r="F38" s="226">
        <f t="shared" si="0"/>
        <v>0.2</v>
      </c>
      <c r="G38" s="796">
        <f>IF(E38=0,+'App.2-CB_MIFRS_DepExp_2011'!P38,+'App.2-CB_MIFRS_DepExp_2011'!P38+((D38*0.5)/E38))</f>
        <v>43935.043000000005</v>
      </c>
      <c r="H38" s="204">
        <v>60511.34</v>
      </c>
      <c r="I38" s="796">
        <f t="shared" si="1"/>
        <v>-16576.296999999991</v>
      </c>
      <c r="J38" s="796">
        <f t="shared" si="2"/>
        <v>33152.634000000005</v>
      </c>
      <c r="K38" s="204"/>
      <c r="L38" s="796">
        <f>IF(ISERROR(+J38+'App.2-CB_MIFRS_DepExp_2011'!P38-K38), 0, +J38+'App.2-CB_MIFRS_DepExp_2011'!P38-K38)</f>
        <v>60511.360000000008</v>
      </c>
      <c r="O38" s="1538">
        <f t="shared" si="3"/>
        <v>-2.0000000011350494E-2</v>
      </c>
    </row>
    <row r="39" spans="2:15" x14ac:dyDescent="0.2">
      <c r="B39" s="788">
        <v>1920</v>
      </c>
      <c r="C39" s="783" t="s">
        <v>315</v>
      </c>
      <c r="D39" s="204"/>
      <c r="E39" s="282"/>
      <c r="F39" s="226">
        <f t="shared" si="0"/>
        <v>0</v>
      </c>
      <c r="G39" s="796">
        <f>IF(E39=0,+'App.2-CB_MIFRS_DepExp_2011'!P39,+'App.2-CB_MIFRS_DepExp_2011'!P39+((D39*0.5)/E39))</f>
        <v>0</v>
      </c>
      <c r="H39" s="204"/>
      <c r="I39" s="796">
        <f t="shared" si="1"/>
        <v>0</v>
      </c>
      <c r="J39" s="796">
        <f t="shared" si="2"/>
        <v>0</v>
      </c>
      <c r="K39" s="204"/>
      <c r="L39" s="796">
        <f>IF(ISERROR(+J39+'App.2-CB_MIFRS_DepExp_2011'!P39-K39), 0, +J39+'App.2-CB_MIFRS_DepExp_2011'!P39-K39)</f>
        <v>0</v>
      </c>
      <c r="O39" s="1538">
        <f t="shared" si="3"/>
        <v>0</v>
      </c>
    </row>
    <row r="40" spans="2:15" x14ac:dyDescent="0.2">
      <c r="B40" s="782">
        <v>1930</v>
      </c>
      <c r="C40" s="787" t="s">
        <v>404</v>
      </c>
      <c r="D40" s="204">
        <v>209083.48</v>
      </c>
      <c r="E40" s="282">
        <v>15</v>
      </c>
      <c r="F40" s="226">
        <f t="shared" si="0"/>
        <v>6.6666666666666666E-2</v>
      </c>
      <c r="G40" s="796">
        <f>IF(E40=0,+'App.2-CB_MIFRS_DepExp_2011'!P40,+'App.2-CB_MIFRS_DepExp_2011'!P40+((D40*0.5)/E40))</f>
        <v>74903.449333333338</v>
      </c>
      <c r="H40" s="204">
        <v>85343</v>
      </c>
      <c r="I40" s="796">
        <f t="shared" si="1"/>
        <v>-10439.550666666662</v>
      </c>
      <c r="J40" s="796">
        <f t="shared" si="2"/>
        <v>13938.898666666668</v>
      </c>
      <c r="K40" s="204"/>
      <c r="L40" s="796">
        <f>IF(ISERROR(+J40+'App.2-CB_MIFRS_DepExp_2011'!P40-K40), 0, +J40+'App.2-CB_MIFRS_DepExp_2011'!P40-K40)</f>
        <v>81872.898666666675</v>
      </c>
      <c r="O40" s="1538">
        <f t="shared" si="3"/>
        <v>3470.1013333333249</v>
      </c>
    </row>
    <row r="41" spans="2:15" x14ac:dyDescent="0.2">
      <c r="B41" s="782">
        <v>1935</v>
      </c>
      <c r="C41" s="787" t="s">
        <v>405</v>
      </c>
      <c r="D41" s="204"/>
      <c r="E41" s="282"/>
      <c r="F41" s="226">
        <f t="shared" si="0"/>
        <v>0</v>
      </c>
      <c r="G41" s="796">
        <f>IF(E41=0,+'App.2-CB_MIFRS_DepExp_2011'!P41,+'App.2-CB_MIFRS_DepExp_2011'!P41+((D41*0.5)/E41))</f>
        <v>0</v>
      </c>
      <c r="H41" s="204"/>
      <c r="I41" s="796">
        <f t="shared" si="1"/>
        <v>0</v>
      </c>
      <c r="J41" s="796">
        <f t="shared" si="2"/>
        <v>0</v>
      </c>
      <c r="K41" s="204"/>
      <c r="L41" s="796">
        <f>IF(ISERROR(+J41+'App.2-CB_MIFRS_DepExp_2011'!P41-K41), 0, +J41+'App.2-CB_MIFRS_DepExp_2011'!P41-K41)</f>
        <v>0</v>
      </c>
      <c r="O41" s="1538">
        <f t="shared" si="3"/>
        <v>0</v>
      </c>
    </row>
    <row r="42" spans="2:15" x14ac:dyDescent="0.2">
      <c r="B42" s="782">
        <v>1940</v>
      </c>
      <c r="C42" s="787" t="s">
        <v>406</v>
      </c>
      <c r="D42" s="204">
        <v>22888.400000000001</v>
      </c>
      <c r="E42" s="282">
        <v>10</v>
      </c>
      <c r="F42" s="226">
        <f t="shared" si="0"/>
        <v>0.1</v>
      </c>
      <c r="G42" s="796">
        <f>IF(E42=0,+'App.2-CB_MIFRS_DepExp_2011'!P42,+'App.2-CB_MIFRS_DepExp_2011'!P42+((D42*0.5)/E42))</f>
        <v>38868.31</v>
      </c>
      <c r="H42" s="204">
        <v>40012.730000000003</v>
      </c>
      <c r="I42" s="796">
        <f t="shared" si="1"/>
        <v>-1144.4200000000055</v>
      </c>
      <c r="J42" s="796">
        <f t="shared" si="2"/>
        <v>2288.84</v>
      </c>
      <c r="K42" s="204"/>
      <c r="L42" s="796">
        <f>IF(ISERROR(+J42+'App.2-CB_MIFRS_DepExp_2011'!P42-K42), 0, +J42+'App.2-CB_MIFRS_DepExp_2011'!P42-K42)</f>
        <v>40012.729999999996</v>
      </c>
      <c r="O42" s="1538">
        <f t="shared" si="3"/>
        <v>0</v>
      </c>
    </row>
    <row r="43" spans="2:15" x14ac:dyDescent="0.2">
      <c r="B43" s="782">
        <v>1945</v>
      </c>
      <c r="C43" s="787" t="s">
        <v>407</v>
      </c>
      <c r="D43" s="204"/>
      <c r="E43" s="282"/>
      <c r="F43" s="226">
        <f t="shared" si="0"/>
        <v>0</v>
      </c>
      <c r="G43" s="796">
        <f>IF(E43=0,+'App.2-CB_MIFRS_DepExp_2011'!P43,+'App.2-CB_MIFRS_DepExp_2011'!P43+((D43*0.5)/E43))</f>
        <v>0</v>
      </c>
      <c r="H43" s="204"/>
      <c r="I43" s="796">
        <f t="shared" si="1"/>
        <v>0</v>
      </c>
      <c r="J43" s="796">
        <f t="shared" si="2"/>
        <v>0</v>
      </c>
      <c r="K43" s="204"/>
      <c r="L43" s="796">
        <f>IF(ISERROR(+J43+'App.2-CB_MIFRS_DepExp_2011'!P43-K43), 0, +J43+'App.2-CB_MIFRS_DepExp_2011'!P43-K43)</f>
        <v>0</v>
      </c>
      <c r="O43" s="1538">
        <f t="shared" si="3"/>
        <v>0</v>
      </c>
    </row>
    <row r="44" spans="2:15" x14ac:dyDescent="0.2">
      <c r="B44" s="782">
        <v>1950</v>
      </c>
      <c r="C44" s="787" t="s">
        <v>317</v>
      </c>
      <c r="D44" s="204"/>
      <c r="E44" s="282"/>
      <c r="F44" s="226">
        <f t="shared" si="0"/>
        <v>0</v>
      </c>
      <c r="G44" s="796">
        <f>IF(E44=0,+'App.2-CB_MIFRS_DepExp_2011'!P44,+'App.2-CB_MIFRS_DepExp_2011'!P44+((D44*0.5)/E44))</f>
        <v>0</v>
      </c>
      <c r="H44" s="204"/>
      <c r="I44" s="796">
        <f t="shared" si="1"/>
        <v>0</v>
      </c>
      <c r="J44" s="796">
        <f t="shared" si="2"/>
        <v>0</v>
      </c>
      <c r="K44" s="204"/>
      <c r="L44" s="796">
        <f>IF(ISERROR(+J44+'App.2-CB_MIFRS_DepExp_2011'!P44-K44), 0, +J44+'App.2-CB_MIFRS_DepExp_2011'!P44-K44)</f>
        <v>0</v>
      </c>
      <c r="O44" s="1538">
        <f t="shared" si="3"/>
        <v>0</v>
      </c>
    </row>
    <row r="45" spans="2:15" x14ac:dyDescent="0.2">
      <c r="B45" s="782">
        <v>1955</v>
      </c>
      <c r="C45" s="787" t="s">
        <v>408</v>
      </c>
      <c r="D45" s="204"/>
      <c r="E45" s="282">
        <v>5</v>
      </c>
      <c r="F45" s="226">
        <f t="shared" si="0"/>
        <v>0.2</v>
      </c>
      <c r="G45" s="796">
        <f>IF(E45=0,+'App.2-CB_MIFRS_DepExp_2011'!P45,+'App.2-CB_MIFRS_DepExp_2011'!P45+((D45*0.5)/E45))</f>
        <v>831.05133333333333</v>
      </c>
      <c r="H45" s="204">
        <v>2493.1</v>
      </c>
      <c r="I45" s="796">
        <f t="shared" si="1"/>
        <v>-1662.0486666666666</v>
      </c>
      <c r="J45" s="796">
        <f t="shared" si="2"/>
        <v>0</v>
      </c>
      <c r="K45" s="204"/>
      <c r="L45" s="796">
        <f>IF(ISERROR(+J45+'App.2-CB_MIFRS_DepExp_2011'!P45-K45), 0, +J45+'App.2-CB_MIFRS_DepExp_2011'!P45-K45)</f>
        <v>831.05133333333333</v>
      </c>
      <c r="O45" s="1538">
        <f t="shared" si="3"/>
        <v>1662.0486666666666</v>
      </c>
    </row>
    <row r="46" spans="2:15" x14ac:dyDescent="0.2">
      <c r="B46" s="789">
        <v>1955</v>
      </c>
      <c r="C46" s="790" t="s">
        <v>318</v>
      </c>
      <c r="D46" s="204"/>
      <c r="E46" s="282"/>
      <c r="F46" s="226">
        <f t="shared" si="0"/>
        <v>0</v>
      </c>
      <c r="G46" s="796">
        <f>IF(E46=0,+'App.2-CB_MIFRS_DepExp_2011'!P46,+'App.2-CB_MIFRS_DepExp_2011'!P46+((D46*0.5)/E46))</f>
        <v>0</v>
      </c>
      <c r="H46" s="204"/>
      <c r="I46" s="796">
        <f t="shared" si="1"/>
        <v>0</v>
      </c>
      <c r="J46" s="796">
        <f t="shared" si="2"/>
        <v>0</v>
      </c>
      <c r="K46" s="204"/>
      <c r="L46" s="796">
        <f>IF(ISERROR(+J46+'App.2-CB_MIFRS_DepExp_2011'!P46-K46), 0, +J46+'App.2-CB_MIFRS_DepExp_2011'!P46-K46)</f>
        <v>0</v>
      </c>
      <c r="O46" s="1538">
        <f t="shared" si="3"/>
        <v>0</v>
      </c>
    </row>
    <row r="47" spans="2:15" x14ac:dyDescent="0.2">
      <c r="B47" s="788">
        <v>1960</v>
      </c>
      <c r="C47" s="783" t="s">
        <v>319</v>
      </c>
      <c r="D47" s="204"/>
      <c r="E47" s="282">
        <v>10</v>
      </c>
      <c r="F47" s="226">
        <f t="shared" si="0"/>
        <v>0.1</v>
      </c>
      <c r="G47" s="796">
        <f>IF(E47=0,+'App.2-CB_MIFRS_DepExp_2011'!P47,+'App.2-CB_MIFRS_DepExp_2011'!P47+((D47*0.5)/E47))</f>
        <v>13333.333333333334</v>
      </c>
      <c r="H47" s="204">
        <v>13333.33</v>
      </c>
      <c r="I47" s="796">
        <f t="shared" si="1"/>
        <v>3.3333333340124227E-3</v>
      </c>
      <c r="J47" s="796">
        <f t="shared" si="2"/>
        <v>0</v>
      </c>
      <c r="K47" s="204"/>
      <c r="L47" s="796">
        <f>IF(ISERROR(+J47+'App.2-CB_MIFRS_DepExp_2011'!P47-K47), 0, +J47+'App.2-CB_MIFRS_DepExp_2011'!P47-K47)</f>
        <v>13333.333333333334</v>
      </c>
      <c r="O47" s="1538">
        <f t="shared" si="3"/>
        <v>-3.3333333340124227E-3</v>
      </c>
    </row>
    <row r="48" spans="2:15" x14ac:dyDescent="0.2">
      <c r="B48" s="789">
        <v>1970</v>
      </c>
      <c r="C48" s="832" t="s">
        <v>773</v>
      </c>
      <c r="D48" s="204"/>
      <c r="E48" s="282"/>
      <c r="F48" s="226">
        <f t="shared" si="0"/>
        <v>0</v>
      </c>
      <c r="G48" s="796">
        <f>IF(E48=0,+'App.2-CB_MIFRS_DepExp_2011'!P48,+'App.2-CB_MIFRS_DepExp_2011'!P48+((D48*0.5)/E48))</f>
        <v>0</v>
      </c>
      <c r="H48" s="204"/>
      <c r="I48" s="796">
        <f t="shared" si="1"/>
        <v>0</v>
      </c>
      <c r="J48" s="796">
        <f t="shared" si="2"/>
        <v>0</v>
      </c>
      <c r="K48" s="204"/>
      <c r="L48" s="796">
        <f>IF(ISERROR(+J48+'App.2-CB_MIFRS_DepExp_2011'!P48-K48), 0, +J48+'App.2-CB_MIFRS_DepExp_2011'!P48-K48)</f>
        <v>0</v>
      </c>
      <c r="O48" s="1538">
        <f t="shared" si="3"/>
        <v>0</v>
      </c>
    </row>
    <row r="49" spans="2:16" x14ac:dyDescent="0.2">
      <c r="B49" s="782">
        <v>1975</v>
      </c>
      <c r="C49" s="787" t="s">
        <v>409</v>
      </c>
      <c r="D49" s="204"/>
      <c r="E49" s="282"/>
      <c r="F49" s="226">
        <f t="shared" si="0"/>
        <v>0</v>
      </c>
      <c r="G49" s="796">
        <f>IF(E49=0,+'App.2-CB_MIFRS_DepExp_2011'!P49,+'App.2-CB_MIFRS_DepExp_2011'!P49+((D49*0.5)/E49))</f>
        <v>0</v>
      </c>
      <c r="H49" s="204"/>
      <c r="I49" s="796">
        <f t="shared" si="1"/>
        <v>0</v>
      </c>
      <c r="J49" s="796">
        <f t="shared" si="2"/>
        <v>0</v>
      </c>
      <c r="K49" s="204"/>
      <c r="L49" s="796">
        <f>IF(ISERROR(+J49+'App.2-CB_MIFRS_DepExp_2011'!P49-K49), 0, +J49+'App.2-CB_MIFRS_DepExp_2011'!P49-K49)</f>
        <v>0</v>
      </c>
      <c r="O49" s="1538">
        <f t="shared" si="3"/>
        <v>0</v>
      </c>
    </row>
    <row r="50" spans="2:16" x14ac:dyDescent="0.2">
      <c r="B50" s="782">
        <v>1980</v>
      </c>
      <c r="C50" s="787" t="s">
        <v>410</v>
      </c>
      <c r="D50" s="204">
        <v>69794.850000000006</v>
      </c>
      <c r="E50" s="282">
        <v>15</v>
      </c>
      <c r="F50" s="226">
        <f t="shared" si="0"/>
        <v>6.6666666666666666E-2</v>
      </c>
      <c r="G50" s="796">
        <f>IF(E50=0,+'App.2-CB_MIFRS_DepExp_2011'!P50,+'App.2-CB_MIFRS_DepExp_2011'!P50+((D50*0.5)/E50))</f>
        <v>33446.949666666667</v>
      </c>
      <c r="H50" s="204">
        <v>36441.47</v>
      </c>
      <c r="I50" s="796">
        <f t="shared" si="1"/>
        <v>-2994.5203333333338</v>
      </c>
      <c r="J50" s="796">
        <f t="shared" si="2"/>
        <v>4652.9900000000007</v>
      </c>
      <c r="K50" s="204"/>
      <c r="L50" s="796">
        <f>IF(ISERROR(+J50+'App.2-CB_MIFRS_DepExp_2011'!P50-K50), 0, +J50+'App.2-CB_MIFRS_DepExp_2011'!P50-K50)</f>
        <v>35773.444666666663</v>
      </c>
      <c r="O50" s="1538">
        <f t="shared" si="3"/>
        <v>668.02533333333849</v>
      </c>
    </row>
    <row r="51" spans="2:16" x14ac:dyDescent="0.2">
      <c r="B51" s="782">
        <v>1985</v>
      </c>
      <c r="C51" s="787" t="s">
        <v>411</v>
      </c>
      <c r="D51" s="204"/>
      <c r="E51" s="282"/>
      <c r="F51" s="226">
        <f t="shared" si="0"/>
        <v>0</v>
      </c>
      <c r="G51" s="796">
        <f>IF(E51=0,+'App.2-CB_MIFRS_DepExp_2011'!P51,+'App.2-CB_MIFRS_DepExp_2011'!P51+((D51*0.5)/E51))</f>
        <v>0</v>
      </c>
      <c r="H51" s="204"/>
      <c r="I51" s="796">
        <f t="shared" si="1"/>
        <v>0</v>
      </c>
      <c r="J51" s="796">
        <f t="shared" si="2"/>
        <v>0</v>
      </c>
      <c r="K51" s="204"/>
      <c r="L51" s="796">
        <f>IF(ISERROR(+J51+'App.2-CB_MIFRS_DepExp_2011'!P51-K51), 0, +J51+'App.2-CB_MIFRS_DepExp_2011'!P51-K51)</f>
        <v>0</v>
      </c>
      <c r="O51" s="1538">
        <f t="shared" si="3"/>
        <v>0</v>
      </c>
    </row>
    <row r="52" spans="2:16" x14ac:dyDescent="0.2">
      <c r="B52" s="782">
        <v>1990</v>
      </c>
      <c r="C52" s="791" t="s">
        <v>774</v>
      </c>
      <c r="D52" s="204"/>
      <c r="E52" s="282"/>
      <c r="F52" s="226">
        <f t="shared" si="0"/>
        <v>0</v>
      </c>
      <c r="G52" s="796">
        <f>IF(E52=0,+'App.2-CB_MIFRS_DepExp_2011'!P52,+'App.2-CB_MIFRS_DepExp_2011'!P52+((D52*0.5)/E52))</f>
        <v>0</v>
      </c>
      <c r="H52" s="204"/>
      <c r="I52" s="796">
        <f t="shared" si="1"/>
        <v>0</v>
      </c>
      <c r="J52" s="796">
        <f t="shared" si="2"/>
        <v>0</v>
      </c>
      <c r="K52" s="204"/>
      <c r="L52" s="796">
        <f>IF(ISERROR(+J52+'App.2-CB_MIFRS_DepExp_2011'!P52-K52), 0, +J52+'App.2-CB_MIFRS_DepExp_2011'!P52-K52)</f>
        <v>0</v>
      </c>
      <c r="O52" s="1538">
        <f t="shared" si="3"/>
        <v>0</v>
      </c>
    </row>
    <row r="53" spans="2:16" x14ac:dyDescent="0.2">
      <c r="B53" s="782">
        <v>1995</v>
      </c>
      <c r="C53" s="787" t="s">
        <v>412</v>
      </c>
      <c r="D53" s="204">
        <v>-596143.78</v>
      </c>
      <c r="E53" s="282">
        <v>40</v>
      </c>
      <c r="F53" s="226">
        <f t="shared" si="0"/>
        <v>2.5000000000000001E-2</v>
      </c>
      <c r="G53" s="796">
        <f>IF(E53=0,+'App.2-CB_MIFRS_DepExp_2011'!P53,+'App.2-CB_MIFRS_DepExp_2011'!P53+((D53*0.5)/E53))</f>
        <v>-114199.65000000001</v>
      </c>
      <c r="H53" s="204">
        <v>-177960.78</v>
      </c>
      <c r="I53" s="796">
        <f t="shared" si="1"/>
        <v>63761.12999999999</v>
      </c>
      <c r="J53" s="796">
        <f>IF(E53=0,0,+(D53)/E53)</f>
        <v>-14903.594500000001</v>
      </c>
      <c r="K53" s="204"/>
      <c r="L53" s="796">
        <f>IF(ISERROR(+J53+'App.2-CB_MIFRS_DepExp_2011'!P53-K53), 0, +J53+'App.2-CB_MIFRS_DepExp_2011'!P53-K53)</f>
        <v>-121651.44725000001</v>
      </c>
      <c r="O53" s="1538">
        <f t="shared" si="3"/>
        <v>-56309.332749999987</v>
      </c>
    </row>
    <row r="54" spans="2:16" x14ac:dyDescent="0.2">
      <c r="B54" s="227"/>
      <c r="C54" s="228"/>
      <c r="D54" s="204"/>
      <c r="E54" s="282"/>
      <c r="F54" s="226">
        <f t="shared" si="0"/>
        <v>0</v>
      </c>
      <c r="G54" s="796">
        <f>IF(E54=0,+'App.2-CB_MIFRS_DepExp_2011'!P54,+'App.2-CB_MIFRS_DepExp_2011'!P54+((D54*0.5)/E54))</f>
        <v>0</v>
      </c>
      <c r="H54" s="204"/>
      <c r="I54" s="796">
        <f t="shared" si="1"/>
        <v>0</v>
      </c>
      <c r="J54" s="796">
        <f t="shared" si="2"/>
        <v>0</v>
      </c>
      <c r="K54" s="204"/>
      <c r="L54" s="796">
        <f>IF(ISERROR(+J54+'App.2-CB_MIFRS_DepExp_2011'!P54-K54), 0, +J54+'App.2-CB_MIFRS_DepExp_2011'!P54-K54)</f>
        <v>0</v>
      </c>
    </row>
    <row r="55" spans="2:16" ht="13.5" thickBot="1" x14ac:dyDescent="0.25">
      <c r="B55" s="287"/>
      <c r="C55" s="288"/>
      <c r="D55" s="204"/>
      <c r="E55" s="289"/>
      <c r="F55" s="590">
        <f t="shared" si="0"/>
        <v>0</v>
      </c>
      <c r="G55" s="796">
        <f>IF(E55=0,+'App.2-CB_MIFRS_DepExp_2011'!P55,+'App.2-CB_MIFRS_DepExp_2011'!P55+((D55*0.5)/E55))</f>
        <v>0</v>
      </c>
      <c r="H55" s="204"/>
      <c r="I55" s="796">
        <f t="shared" si="1"/>
        <v>0</v>
      </c>
      <c r="J55" s="796">
        <f t="shared" si="2"/>
        <v>0</v>
      </c>
      <c r="K55" s="204"/>
      <c r="L55" s="796">
        <f>IF(ISERROR(+J55+'App.2-CB_MIFRS_DepExp_2011'!P55-K55), 0, +J55+'App.2-CB_MIFRS_DepExp_2011'!P55-K55)</f>
        <v>0</v>
      </c>
    </row>
    <row r="56" spans="2:16" ht="14.25" thickTop="1" thickBot="1" x14ac:dyDescent="0.25">
      <c r="B56" s="290"/>
      <c r="C56" s="291" t="s">
        <v>413</v>
      </c>
      <c r="D56" s="796">
        <f>SUM(D16:D55)</f>
        <v>1523521.0099999995</v>
      </c>
      <c r="E56" s="292"/>
      <c r="F56" s="591"/>
      <c r="G56" s="796">
        <f t="shared" ref="G56:L56" si="4">SUM(G16:G55)</f>
        <v>1165984.3928228838</v>
      </c>
      <c r="H56" s="796">
        <f t="shared" si="4"/>
        <v>1143708.1900000002</v>
      </c>
      <c r="I56" s="796">
        <f t="shared" si="4"/>
        <v>22276.202822883744</v>
      </c>
      <c r="J56" s="796">
        <f t="shared" si="4"/>
        <v>82490.011194444451</v>
      </c>
      <c r="K56" s="796">
        <f t="shared" si="4"/>
        <v>0</v>
      </c>
      <c r="L56" s="796">
        <f t="shared" si="4"/>
        <v>1207229.3984201059</v>
      </c>
      <c r="O56" s="1538">
        <f>+H56-L56</f>
        <v>-63521.208420105744</v>
      </c>
    </row>
    <row r="57" spans="2:16" x14ac:dyDescent="0.2">
      <c r="B57" s="239"/>
      <c r="C57" s="803" t="s">
        <v>778</v>
      </c>
      <c r="D57" s="176"/>
      <c r="E57" s="176"/>
      <c r="F57" s="176"/>
      <c r="G57" s="204">
        <v>0</v>
      </c>
      <c r="H57" s="176"/>
      <c r="I57" s="176"/>
      <c r="J57" s="176"/>
      <c r="K57" s="176"/>
      <c r="L57" s="176"/>
    </row>
    <row r="58" spans="2:16" ht="12.75" customHeight="1" x14ac:dyDescent="0.2">
      <c r="C58" s="803" t="s">
        <v>413</v>
      </c>
      <c r="D58" s="176"/>
      <c r="E58" s="176"/>
      <c r="F58" s="176"/>
      <c r="G58" s="796">
        <f>+G56+G57</f>
        <v>1165984.3928228838</v>
      </c>
    </row>
    <row r="59" spans="2:16" x14ac:dyDescent="0.2">
      <c r="B59" s="217" t="s">
        <v>15</v>
      </c>
      <c r="I59" s="236"/>
    </row>
    <row r="60" spans="2:16" ht="27" customHeight="1" x14ac:dyDescent="0.2">
      <c r="B60" s="301">
        <v>1</v>
      </c>
      <c r="C60" s="1857" t="s">
        <v>607</v>
      </c>
      <c r="D60" s="1857"/>
      <c r="E60" s="1857"/>
      <c r="F60" s="1857"/>
      <c r="G60" s="1857"/>
      <c r="H60" s="1857"/>
      <c r="I60" s="1857"/>
      <c r="J60" s="1857"/>
      <c r="K60" s="1857"/>
      <c r="L60" s="1857"/>
    </row>
    <row r="61" spans="2:16" x14ac:dyDescent="0.2">
      <c r="B61" s="301">
        <v>2</v>
      </c>
      <c r="C61" s="1857" t="s">
        <v>1934</v>
      </c>
      <c r="D61" s="1857"/>
      <c r="E61" s="1857"/>
      <c r="F61" s="1857"/>
      <c r="G61" s="1857"/>
      <c r="H61" s="1857"/>
      <c r="I61" s="1857"/>
      <c r="J61" s="1857"/>
      <c r="K61" s="1857"/>
      <c r="L61" s="1857"/>
    </row>
    <row r="62" spans="2:16" ht="27.75" customHeight="1" x14ac:dyDescent="0.2">
      <c r="B62" s="286">
        <v>3</v>
      </c>
      <c r="C62" s="1790" t="s">
        <v>718</v>
      </c>
      <c r="D62" s="1790"/>
      <c r="E62" s="1790"/>
      <c r="F62" s="1790"/>
      <c r="G62" s="1790"/>
      <c r="H62" s="1790"/>
      <c r="I62" s="1790"/>
      <c r="J62" s="1790"/>
      <c r="K62" s="1790"/>
      <c r="L62" s="1790"/>
      <c r="M62" s="673"/>
      <c r="N62" s="673"/>
      <c r="O62" s="673"/>
      <c r="P62" s="673"/>
    </row>
    <row r="63" spans="2:16" ht="13.5" customHeight="1" x14ac:dyDescent="0.2">
      <c r="B63" s="286"/>
      <c r="C63" s="672"/>
      <c r="D63" s="672"/>
      <c r="E63" s="672"/>
      <c r="F63" s="672"/>
      <c r="G63" s="672"/>
      <c r="H63" s="672"/>
      <c r="I63" s="672"/>
      <c r="J63" s="672"/>
      <c r="K63" s="672"/>
      <c r="L63" s="672"/>
      <c r="M63" s="673"/>
      <c r="N63" s="673"/>
      <c r="O63" s="673"/>
      <c r="P63" s="673"/>
    </row>
    <row r="64" spans="2:16" x14ac:dyDescent="0.2">
      <c r="B64" s="217" t="s">
        <v>325</v>
      </c>
      <c r="C64" s="1869" t="s">
        <v>270</v>
      </c>
      <c r="D64" s="1869"/>
      <c r="E64" s="1869"/>
      <c r="F64" s="1869"/>
      <c r="G64" s="1869"/>
      <c r="H64" s="1869"/>
      <c r="I64" s="1869"/>
      <c r="J64" s="1869"/>
      <c r="K64" s="1869"/>
      <c r="L64" s="1869"/>
    </row>
    <row r="65" spans="3:14" ht="12.75" customHeight="1" x14ac:dyDescent="0.2">
      <c r="C65" s="1869"/>
      <c r="D65" s="1869"/>
      <c r="E65" s="1869"/>
      <c r="F65" s="1869"/>
      <c r="G65" s="1869"/>
      <c r="H65" s="1869"/>
      <c r="I65" s="1869"/>
      <c r="J65" s="1869"/>
      <c r="K65" s="1869"/>
      <c r="L65" s="1869"/>
      <c r="M65" s="675"/>
      <c r="N65" s="675"/>
    </row>
    <row r="66" spans="3:14" x14ac:dyDescent="0.2">
      <c r="M66" s="675"/>
      <c r="N66" s="675"/>
    </row>
    <row r="67" spans="3:14" x14ac:dyDescent="0.2">
      <c r="M67" s="675"/>
      <c r="N67" s="675"/>
    </row>
    <row r="73" spans="3:14" x14ac:dyDescent="0.2">
      <c r="M73" s="677"/>
    </row>
    <row r="74" spans="3:14" x14ac:dyDescent="0.2">
      <c r="F74" s="236"/>
      <c r="G74" s="236"/>
      <c r="H74" s="236"/>
      <c r="I74" s="236"/>
      <c r="J74" s="236"/>
      <c r="K74" s="236"/>
      <c r="L74" s="236"/>
      <c r="M74" s="236"/>
      <c r="N74" s="236"/>
    </row>
    <row r="75" spans="3:14" x14ac:dyDescent="0.2">
      <c r="L75" s="236"/>
      <c r="M75" s="236"/>
      <c r="N75" s="236"/>
    </row>
    <row r="76" spans="3:14" x14ac:dyDescent="0.2">
      <c r="L76" s="236"/>
      <c r="M76" s="236"/>
      <c r="N76" s="236"/>
    </row>
    <row r="77" spans="3:14" x14ac:dyDescent="0.2">
      <c r="L77" s="236"/>
      <c r="M77" s="236"/>
      <c r="N77" s="236"/>
    </row>
    <row r="79" spans="3:14" x14ac:dyDescent="0.2">
      <c r="F79" s="236"/>
    </row>
    <row r="80" spans="3:14" x14ac:dyDescent="0.2">
      <c r="F80" s="236"/>
    </row>
  </sheetData>
  <mergeCells count="11">
    <mergeCell ref="C60:L60"/>
    <mergeCell ref="C61:L61"/>
    <mergeCell ref="C62:L62"/>
    <mergeCell ref="C64:L65"/>
    <mergeCell ref="B9:L9"/>
    <mergeCell ref="B10:L10"/>
    <mergeCell ref="B11:L11"/>
    <mergeCell ref="B14:B15"/>
    <mergeCell ref="C14:C15"/>
    <mergeCell ref="H14:H15"/>
    <mergeCell ref="K14:K15"/>
  </mergeCells>
  <dataValidations disablePrompts="1" count="1">
    <dataValidation allowBlank="1" showInputMessage="1" showErrorMessage="1" promptTitle="Date Format" prompt="E.g:  &quot;August 1, 2011&quot;" sqref="I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I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I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I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I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I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I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I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I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I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I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I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I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I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I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I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ataValidations>
  <printOptions horizontalCentered="1"/>
  <pageMargins left="0.74803149606299213" right="0.74803149606299213" top="0.70866141732283472" bottom="0.39370078740157483" header="0.39370078740157483" footer="0.27559055118110237"/>
  <pageSetup scale="5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O80"/>
  <sheetViews>
    <sheetView showGridLines="0" topLeftCell="A35" zoomScaleNormal="100" workbookViewId="0">
      <selection activeCell="M53" activeCellId="1" sqref="M22:M33 M53"/>
    </sheetView>
  </sheetViews>
  <sheetFormatPr defaultRowHeight="12.75" x14ac:dyDescent="0.2"/>
  <cols>
    <col min="1" max="1" width="9.140625" style="216"/>
    <col min="2" max="2" width="40.28515625" style="216" bestFit="1" customWidth="1"/>
    <col min="3" max="3" width="11.28515625" style="216" bestFit="1" customWidth="1"/>
    <col min="4" max="4" width="10.140625" style="216" customWidth="1"/>
    <col min="5" max="5" width="12.28515625" style="216" customWidth="1"/>
    <col min="6" max="6" width="16.28515625" style="216" customWidth="1"/>
    <col min="7" max="7" width="16.140625" style="216" customWidth="1"/>
    <col min="8" max="8" width="12.7109375" style="216" customWidth="1"/>
    <col min="9" max="10" width="14.42578125" style="216" customWidth="1"/>
    <col min="11" max="11" width="13.5703125" style="216" customWidth="1"/>
    <col min="12" max="12" width="9.140625" style="216"/>
    <col min="13" max="13" width="18.5703125" style="216" customWidth="1"/>
    <col min="14" max="256" width="9.140625" style="216"/>
    <col min="257" max="257" width="2.7109375" style="216" customWidth="1"/>
    <col min="258" max="258" width="9.140625" style="216"/>
    <col min="259" max="259" width="40.28515625" style="216" bestFit="1" customWidth="1"/>
    <col min="260" max="260" width="10" style="216" customWidth="1"/>
    <col min="261" max="261" width="10.140625" style="216" customWidth="1"/>
    <col min="262" max="262" width="12.28515625" style="216" customWidth="1"/>
    <col min="263" max="263" width="16.28515625" style="216" customWidth="1"/>
    <col min="264" max="264" width="12.85546875" style="216" customWidth="1"/>
    <col min="265" max="265" width="12.7109375" style="216" customWidth="1"/>
    <col min="266" max="266" width="14.42578125" style="216" customWidth="1"/>
    <col min="267" max="267" width="13.5703125" style="216" customWidth="1"/>
    <col min="268" max="512" width="9.140625" style="216"/>
    <col min="513" max="513" width="2.7109375" style="216" customWidth="1"/>
    <col min="514" max="514" width="9.140625" style="216"/>
    <col min="515" max="515" width="40.28515625" style="216" bestFit="1" customWidth="1"/>
    <col min="516" max="516" width="10" style="216" customWidth="1"/>
    <col min="517" max="517" width="10.140625" style="216" customWidth="1"/>
    <col min="518" max="518" width="12.28515625" style="216" customWidth="1"/>
    <col min="519" max="519" width="16.28515625" style="216" customWidth="1"/>
    <col min="520" max="520" width="12.85546875" style="216" customWidth="1"/>
    <col min="521" max="521" width="12.7109375" style="216" customWidth="1"/>
    <col min="522" max="522" width="14.42578125" style="216" customWidth="1"/>
    <col min="523" max="523" width="13.5703125" style="216" customWidth="1"/>
    <col min="524" max="768" width="9.140625" style="216"/>
    <col min="769" max="769" width="2.7109375" style="216" customWidth="1"/>
    <col min="770" max="770" width="9.140625" style="216"/>
    <col min="771" max="771" width="40.28515625" style="216" bestFit="1" customWidth="1"/>
    <col min="772" max="772" width="10" style="216" customWidth="1"/>
    <col min="773" max="773" width="10.140625" style="216" customWidth="1"/>
    <col min="774" max="774" width="12.28515625" style="216" customWidth="1"/>
    <col min="775" max="775" width="16.28515625" style="216" customWidth="1"/>
    <col min="776" max="776" width="12.85546875" style="216" customWidth="1"/>
    <col min="777" max="777" width="12.7109375" style="216" customWidth="1"/>
    <col min="778" max="778" width="14.42578125" style="216" customWidth="1"/>
    <col min="779" max="779" width="13.5703125" style="216" customWidth="1"/>
    <col min="780" max="1024" width="9.140625" style="216"/>
    <col min="1025" max="1025" width="2.7109375" style="216" customWidth="1"/>
    <col min="1026" max="1026" width="9.140625" style="216"/>
    <col min="1027" max="1027" width="40.28515625" style="216" bestFit="1" customWidth="1"/>
    <col min="1028" max="1028" width="10" style="216" customWidth="1"/>
    <col min="1029" max="1029" width="10.140625" style="216" customWidth="1"/>
    <col min="1030" max="1030" width="12.28515625" style="216" customWidth="1"/>
    <col min="1031" max="1031" width="16.28515625" style="216" customWidth="1"/>
    <col min="1032" max="1032" width="12.85546875" style="216" customWidth="1"/>
    <col min="1033" max="1033" width="12.7109375" style="216" customWidth="1"/>
    <col min="1034" max="1034" width="14.42578125" style="216" customWidth="1"/>
    <col min="1035" max="1035" width="13.5703125" style="216" customWidth="1"/>
    <col min="1036" max="1280" width="9.140625" style="216"/>
    <col min="1281" max="1281" width="2.7109375" style="216" customWidth="1"/>
    <col min="1282" max="1282" width="9.140625" style="216"/>
    <col min="1283" max="1283" width="40.28515625" style="216" bestFit="1" customWidth="1"/>
    <col min="1284" max="1284" width="10" style="216" customWidth="1"/>
    <col min="1285" max="1285" width="10.140625" style="216" customWidth="1"/>
    <col min="1286" max="1286" width="12.28515625" style="216" customWidth="1"/>
    <col min="1287" max="1287" width="16.28515625" style="216" customWidth="1"/>
    <col min="1288" max="1288" width="12.85546875" style="216" customWidth="1"/>
    <col min="1289" max="1289" width="12.7109375" style="216" customWidth="1"/>
    <col min="1290" max="1290" width="14.42578125" style="216" customWidth="1"/>
    <col min="1291" max="1291" width="13.5703125" style="216" customWidth="1"/>
    <col min="1292" max="1536" width="9.140625" style="216"/>
    <col min="1537" max="1537" width="2.7109375" style="216" customWidth="1"/>
    <col min="1538" max="1538" width="9.140625" style="216"/>
    <col min="1539" max="1539" width="40.28515625" style="216" bestFit="1" customWidth="1"/>
    <col min="1540" max="1540" width="10" style="216" customWidth="1"/>
    <col min="1541" max="1541" width="10.140625" style="216" customWidth="1"/>
    <col min="1542" max="1542" width="12.28515625" style="216" customWidth="1"/>
    <col min="1543" max="1543" width="16.28515625" style="216" customWidth="1"/>
    <col min="1544" max="1544" width="12.85546875" style="216" customWidth="1"/>
    <col min="1545" max="1545" width="12.7109375" style="216" customWidth="1"/>
    <col min="1546" max="1546" width="14.42578125" style="216" customWidth="1"/>
    <col min="1547" max="1547" width="13.5703125" style="216" customWidth="1"/>
    <col min="1548" max="1792" width="9.140625" style="216"/>
    <col min="1793" max="1793" width="2.7109375" style="216" customWidth="1"/>
    <col min="1794" max="1794" width="9.140625" style="216"/>
    <col min="1795" max="1795" width="40.28515625" style="216" bestFit="1" customWidth="1"/>
    <col min="1796" max="1796" width="10" style="216" customWidth="1"/>
    <col min="1797" max="1797" width="10.140625" style="216" customWidth="1"/>
    <col min="1798" max="1798" width="12.28515625" style="216" customWidth="1"/>
    <col min="1799" max="1799" width="16.28515625" style="216" customWidth="1"/>
    <col min="1800" max="1800" width="12.85546875" style="216" customWidth="1"/>
    <col min="1801" max="1801" width="12.7109375" style="216" customWidth="1"/>
    <col min="1802" max="1802" width="14.42578125" style="216" customWidth="1"/>
    <col min="1803" max="1803" width="13.5703125" style="216" customWidth="1"/>
    <col min="1804" max="2048" width="9.140625" style="216"/>
    <col min="2049" max="2049" width="2.7109375" style="216" customWidth="1"/>
    <col min="2050" max="2050" width="9.140625" style="216"/>
    <col min="2051" max="2051" width="40.28515625" style="216" bestFit="1" customWidth="1"/>
    <col min="2052" max="2052" width="10" style="216" customWidth="1"/>
    <col min="2053" max="2053" width="10.140625" style="216" customWidth="1"/>
    <col min="2054" max="2054" width="12.28515625" style="216" customWidth="1"/>
    <col min="2055" max="2055" width="16.28515625" style="216" customWidth="1"/>
    <col min="2056" max="2056" width="12.85546875" style="216" customWidth="1"/>
    <col min="2057" max="2057" width="12.7109375" style="216" customWidth="1"/>
    <col min="2058" max="2058" width="14.42578125" style="216" customWidth="1"/>
    <col min="2059" max="2059" width="13.5703125" style="216" customWidth="1"/>
    <col min="2060" max="2304" width="9.140625" style="216"/>
    <col min="2305" max="2305" width="2.7109375" style="216" customWidth="1"/>
    <col min="2306" max="2306" width="9.140625" style="216"/>
    <col min="2307" max="2307" width="40.28515625" style="216" bestFit="1" customWidth="1"/>
    <col min="2308" max="2308" width="10" style="216" customWidth="1"/>
    <col min="2309" max="2309" width="10.140625" style="216" customWidth="1"/>
    <col min="2310" max="2310" width="12.28515625" style="216" customWidth="1"/>
    <col min="2311" max="2311" width="16.28515625" style="216" customWidth="1"/>
    <col min="2312" max="2312" width="12.85546875" style="216" customWidth="1"/>
    <col min="2313" max="2313" width="12.7109375" style="216" customWidth="1"/>
    <col min="2314" max="2314" width="14.42578125" style="216" customWidth="1"/>
    <col min="2315" max="2315" width="13.5703125" style="216" customWidth="1"/>
    <col min="2316" max="2560" width="9.140625" style="216"/>
    <col min="2561" max="2561" width="2.7109375" style="216" customWidth="1"/>
    <col min="2562" max="2562" width="9.140625" style="216"/>
    <col min="2563" max="2563" width="40.28515625" style="216" bestFit="1" customWidth="1"/>
    <col min="2564" max="2564" width="10" style="216" customWidth="1"/>
    <col min="2565" max="2565" width="10.140625" style="216" customWidth="1"/>
    <col min="2566" max="2566" width="12.28515625" style="216" customWidth="1"/>
    <col min="2567" max="2567" width="16.28515625" style="216" customWidth="1"/>
    <col min="2568" max="2568" width="12.85546875" style="216" customWidth="1"/>
    <col min="2569" max="2569" width="12.7109375" style="216" customWidth="1"/>
    <col min="2570" max="2570" width="14.42578125" style="216" customWidth="1"/>
    <col min="2571" max="2571" width="13.5703125" style="216" customWidth="1"/>
    <col min="2572" max="2816" width="9.140625" style="216"/>
    <col min="2817" max="2817" width="2.7109375" style="216" customWidth="1"/>
    <col min="2818" max="2818" width="9.140625" style="216"/>
    <col min="2819" max="2819" width="40.28515625" style="216" bestFit="1" customWidth="1"/>
    <col min="2820" max="2820" width="10" style="216" customWidth="1"/>
    <col min="2821" max="2821" width="10.140625" style="216" customWidth="1"/>
    <col min="2822" max="2822" width="12.28515625" style="216" customWidth="1"/>
    <col min="2823" max="2823" width="16.28515625" style="216" customWidth="1"/>
    <col min="2824" max="2824" width="12.85546875" style="216" customWidth="1"/>
    <col min="2825" max="2825" width="12.7109375" style="216" customWidth="1"/>
    <col min="2826" max="2826" width="14.42578125" style="216" customWidth="1"/>
    <col min="2827" max="2827" width="13.5703125" style="216" customWidth="1"/>
    <col min="2828" max="3072" width="9.140625" style="216"/>
    <col min="3073" max="3073" width="2.7109375" style="216" customWidth="1"/>
    <col min="3074" max="3074" width="9.140625" style="216"/>
    <col min="3075" max="3075" width="40.28515625" style="216" bestFit="1" customWidth="1"/>
    <col min="3076" max="3076" width="10" style="216" customWidth="1"/>
    <col min="3077" max="3077" width="10.140625" style="216" customWidth="1"/>
    <col min="3078" max="3078" width="12.28515625" style="216" customWidth="1"/>
    <col min="3079" max="3079" width="16.28515625" style="216" customWidth="1"/>
    <col min="3080" max="3080" width="12.85546875" style="216" customWidth="1"/>
    <col min="3081" max="3081" width="12.7109375" style="216" customWidth="1"/>
    <col min="3082" max="3082" width="14.42578125" style="216" customWidth="1"/>
    <col min="3083" max="3083" width="13.5703125" style="216" customWidth="1"/>
    <col min="3084" max="3328" width="9.140625" style="216"/>
    <col min="3329" max="3329" width="2.7109375" style="216" customWidth="1"/>
    <col min="3330" max="3330" width="9.140625" style="216"/>
    <col min="3331" max="3331" width="40.28515625" style="216" bestFit="1" customWidth="1"/>
    <col min="3332" max="3332" width="10" style="216" customWidth="1"/>
    <col min="3333" max="3333" width="10.140625" style="216" customWidth="1"/>
    <col min="3334" max="3334" width="12.28515625" style="216" customWidth="1"/>
    <col min="3335" max="3335" width="16.28515625" style="216" customWidth="1"/>
    <col min="3336" max="3336" width="12.85546875" style="216" customWidth="1"/>
    <col min="3337" max="3337" width="12.7109375" style="216" customWidth="1"/>
    <col min="3338" max="3338" width="14.42578125" style="216" customWidth="1"/>
    <col min="3339" max="3339" width="13.5703125" style="216" customWidth="1"/>
    <col min="3340" max="3584" width="9.140625" style="216"/>
    <col min="3585" max="3585" width="2.7109375" style="216" customWidth="1"/>
    <col min="3586" max="3586" width="9.140625" style="216"/>
    <col min="3587" max="3587" width="40.28515625" style="216" bestFit="1" customWidth="1"/>
    <col min="3588" max="3588" width="10" style="216" customWidth="1"/>
    <col min="3589" max="3589" width="10.140625" style="216" customWidth="1"/>
    <col min="3590" max="3590" width="12.28515625" style="216" customWidth="1"/>
    <col min="3591" max="3591" width="16.28515625" style="216" customWidth="1"/>
    <col min="3592" max="3592" width="12.85546875" style="216" customWidth="1"/>
    <col min="3593" max="3593" width="12.7109375" style="216" customWidth="1"/>
    <col min="3594" max="3594" width="14.42578125" style="216" customWidth="1"/>
    <col min="3595" max="3595" width="13.5703125" style="216" customWidth="1"/>
    <col min="3596" max="3840" width="9.140625" style="216"/>
    <col min="3841" max="3841" width="2.7109375" style="216" customWidth="1"/>
    <col min="3842" max="3842" width="9.140625" style="216"/>
    <col min="3843" max="3843" width="40.28515625" style="216" bestFit="1" customWidth="1"/>
    <col min="3844" max="3844" width="10" style="216" customWidth="1"/>
    <col min="3845" max="3845" width="10.140625" style="216" customWidth="1"/>
    <col min="3846" max="3846" width="12.28515625" style="216" customWidth="1"/>
    <col min="3847" max="3847" width="16.28515625" style="216" customWidth="1"/>
    <col min="3848" max="3848" width="12.85546875" style="216" customWidth="1"/>
    <col min="3849" max="3849" width="12.7109375" style="216" customWidth="1"/>
    <col min="3850" max="3850" width="14.42578125" style="216" customWidth="1"/>
    <col min="3851" max="3851" width="13.5703125" style="216" customWidth="1"/>
    <col min="3852" max="4096" width="9.140625" style="216"/>
    <col min="4097" max="4097" width="2.7109375" style="216" customWidth="1"/>
    <col min="4098" max="4098" width="9.140625" style="216"/>
    <col min="4099" max="4099" width="40.28515625" style="216" bestFit="1" customWidth="1"/>
    <col min="4100" max="4100" width="10" style="216" customWidth="1"/>
    <col min="4101" max="4101" width="10.140625" style="216" customWidth="1"/>
    <col min="4102" max="4102" width="12.28515625" style="216" customWidth="1"/>
    <col min="4103" max="4103" width="16.28515625" style="216" customWidth="1"/>
    <col min="4104" max="4104" width="12.85546875" style="216" customWidth="1"/>
    <col min="4105" max="4105" width="12.7109375" style="216" customWidth="1"/>
    <col min="4106" max="4106" width="14.42578125" style="216" customWidth="1"/>
    <col min="4107" max="4107" width="13.5703125" style="216" customWidth="1"/>
    <col min="4108" max="4352" width="9.140625" style="216"/>
    <col min="4353" max="4353" width="2.7109375" style="216" customWidth="1"/>
    <col min="4354" max="4354" width="9.140625" style="216"/>
    <col min="4355" max="4355" width="40.28515625" style="216" bestFit="1" customWidth="1"/>
    <col min="4356" max="4356" width="10" style="216" customWidth="1"/>
    <col min="4357" max="4357" width="10.140625" style="216" customWidth="1"/>
    <col min="4358" max="4358" width="12.28515625" style="216" customWidth="1"/>
    <col min="4359" max="4359" width="16.28515625" style="216" customWidth="1"/>
    <col min="4360" max="4360" width="12.85546875" style="216" customWidth="1"/>
    <col min="4361" max="4361" width="12.7109375" style="216" customWidth="1"/>
    <col min="4362" max="4362" width="14.42578125" style="216" customWidth="1"/>
    <col min="4363" max="4363" width="13.5703125" style="216" customWidth="1"/>
    <col min="4364" max="4608" width="9.140625" style="216"/>
    <col min="4609" max="4609" width="2.7109375" style="216" customWidth="1"/>
    <col min="4610" max="4610" width="9.140625" style="216"/>
    <col min="4611" max="4611" width="40.28515625" style="216" bestFit="1" customWidth="1"/>
    <col min="4612" max="4612" width="10" style="216" customWidth="1"/>
    <col min="4613" max="4613" width="10.140625" style="216" customWidth="1"/>
    <col min="4614" max="4614" width="12.28515625" style="216" customWidth="1"/>
    <col min="4615" max="4615" width="16.28515625" style="216" customWidth="1"/>
    <col min="4616" max="4616" width="12.85546875" style="216" customWidth="1"/>
    <col min="4617" max="4617" width="12.7109375" style="216" customWidth="1"/>
    <col min="4618" max="4618" width="14.42578125" style="216" customWidth="1"/>
    <col min="4619" max="4619" width="13.5703125" style="216" customWidth="1"/>
    <col min="4620" max="4864" width="9.140625" style="216"/>
    <col min="4865" max="4865" width="2.7109375" style="216" customWidth="1"/>
    <col min="4866" max="4866" width="9.140625" style="216"/>
    <col min="4867" max="4867" width="40.28515625" style="216" bestFit="1" customWidth="1"/>
    <col min="4868" max="4868" width="10" style="216" customWidth="1"/>
    <col min="4869" max="4869" width="10.140625" style="216" customWidth="1"/>
    <col min="4870" max="4870" width="12.28515625" style="216" customWidth="1"/>
    <col min="4871" max="4871" width="16.28515625" style="216" customWidth="1"/>
    <col min="4872" max="4872" width="12.85546875" style="216" customWidth="1"/>
    <col min="4873" max="4873" width="12.7109375" style="216" customWidth="1"/>
    <col min="4874" max="4874" width="14.42578125" style="216" customWidth="1"/>
    <col min="4875" max="4875" width="13.5703125" style="216" customWidth="1"/>
    <col min="4876" max="5120" width="9.140625" style="216"/>
    <col min="5121" max="5121" width="2.7109375" style="216" customWidth="1"/>
    <col min="5122" max="5122" width="9.140625" style="216"/>
    <col min="5123" max="5123" width="40.28515625" style="216" bestFit="1" customWidth="1"/>
    <col min="5124" max="5124" width="10" style="216" customWidth="1"/>
    <col min="5125" max="5125" width="10.140625" style="216" customWidth="1"/>
    <col min="5126" max="5126" width="12.28515625" style="216" customWidth="1"/>
    <col min="5127" max="5127" width="16.28515625" style="216" customWidth="1"/>
    <col min="5128" max="5128" width="12.85546875" style="216" customWidth="1"/>
    <col min="5129" max="5129" width="12.7109375" style="216" customWidth="1"/>
    <col min="5130" max="5130" width="14.42578125" style="216" customWidth="1"/>
    <col min="5131" max="5131" width="13.5703125" style="216" customWidth="1"/>
    <col min="5132" max="5376" width="9.140625" style="216"/>
    <col min="5377" max="5377" width="2.7109375" style="216" customWidth="1"/>
    <col min="5378" max="5378" width="9.140625" style="216"/>
    <col min="5379" max="5379" width="40.28515625" style="216" bestFit="1" customWidth="1"/>
    <col min="5380" max="5380" width="10" style="216" customWidth="1"/>
    <col min="5381" max="5381" width="10.140625" style="216" customWidth="1"/>
    <col min="5382" max="5382" width="12.28515625" style="216" customWidth="1"/>
    <col min="5383" max="5383" width="16.28515625" style="216" customWidth="1"/>
    <col min="5384" max="5384" width="12.85546875" style="216" customWidth="1"/>
    <col min="5385" max="5385" width="12.7109375" style="216" customWidth="1"/>
    <col min="5386" max="5386" width="14.42578125" style="216" customWidth="1"/>
    <col min="5387" max="5387" width="13.5703125" style="216" customWidth="1"/>
    <col min="5388" max="5632" width="9.140625" style="216"/>
    <col min="5633" max="5633" width="2.7109375" style="216" customWidth="1"/>
    <col min="5634" max="5634" width="9.140625" style="216"/>
    <col min="5635" max="5635" width="40.28515625" style="216" bestFit="1" customWidth="1"/>
    <col min="5636" max="5636" width="10" style="216" customWidth="1"/>
    <col min="5637" max="5637" width="10.140625" style="216" customWidth="1"/>
    <col min="5638" max="5638" width="12.28515625" style="216" customWidth="1"/>
    <col min="5639" max="5639" width="16.28515625" style="216" customWidth="1"/>
    <col min="5640" max="5640" width="12.85546875" style="216" customWidth="1"/>
    <col min="5641" max="5641" width="12.7109375" style="216" customWidth="1"/>
    <col min="5642" max="5642" width="14.42578125" style="216" customWidth="1"/>
    <col min="5643" max="5643" width="13.5703125" style="216" customWidth="1"/>
    <col min="5644" max="5888" width="9.140625" style="216"/>
    <col min="5889" max="5889" width="2.7109375" style="216" customWidth="1"/>
    <col min="5890" max="5890" width="9.140625" style="216"/>
    <col min="5891" max="5891" width="40.28515625" style="216" bestFit="1" customWidth="1"/>
    <col min="5892" max="5892" width="10" style="216" customWidth="1"/>
    <col min="5893" max="5893" width="10.140625" style="216" customWidth="1"/>
    <col min="5894" max="5894" width="12.28515625" style="216" customWidth="1"/>
    <col min="5895" max="5895" width="16.28515625" style="216" customWidth="1"/>
    <col min="5896" max="5896" width="12.85546875" style="216" customWidth="1"/>
    <col min="5897" max="5897" width="12.7109375" style="216" customWidth="1"/>
    <col min="5898" max="5898" width="14.42578125" style="216" customWidth="1"/>
    <col min="5899" max="5899" width="13.5703125" style="216" customWidth="1"/>
    <col min="5900" max="6144" width="9.140625" style="216"/>
    <col min="6145" max="6145" width="2.7109375" style="216" customWidth="1"/>
    <col min="6146" max="6146" width="9.140625" style="216"/>
    <col min="6147" max="6147" width="40.28515625" style="216" bestFit="1" customWidth="1"/>
    <col min="6148" max="6148" width="10" style="216" customWidth="1"/>
    <col min="6149" max="6149" width="10.140625" style="216" customWidth="1"/>
    <col min="6150" max="6150" width="12.28515625" style="216" customWidth="1"/>
    <col min="6151" max="6151" width="16.28515625" style="216" customWidth="1"/>
    <col min="6152" max="6152" width="12.85546875" style="216" customWidth="1"/>
    <col min="6153" max="6153" width="12.7109375" style="216" customWidth="1"/>
    <col min="6154" max="6154" width="14.42578125" style="216" customWidth="1"/>
    <col min="6155" max="6155" width="13.5703125" style="216" customWidth="1"/>
    <col min="6156" max="6400" width="9.140625" style="216"/>
    <col min="6401" max="6401" width="2.7109375" style="216" customWidth="1"/>
    <col min="6402" max="6402" width="9.140625" style="216"/>
    <col min="6403" max="6403" width="40.28515625" style="216" bestFit="1" customWidth="1"/>
    <col min="6404" max="6404" width="10" style="216" customWidth="1"/>
    <col min="6405" max="6405" width="10.140625" style="216" customWidth="1"/>
    <col min="6406" max="6406" width="12.28515625" style="216" customWidth="1"/>
    <col min="6407" max="6407" width="16.28515625" style="216" customWidth="1"/>
    <col min="6408" max="6408" width="12.85546875" style="216" customWidth="1"/>
    <col min="6409" max="6409" width="12.7109375" style="216" customWidth="1"/>
    <col min="6410" max="6410" width="14.42578125" style="216" customWidth="1"/>
    <col min="6411" max="6411" width="13.5703125" style="216" customWidth="1"/>
    <col min="6412" max="6656" width="9.140625" style="216"/>
    <col min="6657" max="6657" width="2.7109375" style="216" customWidth="1"/>
    <col min="6658" max="6658" width="9.140625" style="216"/>
    <col min="6659" max="6659" width="40.28515625" style="216" bestFit="1" customWidth="1"/>
    <col min="6660" max="6660" width="10" style="216" customWidth="1"/>
    <col min="6661" max="6661" width="10.140625" style="216" customWidth="1"/>
    <col min="6662" max="6662" width="12.28515625" style="216" customWidth="1"/>
    <col min="6663" max="6663" width="16.28515625" style="216" customWidth="1"/>
    <col min="6664" max="6664" width="12.85546875" style="216" customWidth="1"/>
    <col min="6665" max="6665" width="12.7109375" style="216" customWidth="1"/>
    <col min="6666" max="6666" width="14.42578125" style="216" customWidth="1"/>
    <col min="6667" max="6667" width="13.5703125" style="216" customWidth="1"/>
    <col min="6668" max="6912" width="9.140625" style="216"/>
    <col min="6913" max="6913" width="2.7109375" style="216" customWidth="1"/>
    <col min="6914" max="6914" width="9.140625" style="216"/>
    <col min="6915" max="6915" width="40.28515625" style="216" bestFit="1" customWidth="1"/>
    <col min="6916" max="6916" width="10" style="216" customWidth="1"/>
    <col min="6917" max="6917" width="10.140625" style="216" customWidth="1"/>
    <col min="6918" max="6918" width="12.28515625" style="216" customWidth="1"/>
    <col min="6919" max="6919" width="16.28515625" style="216" customWidth="1"/>
    <col min="6920" max="6920" width="12.85546875" style="216" customWidth="1"/>
    <col min="6921" max="6921" width="12.7109375" style="216" customWidth="1"/>
    <col min="6922" max="6922" width="14.42578125" style="216" customWidth="1"/>
    <col min="6923" max="6923" width="13.5703125" style="216" customWidth="1"/>
    <col min="6924" max="7168" width="9.140625" style="216"/>
    <col min="7169" max="7169" width="2.7109375" style="216" customWidth="1"/>
    <col min="7170" max="7170" width="9.140625" style="216"/>
    <col min="7171" max="7171" width="40.28515625" style="216" bestFit="1" customWidth="1"/>
    <col min="7172" max="7172" width="10" style="216" customWidth="1"/>
    <col min="7173" max="7173" width="10.140625" style="216" customWidth="1"/>
    <col min="7174" max="7174" width="12.28515625" style="216" customWidth="1"/>
    <col min="7175" max="7175" width="16.28515625" style="216" customWidth="1"/>
    <col min="7176" max="7176" width="12.85546875" style="216" customWidth="1"/>
    <col min="7177" max="7177" width="12.7109375" style="216" customWidth="1"/>
    <col min="7178" max="7178" width="14.42578125" style="216" customWidth="1"/>
    <col min="7179" max="7179" width="13.5703125" style="216" customWidth="1"/>
    <col min="7180" max="7424" width="9.140625" style="216"/>
    <col min="7425" max="7425" width="2.7109375" style="216" customWidth="1"/>
    <col min="7426" max="7426" width="9.140625" style="216"/>
    <col min="7427" max="7427" width="40.28515625" style="216" bestFit="1" customWidth="1"/>
    <col min="7428" max="7428" width="10" style="216" customWidth="1"/>
    <col min="7429" max="7429" width="10.140625" style="216" customWidth="1"/>
    <col min="7430" max="7430" width="12.28515625" style="216" customWidth="1"/>
    <col min="7431" max="7431" width="16.28515625" style="216" customWidth="1"/>
    <col min="7432" max="7432" width="12.85546875" style="216" customWidth="1"/>
    <col min="7433" max="7433" width="12.7109375" style="216" customWidth="1"/>
    <col min="7434" max="7434" width="14.42578125" style="216" customWidth="1"/>
    <col min="7435" max="7435" width="13.5703125" style="216" customWidth="1"/>
    <col min="7436" max="7680" width="9.140625" style="216"/>
    <col min="7681" max="7681" width="2.7109375" style="216" customWidth="1"/>
    <col min="7682" max="7682" width="9.140625" style="216"/>
    <col min="7683" max="7683" width="40.28515625" style="216" bestFit="1" customWidth="1"/>
    <col min="7684" max="7684" width="10" style="216" customWidth="1"/>
    <col min="7685" max="7685" width="10.140625" style="216" customWidth="1"/>
    <col min="7686" max="7686" width="12.28515625" style="216" customWidth="1"/>
    <col min="7687" max="7687" width="16.28515625" style="216" customWidth="1"/>
    <col min="7688" max="7688" width="12.85546875" style="216" customWidth="1"/>
    <col min="7689" max="7689" width="12.7109375" style="216" customWidth="1"/>
    <col min="7690" max="7690" width="14.42578125" style="216" customWidth="1"/>
    <col min="7691" max="7691" width="13.5703125" style="216" customWidth="1"/>
    <col min="7692" max="7936" width="9.140625" style="216"/>
    <col min="7937" max="7937" width="2.7109375" style="216" customWidth="1"/>
    <col min="7938" max="7938" width="9.140625" style="216"/>
    <col min="7939" max="7939" width="40.28515625" style="216" bestFit="1" customWidth="1"/>
    <col min="7940" max="7940" width="10" style="216" customWidth="1"/>
    <col min="7941" max="7941" width="10.140625" style="216" customWidth="1"/>
    <col min="7942" max="7942" width="12.28515625" style="216" customWidth="1"/>
    <col min="7943" max="7943" width="16.28515625" style="216" customWidth="1"/>
    <col min="7944" max="7944" width="12.85546875" style="216" customWidth="1"/>
    <col min="7945" max="7945" width="12.7109375" style="216" customWidth="1"/>
    <col min="7946" max="7946" width="14.42578125" style="216" customWidth="1"/>
    <col min="7947" max="7947" width="13.5703125" style="216" customWidth="1"/>
    <col min="7948" max="8192" width="9.140625" style="216"/>
    <col min="8193" max="8193" width="2.7109375" style="216" customWidth="1"/>
    <col min="8194" max="8194" width="9.140625" style="216"/>
    <col min="8195" max="8195" width="40.28515625" style="216" bestFit="1" customWidth="1"/>
    <col min="8196" max="8196" width="10" style="216" customWidth="1"/>
    <col min="8197" max="8197" width="10.140625" style="216" customWidth="1"/>
    <col min="8198" max="8198" width="12.28515625" style="216" customWidth="1"/>
    <col min="8199" max="8199" width="16.28515625" style="216" customWidth="1"/>
    <col min="8200" max="8200" width="12.85546875" style="216" customWidth="1"/>
    <col min="8201" max="8201" width="12.7109375" style="216" customWidth="1"/>
    <col min="8202" max="8202" width="14.42578125" style="216" customWidth="1"/>
    <col min="8203" max="8203" width="13.5703125" style="216" customWidth="1"/>
    <col min="8204" max="8448" width="9.140625" style="216"/>
    <col min="8449" max="8449" width="2.7109375" style="216" customWidth="1"/>
    <col min="8450" max="8450" width="9.140625" style="216"/>
    <col min="8451" max="8451" width="40.28515625" style="216" bestFit="1" customWidth="1"/>
    <col min="8452" max="8452" width="10" style="216" customWidth="1"/>
    <col min="8453" max="8453" width="10.140625" style="216" customWidth="1"/>
    <col min="8454" max="8454" width="12.28515625" style="216" customWidth="1"/>
    <col min="8455" max="8455" width="16.28515625" style="216" customWidth="1"/>
    <col min="8456" max="8456" width="12.85546875" style="216" customWidth="1"/>
    <col min="8457" max="8457" width="12.7109375" style="216" customWidth="1"/>
    <col min="8458" max="8458" width="14.42578125" style="216" customWidth="1"/>
    <col min="8459" max="8459" width="13.5703125" style="216" customWidth="1"/>
    <col min="8460" max="8704" width="9.140625" style="216"/>
    <col min="8705" max="8705" width="2.7109375" style="216" customWidth="1"/>
    <col min="8706" max="8706" width="9.140625" style="216"/>
    <col min="8707" max="8707" width="40.28515625" style="216" bestFit="1" customWidth="1"/>
    <col min="8708" max="8708" width="10" style="216" customWidth="1"/>
    <col min="8709" max="8709" width="10.140625" style="216" customWidth="1"/>
    <col min="8710" max="8710" width="12.28515625" style="216" customWidth="1"/>
    <col min="8711" max="8711" width="16.28515625" style="216" customWidth="1"/>
    <col min="8712" max="8712" width="12.85546875" style="216" customWidth="1"/>
    <col min="8713" max="8713" width="12.7109375" style="216" customWidth="1"/>
    <col min="8714" max="8714" width="14.42578125" style="216" customWidth="1"/>
    <col min="8715" max="8715" width="13.5703125" style="216" customWidth="1"/>
    <col min="8716" max="8960" width="9.140625" style="216"/>
    <col min="8961" max="8961" width="2.7109375" style="216" customWidth="1"/>
    <col min="8962" max="8962" width="9.140625" style="216"/>
    <col min="8963" max="8963" width="40.28515625" style="216" bestFit="1" customWidth="1"/>
    <col min="8964" max="8964" width="10" style="216" customWidth="1"/>
    <col min="8965" max="8965" width="10.140625" style="216" customWidth="1"/>
    <col min="8966" max="8966" width="12.28515625" style="216" customWidth="1"/>
    <col min="8967" max="8967" width="16.28515625" style="216" customWidth="1"/>
    <col min="8968" max="8968" width="12.85546875" style="216" customWidth="1"/>
    <col min="8969" max="8969" width="12.7109375" style="216" customWidth="1"/>
    <col min="8970" max="8970" width="14.42578125" style="216" customWidth="1"/>
    <col min="8971" max="8971" width="13.5703125" style="216" customWidth="1"/>
    <col min="8972" max="9216" width="9.140625" style="216"/>
    <col min="9217" max="9217" width="2.7109375" style="216" customWidth="1"/>
    <col min="9218" max="9218" width="9.140625" style="216"/>
    <col min="9219" max="9219" width="40.28515625" style="216" bestFit="1" customWidth="1"/>
    <col min="9220" max="9220" width="10" style="216" customWidth="1"/>
    <col min="9221" max="9221" width="10.140625" style="216" customWidth="1"/>
    <col min="9222" max="9222" width="12.28515625" style="216" customWidth="1"/>
    <col min="9223" max="9223" width="16.28515625" style="216" customWidth="1"/>
    <col min="9224" max="9224" width="12.85546875" style="216" customWidth="1"/>
    <col min="9225" max="9225" width="12.7109375" style="216" customWidth="1"/>
    <col min="9226" max="9226" width="14.42578125" style="216" customWidth="1"/>
    <col min="9227" max="9227" width="13.5703125" style="216" customWidth="1"/>
    <col min="9228" max="9472" width="9.140625" style="216"/>
    <col min="9473" max="9473" width="2.7109375" style="216" customWidth="1"/>
    <col min="9474" max="9474" width="9.140625" style="216"/>
    <col min="9475" max="9475" width="40.28515625" style="216" bestFit="1" customWidth="1"/>
    <col min="9476" max="9476" width="10" style="216" customWidth="1"/>
    <col min="9477" max="9477" width="10.140625" style="216" customWidth="1"/>
    <col min="9478" max="9478" width="12.28515625" style="216" customWidth="1"/>
    <col min="9479" max="9479" width="16.28515625" style="216" customWidth="1"/>
    <col min="9480" max="9480" width="12.85546875" style="216" customWidth="1"/>
    <col min="9481" max="9481" width="12.7109375" style="216" customWidth="1"/>
    <col min="9482" max="9482" width="14.42578125" style="216" customWidth="1"/>
    <col min="9483" max="9483" width="13.5703125" style="216" customWidth="1"/>
    <col min="9484" max="9728" width="9.140625" style="216"/>
    <col min="9729" max="9729" width="2.7109375" style="216" customWidth="1"/>
    <col min="9730" max="9730" width="9.140625" style="216"/>
    <col min="9731" max="9731" width="40.28515625" style="216" bestFit="1" customWidth="1"/>
    <col min="9732" max="9732" width="10" style="216" customWidth="1"/>
    <col min="9733" max="9733" width="10.140625" style="216" customWidth="1"/>
    <col min="9734" max="9734" width="12.28515625" style="216" customWidth="1"/>
    <col min="9735" max="9735" width="16.28515625" style="216" customWidth="1"/>
    <col min="9736" max="9736" width="12.85546875" style="216" customWidth="1"/>
    <col min="9737" max="9737" width="12.7109375" style="216" customWidth="1"/>
    <col min="9738" max="9738" width="14.42578125" style="216" customWidth="1"/>
    <col min="9739" max="9739" width="13.5703125" style="216" customWidth="1"/>
    <col min="9740" max="9984" width="9.140625" style="216"/>
    <col min="9985" max="9985" width="2.7109375" style="216" customWidth="1"/>
    <col min="9986" max="9986" width="9.140625" style="216"/>
    <col min="9987" max="9987" width="40.28515625" style="216" bestFit="1" customWidth="1"/>
    <col min="9988" max="9988" width="10" style="216" customWidth="1"/>
    <col min="9989" max="9989" width="10.140625" style="216" customWidth="1"/>
    <col min="9990" max="9990" width="12.28515625" style="216" customWidth="1"/>
    <col min="9991" max="9991" width="16.28515625" style="216" customWidth="1"/>
    <col min="9992" max="9992" width="12.85546875" style="216" customWidth="1"/>
    <col min="9993" max="9993" width="12.7109375" style="216" customWidth="1"/>
    <col min="9994" max="9994" width="14.42578125" style="216" customWidth="1"/>
    <col min="9995" max="9995" width="13.5703125" style="216" customWidth="1"/>
    <col min="9996" max="10240" width="9.140625" style="216"/>
    <col min="10241" max="10241" width="2.7109375" style="216" customWidth="1"/>
    <col min="10242" max="10242" width="9.140625" style="216"/>
    <col min="10243" max="10243" width="40.28515625" style="216" bestFit="1" customWidth="1"/>
    <col min="10244" max="10244" width="10" style="216" customWidth="1"/>
    <col min="10245" max="10245" width="10.140625" style="216" customWidth="1"/>
    <col min="10246" max="10246" width="12.28515625" style="216" customWidth="1"/>
    <col min="10247" max="10247" width="16.28515625" style="216" customWidth="1"/>
    <col min="10248" max="10248" width="12.85546875" style="216" customWidth="1"/>
    <col min="10249" max="10249" width="12.7109375" style="216" customWidth="1"/>
    <col min="10250" max="10250" width="14.42578125" style="216" customWidth="1"/>
    <col min="10251" max="10251" width="13.5703125" style="216" customWidth="1"/>
    <col min="10252" max="10496" width="9.140625" style="216"/>
    <col min="10497" max="10497" width="2.7109375" style="216" customWidth="1"/>
    <col min="10498" max="10498" width="9.140625" style="216"/>
    <col min="10499" max="10499" width="40.28515625" style="216" bestFit="1" customWidth="1"/>
    <col min="10500" max="10500" width="10" style="216" customWidth="1"/>
    <col min="10501" max="10501" width="10.140625" style="216" customWidth="1"/>
    <col min="10502" max="10502" width="12.28515625" style="216" customWidth="1"/>
    <col min="10503" max="10503" width="16.28515625" style="216" customWidth="1"/>
    <col min="10504" max="10504" width="12.85546875" style="216" customWidth="1"/>
    <col min="10505" max="10505" width="12.7109375" style="216" customWidth="1"/>
    <col min="10506" max="10506" width="14.42578125" style="216" customWidth="1"/>
    <col min="10507" max="10507" width="13.5703125" style="216" customWidth="1"/>
    <col min="10508" max="10752" width="9.140625" style="216"/>
    <col min="10753" max="10753" width="2.7109375" style="216" customWidth="1"/>
    <col min="10754" max="10754" width="9.140625" style="216"/>
    <col min="10755" max="10755" width="40.28515625" style="216" bestFit="1" customWidth="1"/>
    <col min="10756" max="10756" width="10" style="216" customWidth="1"/>
    <col min="10757" max="10757" width="10.140625" style="216" customWidth="1"/>
    <col min="10758" max="10758" width="12.28515625" style="216" customWidth="1"/>
    <col min="10759" max="10759" width="16.28515625" style="216" customWidth="1"/>
    <col min="10760" max="10760" width="12.85546875" style="216" customWidth="1"/>
    <col min="10761" max="10761" width="12.7109375" style="216" customWidth="1"/>
    <col min="10762" max="10762" width="14.42578125" style="216" customWidth="1"/>
    <col min="10763" max="10763" width="13.5703125" style="216" customWidth="1"/>
    <col min="10764" max="11008" width="9.140625" style="216"/>
    <col min="11009" max="11009" width="2.7109375" style="216" customWidth="1"/>
    <col min="11010" max="11010" width="9.140625" style="216"/>
    <col min="11011" max="11011" width="40.28515625" style="216" bestFit="1" customWidth="1"/>
    <col min="11012" max="11012" width="10" style="216" customWidth="1"/>
    <col min="11013" max="11013" width="10.140625" style="216" customWidth="1"/>
    <col min="11014" max="11014" width="12.28515625" style="216" customWidth="1"/>
    <col min="11015" max="11015" width="16.28515625" style="216" customWidth="1"/>
    <col min="11016" max="11016" width="12.85546875" style="216" customWidth="1"/>
    <col min="11017" max="11017" width="12.7109375" style="216" customWidth="1"/>
    <col min="11018" max="11018" width="14.42578125" style="216" customWidth="1"/>
    <col min="11019" max="11019" width="13.5703125" style="216" customWidth="1"/>
    <col min="11020" max="11264" width="9.140625" style="216"/>
    <col min="11265" max="11265" width="2.7109375" style="216" customWidth="1"/>
    <col min="11266" max="11266" width="9.140625" style="216"/>
    <col min="11267" max="11267" width="40.28515625" style="216" bestFit="1" customWidth="1"/>
    <col min="11268" max="11268" width="10" style="216" customWidth="1"/>
    <col min="11269" max="11269" width="10.140625" style="216" customWidth="1"/>
    <col min="11270" max="11270" width="12.28515625" style="216" customWidth="1"/>
    <col min="11271" max="11271" width="16.28515625" style="216" customWidth="1"/>
    <col min="11272" max="11272" width="12.85546875" style="216" customWidth="1"/>
    <col min="11273" max="11273" width="12.7109375" style="216" customWidth="1"/>
    <col min="11274" max="11274" width="14.42578125" style="216" customWidth="1"/>
    <col min="11275" max="11275" width="13.5703125" style="216" customWidth="1"/>
    <col min="11276" max="11520" width="9.140625" style="216"/>
    <col min="11521" max="11521" width="2.7109375" style="216" customWidth="1"/>
    <col min="11522" max="11522" width="9.140625" style="216"/>
    <col min="11523" max="11523" width="40.28515625" style="216" bestFit="1" customWidth="1"/>
    <col min="11524" max="11524" width="10" style="216" customWidth="1"/>
    <col min="11525" max="11525" width="10.140625" style="216" customWidth="1"/>
    <col min="11526" max="11526" width="12.28515625" style="216" customWidth="1"/>
    <col min="11527" max="11527" width="16.28515625" style="216" customWidth="1"/>
    <col min="11528" max="11528" width="12.85546875" style="216" customWidth="1"/>
    <col min="11529" max="11529" width="12.7109375" style="216" customWidth="1"/>
    <col min="11530" max="11530" width="14.42578125" style="216" customWidth="1"/>
    <col min="11531" max="11531" width="13.5703125" style="216" customWidth="1"/>
    <col min="11532" max="11776" width="9.140625" style="216"/>
    <col min="11777" max="11777" width="2.7109375" style="216" customWidth="1"/>
    <col min="11778" max="11778" width="9.140625" style="216"/>
    <col min="11779" max="11779" width="40.28515625" style="216" bestFit="1" customWidth="1"/>
    <col min="11780" max="11780" width="10" style="216" customWidth="1"/>
    <col min="11781" max="11781" width="10.140625" style="216" customWidth="1"/>
    <col min="11782" max="11782" width="12.28515625" style="216" customWidth="1"/>
    <col min="11783" max="11783" width="16.28515625" style="216" customWidth="1"/>
    <col min="11784" max="11784" width="12.85546875" style="216" customWidth="1"/>
    <col min="11785" max="11785" width="12.7109375" style="216" customWidth="1"/>
    <col min="11786" max="11786" width="14.42578125" style="216" customWidth="1"/>
    <col min="11787" max="11787" width="13.5703125" style="216" customWidth="1"/>
    <col min="11788" max="12032" width="9.140625" style="216"/>
    <col min="12033" max="12033" width="2.7109375" style="216" customWidth="1"/>
    <col min="12034" max="12034" width="9.140625" style="216"/>
    <col min="12035" max="12035" width="40.28515625" style="216" bestFit="1" customWidth="1"/>
    <col min="12036" max="12036" width="10" style="216" customWidth="1"/>
    <col min="12037" max="12037" width="10.140625" style="216" customWidth="1"/>
    <col min="12038" max="12038" width="12.28515625" style="216" customWidth="1"/>
    <col min="12039" max="12039" width="16.28515625" style="216" customWidth="1"/>
    <col min="12040" max="12040" width="12.85546875" style="216" customWidth="1"/>
    <col min="12041" max="12041" width="12.7109375" style="216" customWidth="1"/>
    <col min="12042" max="12042" width="14.42578125" style="216" customWidth="1"/>
    <col min="12043" max="12043" width="13.5703125" style="216" customWidth="1"/>
    <col min="12044" max="12288" width="9.140625" style="216"/>
    <col min="12289" max="12289" width="2.7109375" style="216" customWidth="1"/>
    <col min="12290" max="12290" width="9.140625" style="216"/>
    <col min="12291" max="12291" width="40.28515625" style="216" bestFit="1" customWidth="1"/>
    <col min="12292" max="12292" width="10" style="216" customWidth="1"/>
    <col min="12293" max="12293" width="10.140625" style="216" customWidth="1"/>
    <col min="12294" max="12294" width="12.28515625" style="216" customWidth="1"/>
    <col min="12295" max="12295" width="16.28515625" style="216" customWidth="1"/>
    <col min="12296" max="12296" width="12.85546875" style="216" customWidth="1"/>
    <col min="12297" max="12297" width="12.7109375" style="216" customWidth="1"/>
    <col min="12298" max="12298" width="14.42578125" style="216" customWidth="1"/>
    <col min="12299" max="12299" width="13.5703125" style="216" customWidth="1"/>
    <col min="12300" max="12544" width="9.140625" style="216"/>
    <col min="12545" max="12545" width="2.7109375" style="216" customWidth="1"/>
    <col min="12546" max="12546" width="9.140625" style="216"/>
    <col min="12547" max="12547" width="40.28515625" style="216" bestFit="1" customWidth="1"/>
    <col min="12548" max="12548" width="10" style="216" customWidth="1"/>
    <col min="12549" max="12549" width="10.140625" style="216" customWidth="1"/>
    <col min="12550" max="12550" width="12.28515625" style="216" customWidth="1"/>
    <col min="12551" max="12551" width="16.28515625" style="216" customWidth="1"/>
    <col min="12552" max="12552" width="12.85546875" style="216" customWidth="1"/>
    <col min="12553" max="12553" width="12.7109375" style="216" customWidth="1"/>
    <col min="12554" max="12554" width="14.42578125" style="216" customWidth="1"/>
    <col min="12555" max="12555" width="13.5703125" style="216" customWidth="1"/>
    <col min="12556" max="12800" width="9.140625" style="216"/>
    <col min="12801" max="12801" width="2.7109375" style="216" customWidth="1"/>
    <col min="12802" max="12802" width="9.140625" style="216"/>
    <col min="12803" max="12803" width="40.28515625" style="216" bestFit="1" customWidth="1"/>
    <col min="12804" max="12804" width="10" style="216" customWidth="1"/>
    <col min="12805" max="12805" width="10.140625" style="216" customWidth="1"/>
    <col min="12806" max="12806" width="12.28515625" style="216" customWidth="1"/>
    <col min="12807" max="12807" width="16.28515625" style="216" customWidth="1"/>
    <col min="12808" max="12808" width="12.85546875" style="216" customWidth="1"/>
    <col min="12809" max="12809" width="12.7109375" style="216" customWidth="1"/>
    <col min="12810" max="12810" width="14.42578125" style="216" customWidth="1"/>
    <col min="12811" max="12811" width="13.5703125" style="216" customWidth="1"/>
    <col min="12812" max="13056" width="9.140625" style="216"/>
    <col min="13057" max="13057" width="2.7109375" style="216" customWidth="1"/>
    <col min="13058" max="13058" width="9.140625" style="216"/>
    <col min="13059" max="13059" width="40.28515625" style="216" bestFit="1" customWidth="1"/>
    <col min="13060" max="13060" width="10" style="216" customWidth="1"/>
    <col min="13061" max="13061" width="10.140625" style="216" customWidth="1"/>
    <col min="13062" max="13062" width="12.28515625" style="216" customWidth="1"/>
    <col min="13063" max="13063" width="16.28515625" style="216" customWidth="1"/>
    <col min="13064" max="13064" width="12.85546875" style="216" customWidth="1"/>
    <col min="13065" max="13065" width="12.7109375" style="216" customWidth="1"/>
    <col min="13066" max="13066" width="14.42578125" style="216" customWidth="1"/>
    <col min="13067" max="13067" width="13.5703125" style="216" customWidth="1"/>
    <col min="13068" max="13312" width="9.140625" style="216"/>
    <col min="13313" max="13313" width="2.7109375" style="216" customWidth="1"/>
    <col min="13314" max="13314" width="9.140625" style="216"/>
    <col min="13315" max="13315" width="40.28515625" style="216" bestFit="1" customWidth="1"/>
    <col min="13316" max="13316" width="10" style="216" customWidth="1"/>
    <col min="13317" max="13317" width="10.140625" style="216" customWidth="1"/>
    <col min="13318" max="13318" width="12.28515625" style="216" customWidth="1"/>
    <col min="13319" max="13319" width="16.28515625" style="216" customWidth="1"/>
    <col min="13320" max="13320" width="12.85546875" style="216" customWidth="1"/>
    <col min="13321" max="13321" width="12.7109375" style="216" customWidth="1"/>
    <col min="13322" max="13322" width="14.42578125" style="216" customWidth="1"/>
    <col min="13323" max="13323" width="13.5703125" style="216" customWidth="1"/>
    <col min="13324" max="13568" width="9.140625" style="216"/>
    <col min="13569" max="13569" width="2.7109375" style="216" customWidth="1"/>
    <col min="13570" max="13570" width="9.140625" style="216"/>
    <col min="13571" max="13571" width="40.28515625" style="216" bestFit="1" customWidth="1"/>
    <col min="13572" max="13572" width="10" style="216" customWidth="1"/>
    <col min="13573" max="13573" width="10.140625" style="216" customWidth="1"/>
    <col min="13574" max="13574" width="12.28515625" style="216" customWidth="1"/>
    <col min="13575" max="13575" width="16.28515625" style="216" customWidth="1"/>
    <col min="13576" max="13576" width="12.85546875" style="216" customWidth="1"/>
    <col min="13577" max="13577" width="12.7109375" style="216" customWidth="1"/>
    <col min="13578" max="13578" width="14.42578125" style="216" customWidth="1"/>
    <col min="13579" max="13579" width="13.5703125" style="216" customWidth="1"/>
    <col min="13580" max="13824" width="9.140625" style="216"/>
    <col min="13825" max="13825" width="2.7109375" style="216" customWidth="1"/>
    <col min="13826" max="13826" width="9.140625" style="216"/>
    <col min="13827" max="13827" width="40.28515625" style="216" bestFit="1" customWidth="1"/>
    <col min="13828" max="13828" width="10" style="216" customWidth="1"/>
    <col min="13829" max="13829" width="10.140625" style="216" customWidth="1"/>
    <col min="13830" max="13830" width="12.28515625" style="216" customWidth="1"/>
    <col min="13831" max="13831" width="16.28515625" style="216" customWidth="1"/>
    <col min="13832" max="13832" width="12.85546875" style="216" customWidth="1"/>
    <col min="13833" max="13833" width="12.7109375" style="216" customWidth="1"/>
    <col min="13834" max="13834" width="14.42578125" style="216" customWidth="1"/>
    <col min="13835" max="13835" width="13.5703125" style="216" customWidth="1"/>
    <col min="13836" max="14080" width="9.140625" style="216"/>
    <col min="14081" max="14081" width="2.7109375" style="216" customWidth="1"/>
    <col min="14082" max="14082" width="9.140625" style="216"/>
    <col min="14083" max="14083" width="40.28515625" style="216" bestFit="1" customWidth="1"/>
    <col min="14084" max="14084" width="10" style="216" customWidth="1"/>
    <col min="14085" max="14085" width="10.140625" style="216" customWidth="1"/>
    <col min="14086" max="14086" width="12.28515625" style="216" customWidth="1"/>
    <col min="14087" max="14087" width="16.28515625" style="216" customWidth="1"/>
    <col min="14088" max="14088" width="12.85546875" style="216" customWidth="1"/>
    <col min="14089" max="14089" width="12.7109375" style="216" customWidth="1"/>
    <col min="14090" max="14090" width="14.42578125" style="216" customWidth="1"/>
    <col min="14091" max="14091" width="13.5703125" style="216" customWidth="1"/>
    <col min="14092" max="14336" width="9.140625" style="216"/>
    <col min="14337" max="14337" width="2.7109375" style="216" customWidth="1"/>
    <col min="14338" max="14338" width="9.140625" style="216"/>
    <col min="14339" max="14339" width="40.28515625" style="216" bestFit="1" customWidth="1"/>
    <col min="14340" max="14340" width="10" style="216" customWidth="1"/>
    <col min="14341" max="14341" width="10.140625" style="216" customWidth="1"/>
    <col min="14342" max="14342" width="12.28515625" style="216" customWidth="1"/>
    <col min="14343" max="14343" width="16.28515625" style="216" customWidth="1"/>
    <col min="14344" max="14344" width="12.85546875" style="216" customWidth="1"/>
    <col min="14345" max="14345" width="12.7109375" style="216" customWidth="1"/>
    <col min="14346" max="14346" width="14.42578125" style="216" customWidth="1"/>
    <col min="14347" max="14347" width="13.5703125" style="216" customWidth="1"/>
    <col min="14348" max="14592" width="9.140625" style="216"/>
    <col min="14593" max="14593" width="2.7109375" style="216" customWidth="1"/>
    <col min="14594" max="14594" width="9.140625" style="216"/>
    <col min="14595" max="14595" width="40.28515625" style="216" bestFit="1" customWidth="1"/>
    <col min="14596" max="14596" width="10" style="216" customWidth="1"/>
    <col min="14597" max="14597" width="10.140625" style="216" customWidth="1"/>
    <col min="14598" max="14598" width="12.28515625" style="216" customWidth="1"/>
    <col min="14599" max="14599" width="16.28515625" style="216" customWidth="1"/>
    <col min="14600" max="14600" width="12.85546875" style="216" customWidth="1"/>
    <col min="14601" max="14601" width="12.7109375" style="216" customWidth="1"/>
    <col min="14602" max="14602" width="14.42578125" style="216" customWidth="1"/>
    <col min="14603" max="14603" width="13.5703125" style="216" customWidth="1"/>
    <col min="14604" max="14848" width="9.140625" style="216"/>
    <col min="14849" max="14849" width="2.7109375" style="216" customWidth="1"/>
    <col min="14850" max="14850" width="9.140625" style="216"/>
    <col min="14851" max="14851" width="40.28515625" style="216" bestFit="1" customWidth="1"/>
    <col min="14852" max="14852" width="10" style="216" customWidth="1"/>
    <col min="14853" max="14853" width="10.140625" style="216" customWidth="1"/>
    <col min="14854" max="14854" width="12.28515625" style="216" customWidth="1"/>
    <col min="14855" max="14855" width="16.28515625" style="216" customWidth="1"/>
    <col min="14856" max="14856" width="12.85546875" style="216" customWidth="1"/>
    <col min="14857" max="14857" width="12.7109375" style="216" customWidth="1"/>
    <col min="14858" max="14858" width="14.42578125" style="216" customWidth="1"/>
    <col min="14859" max="14859" width="13.5703125" style="216" customWidth="1"/>
    <col min="14860" max="15104" width="9.140625" style="216"/>
    <col min="15105" max="15105" width="2.7109375" style="216" customWidth="1"/>
    <col min="15106" max="15106" width="9.140625" style="216"/>
    <col min="15107" max="15107" width="40.28515625" style="216" bestFit="1" customWidth="1"/>
    <col min="15108" max="15108" width="10" style="216" customWidth="1"/>
    <col min="15109" max="15109" width="10.140625" style="216" customWidth="1"/>
    <col min="15110" max="15110" width="12.28515625" style="216" customWidth="1"/>
    <col min="15111" max="15111" width="16.28515625" style="216" customWidth="1"/>
    <col min="15112" max="15112" width="12.85546875" style="216" customWidth="1"/>
    <col min="15113" max="15113" width="12.7109375" style="216" customWidth="1"/>
    <col min="15114" max="15114" width="14.42578125" style="216" customWidth="1"/>
    <col min="15115" max="15115" width="13.5703125" style="216" customWidth="1"/>
    <col min="15116" max="15360" width="9.140625" style="216"/>
    <col min="15361" max="15361" width="2.7109375" style="216" customWidth="1"/>
    <col min="15362" max="15362" width="9.140625" style="216"/>
    <col min="15363" max="15363" width="40.28515625" style="216" bestFit="1" customWidth="1"/>
    <col min="15364" max="15364" width="10" style="216" customWidth="1"/>
    <col min="15365" max="15365" width="10.140625" style="216" customWidth="1"/>
    <col min="15366" max="15366" width="12.28515625" style="216" customWidth="1"/>
    <col min="15367" max="15367" width="16.28515625" style="216" customWidth="1"/>
    <col min="15368" max="15368" width="12.85546875" style="216" customWidth="1"/>
    <col min="15369" max="15369" width="12.7109375" style="216" customWidth="1"/>
    <col min="15370" max="15370" width="14.42578125" style="216" customWidth="1"/>
    <col min="15371" max="15371" width="13.5703125" style="216" customWidth="1"/>
    <col min="15372" max="15616" width="9.140625" style="216"/>
    <col min="15617" max="15617" width="2.7109375" style="216" customWidth="1"/>
    <col min="15618" max="15618" width="9.140625" style="216"/>
    <col min="15619" max="15619" width="40.28515625" style="216" bestFit="1" customWidth="1"/>
    <col min="15620" max="15620" width="10" style="216" customWidth="1"/>
    <col min="15621" max="15621" width="10.140625" style="216" customWidth="1"/>
    <col min="15622" max="15622" width="12.28515625" style="216" customWidth="1"/>
    <col min="15623" max="15623" width="16.28515625" style="216" customWidth="1"/>
    <col min="15624" max="15624" width="12.85546875" style="216" customWidth="1"/>
    <col min="15625" max="15625" width="12.7109375" style="216" customWidth="1"/>
    <col min="15626" max="15626" width="14.42578125" style="216" customWidth="1"/>
    <col min="15627" max="15627" width="13.5703125" style="216" customWidth="1"/>
    <col min="15628" max="15872" width="9.140625" style="216"/>
    <col min="15873" max="15873" width="2.7109375" style="216" customWidth="1"/>
    <col min="15874" max="15874" width="9.140625" style="216"/>
    <col min="15875" max="15875" width="40.28515625" style="216" bestFit="1" customWidth="1"/>
    <col min="15876" max="15876" width="10" style="216" customWidth="1"/>
    <col min="15877" max="15877" width="10.140625" style="216" customWidth="1"/>
    <col min="15878" max="15878" width="12.28515625" style="216" customWidth="1"/>
    <col min="15879" max="15879" width="16.28515625" style="216" customWidth="1"/>
    <col min="15880" max="15880" width="12.85546875" style="216" customWidth="1"/>
    <col min="15881" max="15881" width="12.7109375" style="216" customWidth="1"/>
    <col min="15882" max="15882" width="14.42578125" style="216" customWidth="1"/>
    <col min="15883" max="15883" width="13.5703125" style="216" customWidth="1"/>
    <col min="15884" max="16128" width="9.140625" style="216"/>
    <col min="16129" max="16129" width="2.7109375" style="216" customWidth="1"/>
    <col min="16130" max="16130" width="9.140625" style="216"/>
    <col min="16131" max="16131" width="40.28515625" style="216" bestFit="1" customWidth="1"/>
    <col min="16132" max="16132" width="10" style="216" customWidth="1"/>
    <col min="16133" max="16133" width="10.140625" style="216" customWidth="1"/>
    <col min="16134" max="16134" width="12.28515625" style="216" customWidth="1"/>
    <col min="16135" max="16135" width="16.28515625" style="216" customWidth="1"/>
    <col min="16136" max="16136" width="12.85546875" style="216" customWidth="1"/>
    <col min="16137" max="16137" width="12.7109375" style="216" customWidth="1"/>
    <col min="16138" max="16138" width="14.42578125" style="216" customWidth="1"/>
    <col min="16139" max="16139" width="13.5703125" style="216" customWidth="1"/>
    <col min="16140" max="16384" width="9.140625" style="216"/>
  </cols>
  <sheetData>
    <row r="1" spans="1:13" x14ac:dyDescent="0.2">
      <c r="D1" s="218"/>
      <c r="E1" s="219"/>
      <c r="F1" s="219"/>
      <c r="G1" s="219"/>
      <c r="H1" s="219"/>
      <c r="J1" s="217" t="s">
        <v>419</v>
      </c>
      <c r="K1" s="766" t="str">
        <f>EBNUMBER</f>
        <v>EB-2014-0113</v>
      </c>
      <c r="L1" s="219"/>
    </row>
    <row r="2" spans="1:13" x14ac:dyDescent="0.2">
      <c r="D2" s="218"/>
      <c r="E2" s="219"/>
      <c r="F2" s="219"/>
      <c r="G2" s="219"/>
      <c r="H2" s="219"/>
      <c r="J2" s="217" t="s">
        <v>420</v>
      </c>
      <c r="K2" s="767">
        <v>2</v>
      </c>
      <c r="L2" s="219"/>
    </row>
    <row r="3" spans="1:13" x14ac:dyDescent="0.2">
      <c r="D3" s="218"/>
      <c r="E3" s="219"/>
      <c r="F3" s="219"/>
      <c r="G3" s="219"/>
      <c r="H3" s="219"/>
      <c r="J3" s="217" t="s">
        <v>421</v>
      </c>
      <c r="K3" s="767">
        <v>2</v>
      </c>
      <c r="L3" s="219"/>
    </row>
    <row r="4" spans="1:13" x14ac:dyDescent="0.2">
      <c r="D4" s="218"/>
      <c r="E4" s="219"/>
      <c r="F4" s="219"/>
      <c r="G4" s="219"/>
      <c r="H4" s="219"/>
      <c r="J4" s="217" t="s">
        <v>422</v>
      </c>
      <c r="K4" s="767">
        <v>2</v>
      </c>
      <c r="L4" s="219"/>
    </row>
    <row r="5" spans="1:13" x14ac:dyDescent="0.2">
      <c r="D5" s="218"/>
      <c r="E5" s="219"/>
      <c r="F5" s="219"/>
      <c r="G5" s="219"/>
      <c r="H5" s="219"/>
      <c r="J5" s="217" t="s">
        <v>423</v>
      </c>
      <c r="K5" s="768"/>
      <c r="L5" s="219"/>
    </row>
    <row r="6" spans="1:13" x14ac:dyDescent="0.2">
      <c r="D6" s="218"/>
      <c r="E6" s="219"/>
      <c r="F6" s="219"/>
      <c r="G6" s="219"/>
      <c r="H6" s="219"/>
      <c r="J6" s="217"/>
      <c r="K6" s="766"/>
      <c r="L6" s="219"/>
    </row>
    <row r="7" spans="1:13" x14ac:dyDescent="0.2">
      <c r="D7" s="218"/>
      <c r="E7" s="219"/>
      <c r="F7" s="219"/>
      <c r="G7" s="219"/>
      <c r="H7" s="220"/>
      <c r="J7" s="217" t="s">
        <v>424</v>
      </c>
      <c r="K7" s="1467">
        <v>42119</v>
      </c>
      <c r="L7" s="220"/>
    </row>
    <row r="9" spans="1:13" ht="18" x14ac:dyDescent="0.2">
      <c r="A9" s="1785" t="s">
        <v>613</v>
      </c>
      <c r="B9" s="1785"/>
      <c r="C9" s="1785"/>
      <c r="D9" s="1785"/>
      <c r="E9" s="1785"/>
      <c r="F9" s="1785"/>
      <c r="G9" s="1785"/>
      <c r="H9" s="1785"/>
      <c r="I9" s="1785"/>
      <c r="J9" s="1785"/>
      <c r="K9" s="1785"/>
    </row>
    <row r="10" spans="1:13" ht="18" x14ac:dyDescent="0.2">
      <c r="A10" s="1785" t="s">
        <v>3</v>
      </c>
      <c r="B10" s="1785"/>
      <c r="C10" s="1785"/>
      <c r="D10" s="1785"/>
      <c r="E10" s="1785"/>
      <c r="F10" s="1785"/>
      <c r="G10" s="1785"/>
      <c r="H10" s="1785"/>
      <c r="I10" s="1785"/>
      <c r="J10" s="1785"/>
      <c r="K10" s="1785"/>
    </row>
    <row r="11" spans="1:13" ht="24" customHeight="1" x14ac:dyDescent="0.2">
      <c r="A11" s="1877" t="s">
        <v>516</v>
      </c>
      <c r="B11" s="1877"/>
      <c r="C11" s="1877"/>
      <c r="D11" s="1877"/>
      <c r="E11" s="1877"/>
      <c r="F11" s="1877"/>
      <c r="G11" s="1877"/>
      <c r="H11" s="1877"/>
      <c r="I11" s="1877"/>
      <c r="J11" s="1877"/>
      <c r="K11" s="1877"/>
    </row>
    <row r="12" spans="1:13" ht="13.5" customHeight="1" x14ac:dyDescent="0.25">
      <c r="A12" s="671"/>
      <c r="B12" s="671"/>
      <c r="C12" s="676">
        <v>2014</v>
      </c>
      <c r="D12" s="676" t="s">
        <v>162</v>
      </c>
      <c r="E12" s="671"/>
      <c r="F12" s="671"/>
      <c r="G12" s="671"/>
      <c r="H12" s="671"/>
    </row>
    <row r="13" spans="1:13" ht="13.5" thickBot="1" x14ac:dyDescent="0.25"/>
    <row r="14" spans="1:13" ht="52.5" customHeight="1" x14ac:dyDescent="0.2">
      <c r="A14" s="1871" t="s">
        <v>4</v>
      </c>
      <c r="B14" s="1873" t="s">
        <v>346</v>
      </c>
      <c r="C14" s="221" t="s">
        <v>348</v>
      </c>
      <c r="D14" s="221" t="s">
        <v>530</v>
      </c>
      <c r="E14" s="221" t="s">
        <v>520</v>
      </c>
      <c r="F14" s="222" t="s">
        <v>791</v>
      </c>
      <c r="G14" s="1880" t="s">
        <v>2065</v>
      </c>
      <c r="H14" s="222" t="s">
        <v>523</v>
      </c>
      <c r="I14" s="222" t="s">
        <v>2066</v>
      </c>
      <c r="J14" s="1880" t="s">
        <v>720</v>
      </c>
      <c r="K14" s="222" t="s">
        <v>2067</v>
      </c>
    </row>
    <row r="15" spans="1:13" ht="54" customHeight="1" thickBot="1" x14ac:dyDescent="0.25">
      <c r="A15" s="1878"/>
      <c r="B15" s="1879"/>
      <c r="C15" s="294" t="s">
        <v>6</v>
      </c>
      <c r="D15" s="294" t="s">
        <v>9</v>
      </c>
      <c r="E15" s="294" t="s">
        <v>10</v>
      </c>
      <c r="F15" s="295" t="s">
        <v>789</v>
      </c>
      <c r="G15" s="1881"/>
      <c r="H15" s="296" t="s">
        <v>517</v>
      </c>
      <c r="I15" s="296" t="s">
        <v>532</v>
      </c>
      <c r="J15" s="1882"/>
      <c r="K15" s="297" t="s">
        <v>2068</v>
      </c>
    </row>
    <row r="16" spans="1:13" ht="25.5" x14ac:dyDescent="0.2">
      <c r="A16" s="782">
        <v>1611</v>
      </c>
      <c r="B16" s="783" t="s">
        <v>515</v>
      </c>
      <c r="C16" s="204">
        <v>96500</v>
      </c>
      <c r="D16" s="293">
        <v>5</v>
      </c>
      <c r="E16" s="589">
        <f t="shared" ref="E16:E55" si="0">IF(D16=0,0,1/D16)</f>
        <v>0.2</v>
      </c>
      <c r="F16" s="796">
        <f>IF(D16=0,+'App.2-CC_MIFRS_DepExp_2012'!L16,+'App.2-CC_MIFRS_DepExp_2012'!L16+((C16*0.5)/D16))</f>
        <v>98234.593111111099</v>
      </c>
      <c r="G16" s="204">
        <v>80233.67</v>
      </c>
      <c r="H16" s="796">
        <f t="shared" ref="H16:H55" si="1">IF(ISERROR(+F16-G16), 0, +F16-G16)</f>
        <v>18000.9231111111</v>
      </c>
      <c r="I16" s="796">
        <f t="shared" ref="I16:I55" si="2">IF(D16=0,0,+(C16)/D16)</f>
        <v>19300</v>
      </c>
      <c r="J16" s="204"/>
      <c r="K16" s="796">
        <f>IF(ISERROR(+I16+'App.2-CC_MIFRS_DepExp_2012'!L16-J16), 0, +I16+'App.2-CC_MIFRS_DepExp_2012'!L16-J16)</f>
        <v>107884.5931111111</v>
      </c>
      <c r="M16" s="1538">
        <f>+K16-G16</f>
        <v>27650.9231111111</v>
      </c>
    </row>
    <row r="17" spans="1:13" ht="25.5" x14ac:dyDescent="0.2">
      <c r="A17" s="782">
        <v>1612</v>
      </c>
      <c r="B17" s="783" t="s">
        <v>650</v>
      </c>
      <c r="C17" s="204"/>
      <c r="D17" s="282"/>
      <c r="E17" s="226">
        <f t="shared" si="0"/>
        <v>0</v>
      </c>
      <c r="F17" s="796">
        <f>IF(D17=0,+'App.2-CC_MIFRS_DepExp_2012'!L17,+'App.2-CC_MIFRS_DepExp_2012'!L17+((C17*0.5)/D17))</f>
        <v>0</v>
      </c>
      <c r="G17" s="204"/>
      <c r="H17" s="796">
        <f t="shared" si="1"/>
        <v>0</v>
      </c>
      <c r="I17" s="796">
        <f t="shared" si="2"/>
        <v>0</v>
      </c>
      <c r="J17" s="204"/>
      <c r="K17" s="796">
        <f>IF(ISERROR(+I17+'App.2-CC_MIFRS_DepExp_2012'!L17-J17), 0, +I17+'App.2-CC_MIFRS_DepExp_2012'!L17-J17)</f>
        <v>0</v>
      </c>
      <c r="M17" s="1538">
        <f t="shared" ref="M17:M53" si="3">+K17-G17</f>
        <v>0</v>
      </c>
    </row>
    <row r="18" spans="1:13" x14ac:dyDescent="0.2">
      <c r="A18" s="785">
        <v>1805</v>
      </c>
      <c r="B18" s="786" t="s">
        <v>383</v>
      </c>
      <c r="C18" s="204"/>
      <c r="D18" s="282">
        <v>0</v>
      </c>
      <c r="E18" s="226">
        <f t="shared" si="0"/>
        <v>0</v>
      </c>
      <c r="F18" s="796">
        <f>IF(D18=0,+'App.2-CC_MIFRS_DepExp_2012'!L18,+'App.2-CC_MIFRS_DepExp_2012'!L18+((C18*0.5)/D18))</f>
        <v>0</v>
      </c>
      <c r="G18" s="204"/>
      <c r="H18" s="796">
        <f t="shared" si="1"/>
        <v>0</v>
      </c>
      <c r="I18" s="796">
        <f t="shared" si="2"/>
        <v>0</v>
      </c>
      <c r="J18" s="204"/>
      <c r="K18" s="796">
        <f>IF(ISERROR(+I18+'App.2-CC_MIFRS_DepExp_2012'!L18-J18), 0, +I18+'App.2-CC_MIFRS_DepExp_2012'!L18-J18)</f>
        <v>0</v>
      </c>
      <c r="M18" s="1538">
        <f t="shared" si="3"/>
        <v>0</v>
      </c>
    </row>
    <row r="19" spans="1:13" x14ac:dyDescent="0.2">
      <c r="A19" s="782">
        <v>1808</v>
      </c>
      <c r="B19" s="787" t="s">
        <v>384</v>
      </c>
      <c r="C19" s="204"/>
      <c r="D19" s="282"/>
      <c r="E19" s="226">
        <f t="shared" si="0"/>
        <v>0</v>
      </c>
      <c r="F19" s="796">
        <f>IF(D19=0,+'App.2-CC_MIFRS_DepExp_2012'!L19,+'App.2-CC_MIFRS_DepExp_2012'!L19+((C19*0.5)/D19))</f>
        <v>0</v>
      </c>
      <c r="G19" s="204"/>
      <c r="H19" s="796">
        <f t="shared" si="1"/>
        <v>0</v>
      </c>
      <c r="I19" s="796">
        <f t="shared" si="2"/>
        <v>0</v>
      </c>
      <c r="J19" s="204"/>
      <c r="K19" s="796">
        <f>IF(ISERROR(+I19+'App.2-CC_MIFRS_DepExp_2012'!L19-J19), 0, +I19+'App.2-CC_MIFRS_DepExp_2012'!L19-J19)</f>
        <v>0</v>
      </c>
      <c r="M19" s="1538">
        <f t="shared" si="3"/>
        <v>0</v>
      </c>
    </row>
    <row r="20" spans="1:13" x14ac:dyDescent="0.2">
      <c r="A20" s="782">
        <v>1810</v>
      </c>
      <c r="B20" s="787" t="s">
        <v>417</v>
      </c>
      <c r="C20" s="204"/>
      <c r="D20" s="282"/>
      <c r="E20" s="226">
        <f t="shared" si="0"/>
        <v>0</v>
      </c>
      <c r="F20" s="796">
        <f>IF(D20=0,+'App.2-CC_MIFRS_DepExp_2012'!L20,+'App.2-CC_MIFRS_DepExp_2012'!L20+((C20*0.5)/D20))</f>
        <v>0</v>
      </c>
      <c r="G20" s="204"/>
      <c r="H20" s="796">
        <f t="shared" si="1"/>
        <v>0</v>
      </c>
      <c r="I20" s="796">
        <f t="shared" si="2"/>
        <v>0</v>
      </c>
      <c r="J20" s="204"/>
      <c r="K20" s="796">
        <f>IF(ISERROR(+I20+'App.2-CC_MIFRS_DepExp_2012'!L20-J20), 0, +I20+'App.2-CC_MIFRS_DepExp_2012'!L20-J20)</f>
        <v>0</v>
      </c>
      <c r="M20" s="1538">
        <f t="shared" si="3"/>
        <v>0</v>
      </c>
    </row>
    <row r="21" spans="1:13" x14ac:dyDescent="0.2">
      <c r="A21" s="782">
        <v>1815</v>
      </c>
      <c r="B21" s="787" t="s">
        <v>385</v>
      </c>
      <c r="C21" s="204"/>
      <c r="D21" s="282"/>
      <c r="E21" s="226">
        <f t="shared" si="0"/>
        <v>0</v>
      </c>
      <c r="F21" s="796">
        <f>IF(D21=0,+'App.2-CC_MIFRS_DepExp_2012'!L21,+'App.2-CC_MIFRS_DepExp_2012'!L21+((C21*0.5)/D21))</f>
        <v>0</v>
      </c>
      <c r="G21" s="204"/>
      <c r="H21" s="796">
        <f t="shared" si="1"/>
        <v>0</v>
      </c>
      <c r="I21" s="796">
        <f t="shared" si="2"/>
        <v>0</v>
      </c>
      <c r="J21" s="204"/>
      <c r="K21" s="796">
        <f>IF(ISERROR(+I21+'App.2-CC_MIFRS_DepExp_2012'!L21-J21), 0, +I21+'App.2-CC_MIFRS_DepExp_2012'!L21-J21)</f>
        <v>0</v>
      </c>
      <c r="M21" s="1538">
        <f t="shared" si="3"/>
        <v>0</v>
      </c>
    </row>
    <row r="22" spans="1:13" x14ac:dyDescent="0.2">
      <c r="A22" s="782">
        <v>1820</v>
      </c>
      <c r="B22" s="783" t="s">
        <v>306</v>
      </c>
      <c r="C22" s="204"/>
      <c r="D22" s="282">
        <v>45</v>
      </c>
      <c r="E22" s="226">
        <f t="shared" si="0"/>
        <v>2.2222222222222223E-2</v>
      </c>
      <c r="F22" s="796">
        <f>IF(D22=0,+'App.2-CC_MIFRS_DepExp_2012'!L22,+'App.2-CC_MIFRS_DepExp_2012'!L22+((C22*0.5)/D22))</f>
        <v>785.37333333333174</v>
      </c>
      <c r="G22" s="204">
        <v>835.9</v>
      </c>
      <c r="H22" s="796">
        <f t="shared" si="1"/>
        <v>-50.526666666668234</v>
      </c>
      <c r="I22" s="796">
        <f t="shared" si="2"/>
        <v>0</v>
      </c>
      <c r="J22" s="204"/>
      <c r="K22" s="796">
        <f>IF(ISERROR(+I22+'App.2-CC_MIFRS_DepExp_2012'!L22-J22), 0, +I22+'App.2-CC_MIFRS_DepExp_2012'!L22-J22)</f>
        <v>785.37333333333174</v>
      </c>
      <c r="M22" s="1538">
        <f t="shared" si="3"/>
        <v>-50.526666666668234</v>
      </c>
    </row>
    <row r="23" spans="1:13" x14ac:dyDescent="0.2">
      <c r="A23" s="782">
        <v>1825</v>
      </c>
      <c r="B23" s="787" t="s">
        <v>386</v>
      </c>
      <c r="C23" s="204"/>
      <c r="D23" s="282"/>
      <c r="E23" s="226">
        <f t="shared" si="0"/>
        <v>0</v>
      </c>
      <c r="F23" s="796">
        <f>IF(D23=0,+'App.2-CC_MIFRS_DepExp_2012'!L23,+'App.2-CC_MIFRS_DepExp_2012'!L23+((C23*0.5)/D23))</f>
        <v>0</v>
      </c>
      <c r="G23" s="204"/>
      <c r="H23" s="796">
        <f t="shared" si="1"/>
        <v>0</v>
      </c>
      <c r="I23" s="796">
        <f t="shared" si="2"/>
        <v>0</v>
      </c>
      <c r="J23" s="204"/>
      <c r="K23" s="796">
        <f>IF(ISERROR(+I23+'App.2-CC_MIFRS_DepExp_2012'!L23-J23), 0, +I23+'App.2-CC_MIFRS_DepExp_2012'!L23-J23)</f>
        <v>0</v>
      </c>
      <c r="M23" s="1538">
        <f t="shared" si="3"/>
        <v>0</v>
      </c>
    </row>
    <row r="24" spans="1:13" x14ac:dyDescent="0.2">
      <c r="A24" s="782">
        <v>1830</v>
      </c>
      <c r="B24" s="787" t="s">
        <v>387</v>
      </c>
      <c r="C24" s="204">
        <v>337027</v>
      </c>
      <c r="D24" s="282">
        <v>45</v>
      </c>
      <c r="E24" s="226">
        <f t="shared" si="0"/>
        <v>2.2222222222222223E-2</v>
      </c>
      <c r="F24" s="796">
        <f>IF(D24=0,+'App.2-CC_MIFRS_DepExp_2012'!L24,+'App.2-CC_MIFRS_DepExp_2012'!L24+((C24*0.5)/D24))</f>
        <v>131802.23801709406</v>
      </c>
      <c r="G24" s="204">
        <v>134549.35999999999</v>
      </c>
      <c r="H24" s="796">
        <f t="shared" si="1"/>
        <v>-2747.1219829059264</v>
      </c>
      <c r="I24" s="796">
        <f t="shared" si="2"/>
        <v>7489.4888888888891</v>
      </c>
      <c r="J24" s="204"/>
      <c r="K24" s="796">
        <f>IF(ISERROR(+I24+'App.2-CC_MIFRS_DepExp_2012'!L24-J24), 0, +I24+'App.2-CC_MIFRS_DepExp_2012'!L24-J24)</f>
        <v>135546.98246153849</v>
      </c>
      <c r="M24" s="1538">
        <f t="shared" si="3"/>
        <v>997.62246153849992</v>
      </c>
    </row>
    <row r="25" spans="1:13" x14ac:dyDescent="0.2">
      <c r="A25" s="782">
        <v>1835</v>
      </c>
      <c r="B25" s="787" t="s">
        <v>307</v>
      </c>
      <c r="C25" s="204">
        <v>276757</v>
      </c>
      <c r="D25" s="282">
        <v>60</v>
      </c>
      <c r="E25" s="226">
        <f t="shared" si="0"/>
        <v>1.6666666666666666E-2</v>
      </c>
      <c r="F25" s="796">
        <f>IF(D25=0,+'App.2-CC_MIFRS_DepExp_2012'!L25,+'App.2-CC_MIFRS_DepExp_2012'!L25+((C25*0.5)/D25))</f>
        <v>77025.473666666658</v>
      </c>
      <c r="G25" s="204">
        <v>77450.36</v>
      </c>
      <c r="H25" s="796">
        <f t="shared" si="1"/>
        <v>-424.88633333334292</v>
      </c>
      <c r="I25" s="796">
        <f t="shared" si="2"/>
        <v>4612.6166666666668</v>
      </c>
      <c r="J25" s="204"/>
      <c r="K25" s="796">
        <f>IF(ISERROR(+I25+'App.2-CC_MIFRS_DepExp_2012'!L25-J25), 0, +I25+'App.2-CC_MIFRS_DepExp_2012'!L25-J25)</f>
        <v>79331.781999999992</v>
      </c>
      <c r="M25" s="1538">
        <f t="shared" si="3"/>
        <v>1881.4219999999914</v>
      </c>
    </row>
    <row r="26" spans="1:13" x14ac:dyDescent="0.2">
      <c r="A26" s="782">
        <v>1840</v>
      </c>
      <c r="B26" s="787" t="s">
        <v>308</v>
      </c>
      <c r="C26" s="204">
        <v>338922</v>
      </c>
      <c r="D26" s="282">
        <v>40</v>
      </c>
      <c r="E26" s="226">
        <f t="shared" si="0"/>
        <v>2.5000000000000001E-2</v>
      </c>
      <c r="F26" s="796">
        <f>IF(D26=0,+'App.2-CC_MIFRS_DepExp_2012'!L26,+'App.2-CC_MIFRS_DepExp_2012'!L26+((C26*0.5)/D26))</f>
        <v>92860.622775862066</v>
      </c>
      <c r="G26" s="204">
        <v>99510.69</v>
      </c>
      <c r="H26" s="796">
        <f t="shared" si="1"/>
        <v>-6650.0672241379361</v>
      </c>
      <c r="I26" s="796">
        <f t="shared" si="2"/>
        <v>8473.0499999999993</v>
      </c>
      <c r="J26" s="204"/>
      <c r="K26" s="796">
        <f>IF(ISERROR(+I26+'App.2-CC_MIFRS_DepExp_2012'!L26-J26), 0, +I26+'App.2-CC_MIFRS_DepExp_2012'!L26-J26)</f>
        <v>97097.147775862075</v>
      </c>
      <c r="M26" s="1538">
        <f t="shared" si="3"/>
        <v>-2413.5422241379274</v>
      </c>
    </row>
    <row r="27" spans="1:13" x14ac:dyDescent="0.2">
      <c r="A27" s="782">
        <v>1845</v>
      </c>
      <c r="B27" s="787" t="s">
        <v>309</v>
      </c>
      <c r="C27" s="204">
        <v>291948</v>
      </c>
      <c r="D27" s="282">
        <v>40</v>
      </c>
      <c r="E27" s="226">
        <f t="shared" si="0"/>
        <v>2.5000000000000001E-2</v>
      </c>
      <c r="F27" s="796">
        <f>IF(D27=0,+'App.2-CC_MIFRS_DepExp_2012'!L27,+'App.2-CC_MIFRS_DepExp_2012'!L27+((C27*0.5)/D27))</f>
        <v>144050.24911111113</v>
      </c>
      <c r="G27" s="204">
        <v>156998.07999999999</v>
      </c>
      <c r="H27" s="796">
        <f t="shared" si="1"/>
        <v>-12947.830888888857</v>
      </c>
      <c r="I27" s="796">
        <f t="shared" si="2"/>
        <v>7298.7</v>
      </c>
      <c r="J27" s="204"/>
      <c r="K27" s="796">
        <f>IF(ISERROR(+I27+'App.2-CC_MIFRS_DepExp_2012'!L27-J27), 0, +I27+'App.2-CC_MIFRS_DepExp_2012'!L27-J27)</f>
        <v>147699.59911111114</v>
      </c>
      <c r="M27" s="1538">
        <f t="shared" si="3"/>
        <v>-9298.480888888851</v>
      </c>
    </row>
    <row r="28" spans="1:13" x14ac:dyDescent="0.2">
      <c r="A28" s="782">
        <v>1850</v>
      </c>
      <c r="B28" s="787" t="s">
        <v>388</v>
      </c>
      <c r="C28" s="204">
        <v>397485</v>
      </c>
      <c r="D28" s="282">
        <v>40</v>
      </c>
      <c r="E28" s="226">
        <f t="shared" si="0"/>
        <v>2.5000000000000001E-2</v>
      </c>
      <c r="F28" s="796">
        <f>IF(D28=0,+'App.2-CC_MIFRS_DepExp_2012'!L28,+'App.2-CC_MIFRS_DepExp_2012'!L28+((C28*0.5)/D28))</f>
        <v>164115.20983333336</v>
      </c>
      <c r="G28" s="204">
        <v>167731.10999999999</v>
      </c>
      <c r="H28" s="796">
        <f t="shared" si="1"/>
        <v>-3615.90016666663</v>
      </c>
      <c r="I28" s="796">
        <f t="shared" si="2"/>
        <v>9937.125</v>
      </c>
      <c r="J28" s="204"/>
      <c r="K28" s="796">
        <f>IF(ISERROR(+I28+'App.2-CC_MIFRS_DepExp_2012'!L28-J28), 0, +I28+'App.2-CC_MIFRS_DepExp_2012'!L28-J28)</f>
        <v>169083.77233333336</v>
      </c>
      <c r="M28" s="1538">
        <f t="shared" si="3"/>
        <v>1352.66233333337</v>
      </c>
    </row>
    <row r="29" spans="1:13" x14ac:dyDescent="0.2">
      <c r="A29" s="782">
        <v>1855</v>
      </c>
      <c r="B29" s="787" t="s">
        <v>310</v>
      </c>
      <c r="C29" s="204">
        <v>144843</v>
      </c>
      <c r="D29" s="282">
        <v>40</v>
      </c>
      <c r="E29" s="226">
        <f t="shared" si="0"/>
        <v>2.5000000000000001E-2</v>
      </c>
      <c r="F29" s="796">
        <f>IF(D29=0,+'App.2-CC_MIFRS_DepExp_2012'!L29,+'App.2-CC_MIFRS_DepExp_2012'!L29+((C29*0.5)/D29))</f>
        <v>93830.515558823521</v>
      </c>
      <c r="G29" s="204">
        <v>95211.9</v>
      </c>
      <c r="H29" s="796">
        <f t="shared" si="1"/>
        <v>-1381.384441176473</v>
      </c>
      <c r="I29" s="796">
        <f t="shared" si="2"/>
        <v>3621.0749999999998</v>
      </c>
      <c r="J29" s="204"/>
      <c r="K29" s="796">
        <f>IF(ISERROR(+I29+'App.2-CC_MIFRS_DepExp_2012'!L29-J29), 0, +I29+'App.2-CC_MIFRS_DepExp_2012'!L29-J29)</f>
        <v>95641.053058823512</v>
      </c>
      <c r="M29" s="1538">
        <f t="shared" si="3"/>
        <v>429.15305882351822</v>
      </c>
    </row>
    <row r="30" spans="1:13" x14ac:dyDescent="0.2">
      <c r="A30" s="782">
        <v>1860</v>
      </c>
      <c r="B30" s="787" t="s">
        <v>389</v>
      </c>
      <c r="C30" s="204"/>
      <c r="D30" s="282">
        <v>15</v>
      </c>
      <c r="E30" s="226">
        <f t="shared" si="0"/>
        <v>6.6666666666666666E-2</v>
      </c>
      <c r="F30" s="796">
        <f>IF(D30=0,+'App.2-CC_MIFRS_DepExp_2012'!L30,+'App.2-CC_MIFRS_DepExp_2012'!L30+((C30*0.5)/D30))</f>
        <v>72097.508102564097</v>
      </c>
      <c r="G30" s="204">
        <v>71894.679999999993</v>
      </c>
      <c r="H30" s="796">
        <f t="shared" si="1"/>
        <v>202.82810256410448</v>
      </c>
      <c r="I30" s="796">
        <f t="shared" si="2"/>
        <v>0</v>
      </c>
      <c r="J30" s="204"/>
      <c r="K30" s="796">
        <f>IF(ISERROR(+I30+'App.2-CC_MIFRS_DepExp_2012'!L30-J30), 0, +I30+'App.2-CC_MIFRS_DepExp_2012'!L30-J30)</f>
        <v>72097.508102564097</v>
      </c>
      <c r="M30" s="1538">
        <f t="shared" si="3"/>
        <v>202.82810256410448</v>
      </c>
    </row>
    <row r="31" spans="1:13" x14ac:dyDescent="0.2">
      <c r="A31" s="785">
        <v>1860</v>
      </c>
      <c r="B31" s="786" t="s">
        <v>311</v>
      </c>
      <c r="C31" s="204">
        <v>13018</v>
      </c>
      <c r="D31" s="282">
        <v>15</v>
      </c>
      <c r="E31" s="226">
        <f t="shared" si="0"/>
        <v>6.6666666666666666E-2</v>
      </c>
      <c r="F31" s="796">
        <f>IF(D31=0,+'App.2-CC_MIFRS_DepExp_2012'!L31,+'App.2-CC_MIFRS_DepExp_2012'!L31+((C31*0.5)/D31))</f>
        <v>210256.86333333331</v>
      </c>
      <c r="G31" s="204">
        <v>210690.79</v>
      </c>
      <c r="H31" s="796">
        <f t="shared" si="1"/>
        <v>-433.92666666669538</v>
      </c>
      <c r="I31" s="796">
        <f t="shared" si="2"/>
        <v>867.86666666666667</v>
      </c>
      <c r="J31" s="204"/>
      <c r="K31" s="796">
        <f>IF(ISERROR(+I31+'App.2-CC_MIFRS_DepExp_2012'!L31-J31), 0, +I31+'App.2-CC_MIFRS_DepExp_2012'!L31-J31)</f>
        <v>210690.79666666666</v>
      </c>
      <c r="M31" s="1538">
        <f t="shared" si="3"/>
        <v>6.6666666534729302E-3</v>
      </c>
    </row>
    <row r="32" spans="1:13" x14ac:dyDescent="0.2">
      <c r="A32" s="785">
        <v>1905</v>
      </c>
      <c r="B32" s="786" t="s">
        <v>383</v>
      </c>
      <c r="C32" s="204"/>
      <c r="D32" s="282"/>
      <c r="E32" s="226">
        <f t="shared" si="0"/>
        <v>0</v>
      </c>
      <c r="F32" s="796">
        <f>IF(D32=0,+'App.2-CC_MIFRS_DepExp_2012'!L32,+'App.2-CC_MIFRS_DepExp_2012'!L32+((C32*0.5)/D32))</f>
        <v>0</v>
      </c>
      <c r="G32" s="204"/>
      <c r="H32" s="796">
        <f t="shared" si="1"/>
        <v>0</v>
      </c>
      <c r="I32" s="796">
        <f t="shared" si="2"/>
        <v>0</v>
      </c>
      <c r="J32" s="204"/>
      <c r="K32" s="796">
        <f>IF(ISERROR(+I32+'App.2-CC_MIFRS_DepExp_2012'!L32-J32), 0, +I32+'App.2-CC_MIFRS_DepExp_2012'!L32-J32)</f>
        <v>0</v>
      </c>
      <c r="M32" s="1538">
        <f t="shared" si="3"/>
        <v>0</v>
      </c>
    </row>
    <row r="33" spans="1:13" x14ac:dyDescent="0.2">
      <c r="A33" s="782">
        <v>1908</v>
      </c>
      <c r="B33" s="787" t="s">
        <v>391</v>
      </c>
      <c r="C33" s="204">
        <v>100000</v>
      </c>
      <c r="D33" s="282">
        <v>60</v>
      </c>
      <c r="E33" s="226">
        <f t="shared" si="0"/>
        <v>1.6666666666666666E-2</v>
      </c>
      <c r="F33" s="796">
        <f>IF(D33=0,+'App.2-CC_MIFRS_DepExp_2012'!L33,+'App.2-CC_MIFRS_DepExp_2012'!L33+((C33*0.5)/D33))</f>
        <v>35926.98827131783</v>
      </c>
      <c r="G33" s="204">
        <v>39492.93</v>
      </c>
      <c r="H33" s="796">
        <f t="shared" si="1"/>
        <v>-3565.9417286821699</v>
      </c>
      <c r="I33" s="796">
        <f t="shared" si="2"/>
        <v>1666.6666666666667</v>
      </c>
      <c r="J33" s="204"/>
      <c r="K33" s="796">
        <f>IF(ISERROR(+I33+'App.2-CC_MIFRS_DepExp_2012'!L33-J33), 0, +I33+'App.2-CC_MIFRS_DepExp_2012'!L33-J33)</f>
        <v>36760.321604651159</v>
      </c>
      <c r="M33" s="1538">
        <f t="shared" si="3"/>
        <v>-2732.6083953488414</v>
      </c>
    </row>
    <row r="34" spans="1:13" x14ac:dyDescent="0.2">
      <c r="A34" s="782">
        <v>1910</v>
      </c>
      <c r="B34" s="787" t="s">
        <v>417</v>
      </c>
      <c r="C34" s="204"/>
      <c r="D34" s="282"/>
      <c r="E34" s="226">
        <f t="shared" si="0"/>
        <v>0</v>
      </c>
      <c r="F34" s="796">
        <f>IF(D34=0,+'App.2-CC_MIFRS_DepExp_2012'!L34,+'App.2-CC_MIFRS_DepExp_2012'!L34+((C34*0.5)/D34))</f>
        <v>0</v>
      </c>
      <c r="G34" s="204"/>
      <c r="H34" s="796">
        <f t="shared" si="1"/>
        <v>0</v>
      </c>
      <c r="I34" s="796">
        <f t="shared" si="2"/>
        <v>0</v>
      </c>
      <c r="J34" s="204"/>
      <c r="K34" s="796">
        <f>IF(ISERROR(+I34+'App.2-CC_MIFRS_DepExp_2012'!L34-J34), 0, +I34+'App.2-CC_MIFRS_DepExp_2012'!L34-J34)</f>
        <v>0</v>
      </c>
      <c r="M34" s="1538">
        <f t="shared" si="3"/>
        <v>0</v>
      </c>
    </row>
    <row r="35" spans="1:13" x14ac:dyDescent="0.2">
      <c r="A35" s="782">
        <v>1915</v>
      </c>
      <c r="B35" s="787" t="s">
        <v>312</v>
      </c>
      <c r="C35" s="204">
        <v>70000</v>
      </c>
      <c r="D35" s="282">
        <v>10</v>
      </c>
      <c r="E35" s="226">
        <f t="shared" si="0"/>
        <v>0.1</v>
      </c>
      <c r="F35" s="796">
        <f>IF(D35=0,+'App.2-CC_MIFRS_DepExp_2012'!L35,+'App.2-CC_MIFRS_DepExp_2012'!L35+((C35*0.5)/D35))</f>
        <v>10693.687</v>
      </c>
      <c r="G35" s="204">
        <v>14193.64</v>
      </c>
      <c r="H35" s="796">
        <f t="shared" si="1"/>
        <v>-3499.9529999999995</v>
      </c>
      <c r="I35" s="796">
        <f t="shared" si="2"/>
        <v>7000</v>
      </c>
      <c r="J35" s="204"/>
      <c r="K35" s="796">
        <f>IF(ISERROR(+I35+'App.2-CC_MIFRS_DepExp_2012'!L35-J35), 0, +I35+'App.2-CC_MIFRS_DepExp_2012'!L35-J35)</f>
        <v>14193.687</v>
      </c>
      <c r="M35" s="1538">
        <f t="shared" si="3"/>
        <v>4.7000000000480213E-2</v>
      </c>
    </row>
    <row r="36" spans="1:13" x14ac:dyDescent="0.2">
      <c r="A36" s="782">
        <v>1915</v>
      </c>
      <c r="B36" s="787" t="s">
        <v>313</v>
      </c>
      <c r="C36" s="204"/>
      <c r="D36" s="282"/>
      <c r="E36" s="226">
        <f t="shared" si="0"/>
        <v>0</v>
      </c>
      <c r="F36" s="796">
        <f>IF(D36=0,+'App.2-CC_MIFRS_DepExp_2012'!L36,+'App.2-CC_MIFRS_DepExp_2012'!L36+((C36*0.5)/D36))</f>
        <v>0</v>
      </c>
      <c r="G36" s="204"/>
      <c r="H36" s="796">
        <f t="shared" si="1"/>
        <v>0</v>
      </c>
      <c r="I36" s="796">
        <f t="shared" si="2"/>
        <v>0</v>
      </c>
      <c r="J36" s="204"/>
      <c r="K36" s="796">
        <f>IF(ISERROR(+I36+'App.2-CC_MIFRS_DepExp_2012'!L36-J36), 0, +I36+'App.2-CC_MIFRS_DepExp_2012'!L36-J36)</f>
        <v>0</v>
      </c>
      <c r="M36" s="1538">
        <f t="shared" si="3"/>
        <v>0</v>
      </c>
    </row>
    <row r="37" spans="1:13" x14ac:dyDescent="0.2">
      <c r="A37" s="782">
        <v>1920</v>
      </c>
      <c r="B37" s="787" t="s">
        <v>314</v>
      </c>
      <c r="C37" s="204"/>
      <c r="D37" s="282"/>
      <c r="E37" s="226">
        <f t="shared" si="0"/>
        <v>0</v>
      </c>
      <c r="F37" s="796">
        <f>IF(D37=0,+'App.2-CC_MIFRS_DepExp_2012'!L37,+'App.2-CC_MIFRS_DepExp_2012'!L37+((C37*0.5)/D37))</f>
        <v>0</v>
      </c>
      <c r="G37" s="204"/>
      <c r="H37" s="796">
        <f t="shared" si="1"/>
        <v>0</v>
      </c>
      <c r="I37" s="796">
        <f t="shared" si="2"/>
        <v>0</v>
      </c>
      <c r="J37" s="204"/>
      <c r="K37" s="796">
        <f>IF(ISERROR(+I37+'App.2-CC_MIFRS_DepExp_2012'!L37-J37), 0, +I37+'App.2-CC_MIFRS_DepExp_2012'!L37-J37)</f>
        <v>0</v>
      </c>
      <c r="M37" s="1538">
        <f t="shared" si="3"/>
        <v>0</v>
      </c>
    </row>
    <row r="38" spans="1:13" x14ac:dyDescent="0.2">
      <c r="A38" s="788">
        <v>1920</v>
      </c>
      <c r="B38" s="783" t="s">
        <v>316</v>
      </c>
      <c r="C38" s="204">
        <v>19500</v>
      </c>
      <c r="D38" s="282">
        <v>5</v>
      </c>
      <c r="E38" s="226">
        <f t="shared" si="0"/>
        <v>0.2</v>
      </c>
      <c r="F38" s="796">
        <f>IF(D38=0,+'App.2-CC_MIFRS_DepExp_2012'!L38,+'App.2-CC_MIFRS_DepExp_2012'!L38+((C38*0.5)/D38))</f>
        <v>62461.360000000008</v>
      </c>
      <c r="G38" s="204">
        <v>64411</v>
      </c>
      <c r="H38" s="796">
        <f t="shared" si="1"/>
        <v>-1949.6399999999921</v>
      </c>
      <c r="I38" s="796">
        <f t="shared" si="2"/>
        <v>3900</v>
      </c>
      <c r="J38" s="204"/>
      <c r="K38" s="796">
        <f>IF(ISERROR(+I38+'App.2-CC_MIFRS_DepExp_2012'!L38-J38), 0, +I38+'App.2-CC_MIFRS_DepExp_2012'!L38-J38)</f>
        <v>64411.360000000008</v>
      </c>
      <c r="M38" s="1538">
        <f t="shared" si="3"/>
        <v>0.36000000000785803</v>
      </c>
    </row>
    <row r="39" spans="1:13" x14ac:dyDescent="0.2">
      <c r="A39" s="788">
        <v>1920</v>
      </c>
      <c r="B39" s="783" t="s">
        <v>315</v>
      </c>
      <c r="C39" s="204"/>
      <c r="D39" s="282"/>
      <c r="E39" s="226">
        <f t="shared" si="0"/>
        <v>0</v>
      </c>
      <c r="F39" s="796">
        <f>IF(D39=0,+'App.2-CC_MIFRS_DepExp_2012'!L39,+'App.2-CC_MIFRS_DepExp_2012'!L39+((C39*0.5)/D39))</f>
        <v>0</v>
      </c>
      <c r="G39" s="204"/>
      <c r="H39" s="796">
        <f t="shared" si="1"/>
        <v>0</v>
      </c>
      <c r="I39" s="796">
        <f t="shared" si="2"/>
        <v>0</v>
      </c>
      <c r="J39" s="204"/>
      <c r="K39" s="796">
        <f>IF(ISERROR(+I39+'App.2-CC_MIFRS_DepExp_2012'!L39-J39), 0, +I39+'App.2-CC_MIFRS_DepExp_2012'!L39-J39)</f>
        <v>0</v>
      </c>
      <c r="M39" s="1538">
        <f t="shared" si="3"/>
        <v>0</v>
      </c>
    </row>
    <row r="40" spans="1:13" x14ac:dyDescent="0.2">
      <c r="A40" s="782">
        <v>1930</v>
      </c>
      <c r="B40" s="787" t="s">
        <v>404</v>
      </c>
      <c r="C40" s="204">
        <v>352792.06</v>
      </c>
      <c r="D40" s="282">
        <v>15</v>
      </c>
      <c r="E40" s="226">
        <f t="shared" si="0"/>
        <v>6.6666666666666666E-2</v>
      </c>
      <c r="F40" s="796">
        <f>IF(D40=0,+'App.2-CC_MIFRS_DepExp_2012'!L40,+'App.2-CC_MIFRS_DepExp_2012'!L40+((C40*0.5)/D40))</f>
        <v>93632.634000000005</v>
      </c>
      <c r="G40" s="204">
        <v>94676.61</v>
      </c>
      <c r="H40" s="796">
        <f t="shared" si="1"/>
        <v>-1043.9759999999951</v>
      </c>
      <c r="I40" s="796">
        <f t="shared" si="2"/>
        <v>23519.470666666668</v>
      </c>
      <c r="J40" s="204"/>
      <c r="K40" s="796">
        <f>IF(ISERROR(+I40+'App.2-CC_MIFRS_DepExp_2012'!L40-J40), 0, +I40+'App.2-CC_MIFRS_DepExp_2012'!L40-J40)</f>
        <v>105392.36933333334</v>
      </c>
      <c r="M40" s="1538">
        <f t="shared" si="3"/>
        <v>10715.759333333335</v>
      </c>
    </row>
    <row r="41" spans="1:13" x14ac:dyDescent="0.2">
      <c r="A41" s="782">
        <v>1935</v>
      </c>
      <c r="B41" s="787" t="s">
        <v>405</v>
      </c>
      <c r="C41" s="204"/>
      <c r="D41" s="282"/>
      <c r="E41" s="226">
        <f t="shared" si="0"/>
        <v>0</v>
      </c>
      <c r="F41" s="796">
        <f>IF(D41=0,+'App.2-CC_MIFRS_DepExp_2012'!L41,+'App.2-CC_MIFRS_DepExp_2012'!L41+((C41*0.5)/D41))</f>
        <v>0</v>
      </c>
      <c r="G41" s="204"/>
      <c r="H41" s="796">
        <f t="shared" si="1"/>
        <v>0</v>
      </c>
      <c r="I41" s="796">
        <f t="shared" si="2"/>
        <v>0</v>
      </c>
      <c r="J41" s="204"/>
      <c r="K41" s="796">
        <f>IF(ISERROR(+I41+'App.2-CC_MIFRS_DepExp_2012'!L41-J41), 0, +I41+'App.2-CC_MIFRS_DepExp_2012'!L41-J41)</f>
        <v>0</v>
      </c>
      <c r="M41" s="1538">
        <f t="shared" si="3"/>
        <v>0</v>
      </c>
    </row>
    <row r="42" spans="1:13" x14ac:dyDescent="0.2">
      <c r="A42" s="782">
        <v>1940</v>
      </c>
      <c r="B42" s="787" t="s">
        <v>406</v>
      </c>
      <c r="C42" s="204">
        <v>28000</v>
      </c>
      <c r="D42" s="282">
        <v>10</v>
      </c>
      <c r="E42" s="226">
        <f t="shared" si="0"/>
        <v>0.1</v>
      </c>
      <c r="F42" s="796">
        <f>IF(D42=0,+'App.2-CC_MIFRS_DepExp_2012'!L42,+'App.2-CC_MIFRS_DepExp_2012'!L42+((C42*0.5)/D42))</f>
        <v>41412.729999999996</v>
      </c>
      <c r="G42" s="204">
        <v>42812.73</v>
      </c>
      <c r="H42" s="796">
        <f t="shared" si="1"/>
        <v>-1400.0000000000073</v>
      </c>
      <c r="I42" s="796">
        <f t="shared" si="2"/>
        <v>2800</v>
      </c>
      <c r="J42" s="204"/>
      <c r="K42" s="796">
        <f>IF(ISERROR(+I42+'App.2-CC_MIFRS_DepExp_2012'!L42-J42), 0, +I42+'App.2-CC_MIFRS_DepExp_2012'!L42-J42)</f>
        <v>42812.729999999996</v>
      </c>
      <c r="M42" s="1538">
        <f t="shared" si="3"/>
        <v>0</v>
      </c>
    </row>
    <row r="43" spans="1:13" x14ac:dyDescent="0.2">
      <c r="A43" s="782">
        <v>1945</v>
      </c>
      <c r="B43" s="787" t="s">
        <v>407</v>
      </c>
      <c r="C43" s="204"/>
      <c r="D43" s="282"/>
      <c r="E43" s="226">
        <f t="shared" si="0"/>
        <v>0</v>
      </c>
      <c r="F43" s="796">
        <f>IF(D43=0,+'App.2-CC_MIFRS_DepExp_2012'!L43,+'App.2-CC_MIFRS_DepExp_2012'!L43+((C43*0.5)/D43))</f>
        <v>0</v>
      </c>
      <c r="G43" s="204"/>
      <c r="H43" s="796">
        <f t="shared" si="1"/>
        <v>0</v>
      </c>
      <c r="I43" s="796">
        <f t="shared" si="2"/>
        <v>0</v>
      </c>
      <c r="J43" s="204"/>
      <c r="K43" s="796">
        <f>IF(ISERROR(+I43+'App.2-CC_MIFRS_DepExp_2012'!L43-J43), 0, +I43+'App.2-CC_MIFRS_DepExp_2012'!L43-J43)</f>
        <v>0</v>
      </c>
      <c r="M43" s="1538">
        <f t="shared" si="3"/>
        <v>0</v>
      </c>
    </row>
    <row r="44" spans="1:13" x14ac:dyDescent="0.2">
      <c r="A44" s="782">
        <v>1950</v>
      </c>
      <c r="B44" s="787" t="s">
        <v>317</v>
      </c>
      <c r="C44" s="204"/>
      <c r="D44" s="282"/>
      <c r="E44" s="226">
        <f t="shared" si="0"/>
        <v>0</v>
      </c>
      <c r="F44" s="796">
        <f>IF(D44=0,+'App.2-CC_MIFRS_DepExp_2012'!L44,+'App.2-CC_MIFRS_DepExp_2012'!L44+((C44*0.5)/D44))</f>
        <v>0</v>
      </c>
      <c r="G44" s="204"/>
      <c r="H44" s="796">
        <f t="shared" si="1"/>
        <v>0</v>
      </c>
      <c r="I44" s="796">
        <f t="shared" si="2"/>
        <v>0</v>
      </c>
      <c r="J44" s="204"/>
      <c r="K44" s="796">
        <f>IF(ISERROR(+I44+'App.2-CC_MIFRS_DepExp_2012'!L44-J44), 0, +I44+'App.2-CC_MIFRS_DepExp_2012'!L44-J44)</f>
        <v>0</v>
      </c>
      <c r="M44" s="1538">
        <f t="shared" si="3"/>
        <v>0</v>
      </c>
    </row>
    <row r="45" spans="1:13" x14ac:dyDescent="0.2">
      <c r="A45" s="782">
        <v>1955</v>
      </c>
      <c r="B45" s="787" t="s">
        <v>408</v>
      </c>
      <c r="C45" s="204">
        <v>0</v>
      </c>
      <c r="D45" s="282">
        <v>5</v>
      </c>
      <c r="E45" s="226">
        <f t="shared" si="0"/>
        <v>0.2</v>
      </c>
      <c r="F45" s="796">
        <f>IF(D45=0,+'App.2-CC_MIFRS_DepExp_2012'!L45,+'App.2-CC_MIFRS_DepExp_2012'!L45+((C45*0.5)/D45))</f>
        <v>831.05133333333333</v>
      </c>
      <c r="G45" s="204">
        <v>2493.15</v>
      </c>
      <c r="H45" s="796">
        <f t="shared" si="1"/>
        <v>-1662.0986666666668</v>
      </c>
      <c r="I45" s="796">
        <f t="shared" si="2"/>
        <v>0</v>
      </c>
      <c r="J45" s="204"/>
      <c r="K45" s="796">
        <f>IF(ISERROR(+I45+'App.2-CC_MIFRS_DepExp_2012'!L45-J45), 0, +I45+'App.2-CC_MIFRS_DepExp_2012'!L45-J45)</f>
        <v>831.05133333333333</v>
      </c>
      <c r="M45" s="1538">
        <f t="shared" si="3"/>
        <v>-1662.0986666666668</v>
      </c>
    </row>
    <row r="46" spans="1:13" x14ac:dyDescent="0.2">
      <c r="A46" s="789">
        <v>1955</v>
      </c>
      <c r="B46" s="790" t="s">
        <v>318</v>
      </c>
      <c r="C46" s="204"/>
      <c r="D46" s="282"/>
      <c r="E46" s="226">
        <f t="shared" si="0"/>
        <v>0</v>
      </c>
      <c r="F46" s="796">
        <f>IF(D46=0,+'App.2-CC_MIFRS_DepExp_2012'!L46,+'App.2-CC_MIFRS_DepExp_2012'!L46+((C46*0.5)/D46))</f>
        <v>0</v>
      </c>
      <c r="G46" s="204"/>
      <c r="H46" s="796">
        <f t="shared" si="1"/>
        <v>0</v>
      </c>
      <c r="I46" s="796">
        <f t="shared" si="2"/>
        <v>0</v>
      </c>
      <c r="J46" s="204"/>
      <c r="K46" s="796">
        <f>IF(ISERROR(+I46+'App.2-CC_MIFRS_DepExp_2012'!L46-J46), 0, +I46+'App.2-CC_MIFRS_DepExp_2012'!L46-J46)</f>
        <v>0</v>
      </c>
      <c r="M46" s="1538">
        <f t="shared" si="3"/>
        <v>0</v>
      </c>
    </row>
    <row r="47" spans="1:13" x14ac:dyDescent="0.2">
      <c r="A47" s="788">
        <v>1960</v>
      </c>
      <c r="B47" s="783" t="s">
        <v>319</v>
      </c>
      <c r="C47" s="204">
        <v>0</v>
      </c>
      <c r="D47" s="282">
        <v>10</v>
      </c>
      <c r="E47" s="226">
        <f t="shared" si="0"/>
        <v>0.1</v>
      </c>
      <c r="F47" s="796">
        <f>IF(D47=0,+'App.2-CC_MIFRS_DepExp_2012'!L47,+'App.2-CC_MIFRS_DepExp_2012'!L47+((C47*0.5)/D47))</f>
        <v>13333.333333333334</v>
      </c>
      <c r="G47" s="204">
        <v>13333.33</v>
      </c>
      <c r="H47" s="796">
        <f t="shared" si="1"/>
        <v>3.3333333340124227E-3</v>
      </c>
      <c r="I47" s="796">
        <f t="shared" si="2"/>
        <v>0</v>
      </c>
      <c r="J47" s="204"/>
      <c r="K47" s="796">
        <f>IF(ISERROR(+I47+'App.2-CC_MIFRS_DepExp_2012'!L47-J47), 0, +I47+'App.2-CC_MIFRS_DepExp_2012'!L47-J47)</f>
        <v>13333.333333333334</v>
      </c>
      <c r="M47" s="1538">
        <f t="shared" si="3"/>
        <v>3.3333333340124227E-3</v>
      </c>
    </row>
    <row r="48" spans="1:13" x14ac:dyDescent="0.2">
      <c r="A48" s="789">
        <v>1970</v>
      </c>
      <c r="B48" s="832" t="s">
        <v>773</v>
      </c>
      <c r="C48" s="204"/>
      <c r="D48" s="282"/>
      <c r="E48" s="226">
        <f t="shared" si="0"/>
        <v>0</v>
      </c>
      <c r="F48" s="796">
        <f>IF(D48=0,+'App.2-CC_MIFRS_DepExp_2012'!L48,+'App.2-CC_MIFRS_DepExp_2012'!L48+((C48*0.5)/D48))</f>
        <v>0</v>
      </c>
      <c r="G48" s="204"/>
      <c r="H48" s="796">
        <f t="shared" si="1"/>
        <v>0</v>
      </c>
      <c r="I48" s="796">
        <f t="shared" si="2"/>
        <v>0</v>
      </c>
      <c r="J48" s="204"/>
      <c r="K48" s="796">
        <f>IF(ISERROR(+I48+'App.2-CC_MIFRS_DepExp_2012'!L48-J48), 0, +I48+'App.2-CC_MIFRS_DepExp_2012'!L48-J48)</f>
        <v>0</v>
      </c>
      <c r="M48" s="1538">
        <f t="shared" si="3"/>
        <v>0</v>
      </c>
    </row>
    <row r="49" spans="1:15" x14ac:dyDescent="0.2">
      <c r="A49" s="782">
        <v>1975</v>
      </c>
      <c r="B49" s="787" t="s">
        <v>409</v>
      </c>
      <c r="C49" s="204"/>
      <c r="D49" s="282"/>
      <c r="E49" s="226">
        <f t="shared" si="0"/>
        <v>0</v>
      </c>
      <c r="F49" s="796">
        <f>IF(D49=0,+'App.2-CC_MIFRS_DepExp_2012'!L49,+'App.2-CC_MIFRS_DepExp_2012'!L49+((C49*0.5)/D49))</f>
        <v>0</v>
      </c>
      <c r="G49" s="204"/>
      <c r="H49" s="796">
        <f t="shared" si="1"/>
        <v>0</v>
      </c>
      <c r="I49" s="796">
        <f t="shared" si="2"/>
        <v>0</v>
      </c>
      <c r="J49" s="204"/>
      <c r="K49" s="796">
        <f>IF(ISERROR(+I49+'App.2-CC_MIFRS_DepExp_2012'!L49-J49), 0, +I49+'App.2-CC_MIFRS_DepExp_2012'!L49-J49)</f>
        <v>0</v>
      </c>
      <c r="M49" s="1538">
        <f t="shared" si="3"/>
        <v>0</v>
      </c>
    </row>
    <row r="50" spans="1:15" x14ac:dyDescent="0.2">
      <c r="A50" s="782">
        <v>1980</v>
      </c>
      <c r="B50" s="787" t="s">
        <v>410</v>
      </c>
      <c r="C50" s="204">
        <v>150000</v>
      </c>
      <c r="D50" s="282">
        <v>15</v>
      </c>
      <c r="E50" s="226">
        <f t="shared" si="0"/>
        <v>6.6666666666666666E-2</v>
      </c>
      <c r="F50" s="796">
        <f>IF(D50=0,+'App.2-CC_MIFRS_DepExp_2012'!L50,+'App.2-CC_MIFRS_DepExp_2012'!L50+((C50*0.5)/D50))</f>
        <v>40773.444666666663</v>
      </c>
      <c r="G50" s="204">
        <v>41094.46</v>
      </c>
      <c r="H50" s="796">
        <f t="shared" si="1"/>
        <v>-321.01533333333646</v>
      </c>
      <c r="I50" s="796">
        <f t="shared" si="2"/>
        <v>10000</v>
      </c>
      <c r="J50" s="204"/>
      <c r="K50" s="796">
        <f>IF(ISERROR(+I50+'App.2-CC_MIFRS_DepExp_2012'!L50-J50), 0, +I50+'App.2-CC_MIFRS_DepExp_2012'!L50-J50)</f>
        <v>45773.444666666663</v>
      </c>
      <c r="M50" s="1538">
        <f t="shared" si="3"/>
        <v>4678.9846666666635</v>
      </c>
    </row>
    <row r="51" spans="1:15" x14ac:dyDescent="0.2">
      <c r="A51" s="782">
        <v>1985</v>
      </c>
      <c r="B51" s="787" t="s">
        <v>411</v>
      </c>
      <c r="C51" s="204"/>
      <c r="D51" s="282"/>
      <c r="E51" s="226">
        <f t="shared" si="0"/>
        <v>0</v>
      </c>
      <c r="F51" s="796">
        <f>IF(D51=0,+'App.2-CC_MIFRS_DepExp_2012'!L51,+'App.2-CC_MIFRS_DepExp_2012'!L51+((C51*0.5)/D51))</f>
        <v>0</v>
      </c>
      <c r="G51" s="204"/>
      <c r="H51" s="796">
        <f t="shared" si="1"/>
        <v>0</v>
      </c>
      <c r="I51" s="796">
        <f t="shared" si="2"/>
        <v>0</v>
      </c>
      <c r="J51" s="204"/>
      <c r="K51" s="796">
        <f>IF(ISERROR(+I51+'App.2-CC_MIFRS_DepExp_2012'!L51-J51), 0, +I51+'App.2-CC_MIFRS_DepExp_2012'!L51-J51)</f>
        <v>0</v>
      </c>
      <c r="M51" s="1538">
        <f t="shared" si="3"/>
        <v>0</v>
      </c>
    </row>
    <row r="52" spans="1:15" x14ac:dyDescent="0.2">
      <c r="A52" s="782">
        <v>1990</v>
      </c>
      <c r="B52" s="791" t="s">
        <v>774</v>
      </c>
      <c r="C52" s="204"/>
      <c r="D52" s="282"/>
      <c r="E52" s="226">
        <f t="shared" si="0"/>
        <v>0</v>
      </c>
      <c r="F52" s="796">
        <f>IF(D52=0,+'App.2-CC_MIFRS_DepExp_2012'!L52,+'App.2-CC_MIFRS_DepExp_2012'!L52+((C52*0.5)/D52))</f>
        <v>0</v>
      </c>
      <c r="G52" s="204"/>
      <c r="H52" s="796">
        <f t="shared" si="1"/>
        <v>0</v>
      </c>
      <c r="I52" s="796">
        <f t="shared" si="2"/>
        <v>0</v>
      </c>
      <c r="J52" s="204"/>
      <c r="K52" s="796">
        <f>IF(ISERROR(+I52+'App.2-CC_MIFRS_DepExp_2012'!L52-J52), 0, +I52+'App.2-CC_MIFRS_DepExp_2012'!L52-J52)</f>
        <v>0</v>
      </c>
      <c r="M52" s="1538">
        <f t="shared" si="3"/>
        <v>0</v>
      </c>
    </row>
    <row r="53" spans="1:15" x14ac:dyDescent="0.2">
      <c r="A53" s="782">
        <v>1995</v>
      </c>
      <c r="B53" s="787" t="s">
        <v>412</v>
      </c>
      <c r="C53" s="204">
        <v>-100000</v>
      </c>
      <c r="D53" s="282">
        <v>40</v>
      </c>
      <c r="E53" s="226">
        <f t="shared" si="0"/>
        <v>2.5000000000000001E-2</v>
      </c>
      <c r="F53" s="796">
        <f>IF(D53=0,+'App.2-CC_MIFRS_DepExp_2012'!L53,+'App.2-CC_MIFRS_DepExp_2012'!L53+((C53*0.5)/D53))</f>
        <v>-122901.44725000001</v>
      </c>
      <c r="G53" s="204">
        <v>-180752.45</v>
      </c>
      <c r="H53" s="796">
        <f t="shared" si="1"/>
        <v>57851.00275</v>
      </c>
      <c r="I53" s="796">
        <f t="shared" si="2"/>
        <v>-2500</v>
      </c>
      <c r="J53" s="204"/>
      <c r="K53" s="796">
        <f>IF(ISERROR(+I53+'App.2-CC_MIFRS_DepExp_2012'!L53-J53), 0, +I53+'App.2-CC_MIFRS_DepExp_2012'!L53-J53)</f>
        <v>-124151.44725000001</v>
      </c>
      <c r="M53" s="1538">
        <f t="shared" si="3"/>
        <v>56601.00275</v>
      </c>
    </row>
    <row r="54" spans="1:15" x14ac:dyDescent="0.2">
      <c r="A54" s="227" t="s">
        <v>13</v>
      </c>
      <c r="B54" s="228"/>
      <c r="C54" s="204"/>
      <c r="D54" s="282"/>
      <c r="E54" s="226">
        <f t="shared" si="0"/>
        <v>0</v>
      </c>
      <c r="F54" s="796">
        <f>IF(D54=0,+'App.2-CC_MIFRS_DepExp_2012'!L54,+'App.2-CC_MIFRS_DepExp_2012'!L54+((C54*0.5)/D54))</f>
        <v>0</v>
      </c>
      <c r="G54" s="204"/>
      <c r="H54" s="796">
        <f t="shared" si="1"/>
        <v>0</v>
      </c>
      <c r="I54" s="796">
        <f t="shared" si="2"/>
        <v>0</v>
      </c>
      <c r="J54" s="204"/>
      <c r="K54" s="796">
        <f>IF(ISERROR(+I54+'App.2-CC_MIFRS_DepExp_2012'!L54-J54), 0, +I54+'App.2-CC_MIFRS_DepExp_2012'!L54-J54)</f>
        <v>0</v>
      </c>
    </row>
    <row r="55" spans="1:15" ht="13.5" thickBot="1" x14ac:dyDescent="0.25">
      <c r="A55" s="287"/>
      <c r="B55" s="288"/>
      <c r="C55" s="204"/>
      <c r="D55" s="289"/>
      <c r="E55" s="590">
        <f t="shared" si="0"/>
        <v>0</v>
      </c>
      <c r="F55" s="796">
        <f>IF(D55=0,+'App.2-CC_MIFRS_DepExp_2012'!L55,+'App.2-CC_MIFRS_DepExp_2012'!L55+((C55*0.5)/D55))</f>
        <v>0</v>
      </c>
      <c r="G55" s="204"/>
      <c r="H55" s="796">
        <f t="shared" si="1"/>
        <v>0</v>
      </c>
      <c r="I55" s="796">
        <f t="shared" si="2"/>
        <v>0</v>
      </c>
      <c r="J55" s="204"/>
      <c r="K55" s="796">
        <f>IF(ISERROR(+I55+'App.2-CC_MIFRS_DepExp_2012'!L55-J55), 0, +I55+'App.2-CC_MIFRS_DepExp_2012'!L55-J55)</f>
        <v>0</v>
      </c>
    </row>
    <row r="56" spans="1:15" ht="14.25" thickTop="1" thickBot="1" x14ac:dyDescent="0.25">
      <c r="A56" s="290"/>
      <c r="B56" s="291" t="s">
        <v>413</v>
      </c>
      <c r="C56" s="796">
        <f>SUM(C16:C55)</f>
        <v>2516792.06</v>
      </c>
      <c r="D56" s="292"/>
      <c r="E56" s="591"/>
      <c r="F56" s="796">
        <f t="shared" ref="F56:M56" si="4">SUM(F16:F55)</f>
        <v>1261222.428197884</v>
      </c>
      <c r="G56" s="796">
        <f t="shared" si="4"/>
        <v>1226861.94</v>
      </c>
      <c r="H56" s="796">
        <f t="shared" si="4"/>
        <v>34360.488197883846</v>
      </c>
      <c r="I56" s="796">
        <f t="shared" si="4"/>
        <v>107986.05955555555</v>
      </c>
      <c r="J56" s="796">
        <f t="shared" si="4"/>
        <v>0</v>
      </c>
      <c r="K56" s="796">
        <f t="shared" si="4"/>
        <v>1315215.4579756616</v>
      </c>
      <c r="M56" s="796">
        <f t="shared" si="4"/>
        <v>88353.517975661627</v>
      </c>
    </row>
    <row r="57" spans="1:15" ht="17.25" customHeight="1" x14ac:dyDescent="0.2">
      <c r="B57" s="803" t="s">
        <v>778</v>
      </c>
      <c r="C57" s="176"/>
      <c r="D57" s="176"/>
      <c r="E57" s="176"/>
      <c r="F57" s="204">
        <v>0</v>
      </c>
    </row>
    <row r="58" spans="1:15" ht="17.25" customHeight="1" x14ac:dyDescent="0.2">
      <c r="B58" s="803" t="s">
        <v>413</v>
      </c>
      <c r="C58" s="176"/>
      <c r="D58" s="176"/>
      <c r="E58" s="176"/>
      <c r="F58" s="796">
        <f>+F57+F56</f>
        <v>1261222.428197884</v>
      </c>
    </row>
    <row r="59" spans="1:15" x14ac:dyDescent="0.2">
      <c r="A59" s="217" t="s">
        <v>15</v>
      </c>
      <c r="H59" s="236"/>
    </row>
    <row r="60" spans="1:15" ht="27" customHeight="1" x14ac:dyDescent="0.2">
      <c r="A60" s="301">
        <v>1</v>
      </c>
      <c r="B60" s="1857" t="s">
        <v>607</v>
      </c>
      <c r="C60" s="1857"/>
      <c r="D60" s="1857"/>
      <c r="E60" s="1857"/>
      <c r="F60" s="1857"/>
      <c r="G60" s="1857"/>
      <c r="H60" s="1857"/>
      <c r="I60" s="1857"/>
      <c r="J60" s="1857"/>
      <c r="K60" s="1857"/>
    </row>
    <row r="61" spans="1:15" x14ac:dyDescent="0.2">
      <c r="A61" s="301">
        <v>2</v>
      </c>
      <c r="B61" s="1857" t="s">
        <v>1934</v>
      </c>
      <c r="C61" s="1857"/>
      <c r="D61" s="1857"/>
      <c r="E61" s="1857"/>
      <c r="F61" s="1857"/>
      <c r="G61" s="1857"/>
      <c r="H61" s="1857"/>
      <c r="I61" s="1857"/>
      <c r="J61" s="1857"/>
      <c r="K61" s="1857"/>
    </row>
    <row r="62" spans="1:15" ht="27.75" customHeight="1" x14ac:dyDescent="0.2">
      <c r="A62" s="286">
        <v>3</v>
      </c>
      <c r="B62" s="1790" t="s">
        <v>718</v>
      </c>
      <c r="C62" s="1790"/>
      <c r="D62" s="1790"/>
      <c r="E62" s="1790"/>
      <c r="F62" s="1790"/>
      <c r="G62" s="1790"/>
      <c r="H62" s="1790"/>
      <c r="I62" s="1790"/>
      <c r="J62" s="1790"/>
      <c r="K62" s="1790"/>
      <c r="L62" s="673"/>
      <c r="M62" s="673"/>
      <c r="N62" s="673"/>
      <c r="O62" s="673"/>
    </row>
    <row r="63" spans="1:15" x14ac:dyDescent="0.2">
      <c r="A63" s="286"/>
      <c r="B63" s="672"/>
      <c r="C63" s="672"/>
      <c r="D63" s="672"/>
      <c r="E63" s="672"/>
      <c r="F63" s="672"/>
      <c r="G63" s="672"/>
      <c r="H63" s="672"/>
      <c r="I63" s="672"/>
      <c r="J63" s="672"/>
      <c r="K63" s="672"/>
      <c r="L63" s="673"/>
      <c r="M63" s="673"/>
      <c r="N63" s="673"/>
      <c r="O63" s="673"/>
    </row>
    <row r="64" spans="1:15" x14ac:dyDescent="0.2">
      <c r="A64" s="217" t="s">
        <v>325</v>
      </c>
      <c r="B64" s="1869" t="s">
        <v>270</v>
      </c>
      <c r="C64" s="1869"/>
      <c r="D64" s="1869"/>
      <c r="E64" s="1869"/>
      <c r="F64" s="1869"/>
      <c r="G64" s="1869"/>
      <c r="H64" s="1869"/>
      <c r="I64" s="1869"/>
      <c r="J64" s="1869"/>
      <c r="K64" s="1869"/>
    </row>
    <row r="65" spans="2:13" ht="12.75" customHeight="1" x14ac:dyDescent="0.2">
      <c r="B65" s="1869"/>
      <c r="C65" s="1869"/>
      <c r="D65" s="1869"/>
      <c r="E65" s="1869"/>
      <c r="F65" s="1869"/>
      <c r="G65" s="1869"/>
      <c r="H65" s="1869"/>
      <c r="I65" s="1869"/>
      <c r="J65" s="1869"/>
      <c r="K65" s="1869"/>
      <c r="L65" s="675"/>
      <c r="M65" s="675"/>
    </row>
    <row r="66" spans="2:13" x14ac:dyDescent="0.2">
      <c r="L66" s="675"/>
      <c r="M66" s="675"/>
    </row>
    <row r="67" spans="2:13" x14ac:dyDescent="0.2">
      <c r="L67" s="675"/>
      <c r="M67" s="675"/>
    </row>
    <row r="73" spans="2:13" x14ac:dyDescent="0.2">
      <c r="L73" s="677"/>
    </row>
    <row r="74" spans="2:13" x14ac:dyDescent="0.2">
      <c r="E74" s="236"/>
      <c r="F74" s="236"/>
      <c r="G74" s="236"/>
      <c r="H74" s="236"/>
      <c r="I74" s="236"/>
      <c r="J74" s="236"/>
      <c r="K74" s="236"/>
      <c r="L74" s="236"/>
      <c r="M74" s="236"/>
    </row>
    <row r="75" spans="2:13" x14ac:dyDescent="0.2">
      <c r="K75" s="236"/>
      <c r="L75" s="236"/>
      <c r="M75" s="236"/>
    </row>
    <row r="76" spans="2:13" x14ac:dyDescent="0.2">
      <c r="K76" s="236"/>
      <c r="L76" s="236"/>
      <c r="M76" s="236"/>
    </row>
    <row r="77" spans="2:13" x14ac:dyDescent="0.2">
      <c r="K77" s="236"/>
      <c r="L77" s="236"/>
      <c r="M77" s="236"/>
    </row>
    <row r="79" spans="2:13" x14ac:dyDescent="0.2">
      <c r="E79" s="236"/>
    </row>
    <row r="80" spans="2:13" x14ac:dyDescent="0.2">
      <c r="E80" s="236"/>
    </row>
  </sheetData>
  <mergeCells count="11">
    <mergeCell ref="B60:K60"/>
    <mergeCell ref="B61:K61"/>
    <mergeCell ref="B62:K62"/>
    <mergeCell ref="B64:K65"/>
    <mergeCell ref="A9:K9"/>
    <mergeCell ref="A10:K10"/>
    <mergeCell ref="A11:K11"/>
    <mergeCell ref="A14:A15"/>
    <mergeCell ref="B14:B15"/>
    <mergeCell ref="G14:G15"/>
    <mergeCell ref="J14:J15"/>
  </mergeCells>
  <dataValidations count="1">
    <dataValidation allowBlank="1" showInputMessage="1" showErrorMessage="1" promptTitle="Date Format" prompt="E.g:  &quot;August 1, 2011&quot;" sqref="H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H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H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H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H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H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H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H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H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H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H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H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H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H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H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H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dataValidations>
  <printOptions horizontalCentered="1"/>
  <pageMargins left="0.74803149606299213" right="0.74803149606299213" top="0.70866141732283472" bottom="0.39370078740157483" header="0.39370078740157483" footer="0.27559055118110237"/>
  <pageSetup scale="5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M70"/>
  <sheetViews>
    <sheetView showGridLines="0" topLeftCell="A5" zoomScaleNormal="100" workbookViewId="0">
      <selection activeCell="C18" sqref="C18"/>
    </sheetView>
  </sheetViews>
  <sheetFormatPr defaultRowHeight="12.75" x14ac:dyDescent="0.2"/>
  <cols>
    <col min="1" max="1" width="6.28515625" style="216" customWidth="1"/>
    <col min="2" max="2" width="9.140625" style="216"/>
    <col min="3" max="3" width="41.140625" style="216" customWidth="1"/>
    <col min="4" max="4" width="11.28515625" style="216" bestFit="1" customWidth="1"/>
    <col min="5" max="5" width="10.140625" style="216" customWidth="1"/>
    <col min="6" max="6" width="12.28515625" style="216" customWidth="1"/>
    <col min="7" max="7" width="15.7109375" style="216" customWidth="1"/>
    <col min="8" max="8" width="17.7109375" style="216" customWidth="1"/>
    <col min="9" max="9" width="12.7109375" style="216" customWidth="1"/>
    <col min="10" max="10" width="12.85546875" style="216" customWidth="1"/>
    <col min="11" max="11" width="14.42578125" style="216" customWidth="1"/>
    <col min="12" max="256" width="9.140625" style="216"/>
    <col min="257" max="257" width="2.7109375" style="216" customWidth="1"/>
    <col min="258" max="258" width="9.140625" style="216"/>
    <col min="259" max="259" width="40.28515625" style="216" bestFit="1" customWidth="1"/>
    <col min="260" max="260" width="10" style="216" customWidth="1"/>
    <col min="261" max="261" width="10.140625" style="216" customWidth="1"/>
    <col min="262" max="262" width="12.28515625" style="216" customWidth="1"/>
    <col min="263" max="263" width="15.7109375" style="216" customWidth="1"/>
    <col min="264" max="264" width="12.85546875" style="216" customWidth="1"/>
    <col min="265" max="265" width="12.7109375" style="216" customWidth="1"/>
    <col min="266" max="266" width="12.85546875" style="216" customWidth="1"/>
    <col min="267" max="267" width="14.42578125" style="216" customWidth="1"/>
    <col min="268" max="512" width="9.140625" style="216"/>
    <col min="513" max="513" width="2.7109375" style="216" customWidth="1"/>
    <col min="514" max="514" width="9.140625" style="216"/>
    <col min="515" max="515" width="40.28515625" style="216" bestFit="1" customWidth="1"/>
    <col min="516" max="516" width="10" style="216" customWidth="1"/>
    <col min="517" max="517" width="10.140625" style="216" customWidth="1"/>
    <col min="518" max="518" width="12.28515625" style="216" customWidth="1"/>
    <col min="519" max="519" width="15.7109375" style="216" customWidth="1"/>
    <col min="520" max="520" width="12.85546875" style="216" customWidth="1"/>
    <col min="521" max="521" width="12.7109375" style="216" customWidth="1"/>
    <col min="522" max="522" width="12.85546875" style="216" customWidth="1"/>
    <col min="523" max="523" width="14.42578125" style="216" customWidth="1"/>
    <col min="524" max="768" width="9.140625" style="216"/>
    <col min="769" max="769" width="2.7109375" style="216" customWidth="1"/>
    <col min="770" max="770" width="9.140625" style="216"/>
    <col min="771" max="771" width="40.28515625" style="216" bestFit="1" customWidth="1"/>
    <col min="772" max="772" width="10" style="216" customWidth="1"/>
    <col min="773" max="773" width="10.140625" style="216" customWidth="1"/>
    <col min="774" max="774" width="12.28515625" style="216" customWidth="1"/>
    <col min="775" max="775" width="15.7109375" style="216" customWidth="1"/>
    <col min="776" max="776" width="12.85546875" style="216" customWidth="1"/>
    <col min="777" max="777" width="12.7109375" style="216" customWidth="1"/>
    <col min="778" max="778" width="12.85546875" style="216" customWidth="1"/>
    <col min="779" max="779" width="14.42578125" style="216" customWidth="1"/>
    <col min="780" max="1024" width="9.140625" style="216"/>
    <col min="1025" max="1025" width="2.7109375" style="216" customWidth="1"/>
    <col min="1026" max="1026" width="9.140625" style="216"/>
    <col min="1027" max="1027" width="40.28515625" style="216" bestFit="1" customWidth="1"/>
    <col min="1028" max="1028" width="10" style="216" customWidth="1"/>
    <col min="1029" max="1029" width="10.140625" style="216" customWidth="1"/>
    <col min="1030" max="1030" width="12.28515625" style="216" customWidth="1"/>
    <col min="1031" max="1031" width="15.7109375" style="216" customWidth="1"/>
    <col min="1032" max="1032" width="12.85546875" style="216" customWidth="1"/>
    <col min="1033" max="1033" width="12.7109375" style="216" customWidth="1"/>
    <col min="1034" max="1034" width="12.85546875" style="216" customWidth="1"/>
    <col min="1035" max="1035" width="14.42578125" style="216" customWidth="1"/>
    <col min="1036" max="1280" width="9.140625" style="216"/>
    <col min="1281" max="1281" width="2.7109375" style="216" customWidth="1"/>
    <col min="1282" max="1282" width="9.140625" style="216"/>
    <col min="1283" max="1283" width="40.28515625" style="216" bestFit="1" customWidth="1"/>
    <col min="1284" max="1284" width="10" style="216" customWidth="1"/>
    <col min="1285" max="1285" width="10.140625" style="216" customWidth="1"/>
    <col min="1286" max="1286" width="12.28515625" style="216" customWidth="1"/>
    <col min="1287" max="1287" width="15.7109375" style="216" customWidth="1"/>
    <col min="1288" max="1288" width="12.85546875" style="216" customWidth="1"/>
    <col min="1289" max="1289" width="12.7109375" style="216" customWidth="1"/>
    <col min="1290" max="1290" width="12.85546875" style="216" customWidth="1"/>
    <col min="1291" max="1291" width="14.42578125" style="216" customWidth="1"/>
    <col min="1292" max="1536" width="9.140625" style="216"/>
    <col min="1537" max="1537" width="2.7109375" style="216" customWidth="1"/>
    <col min="1538" max="1538" width="9.140625" style="216"/>
    <col min="1539" max="1539" width="40.28515625" style="216" bestFit="1" customWidth="1"/>
    <col min="1540" max="1540" width="10" style="216" customWidth="1"/>
    <col min="1541" max="1541" width="10.140625" style="216" customWidth="1"/>
    <col min="1542" max="1542" width="12.28515625" style="216" customWidth="1"/>
    <col min="1543" max="1543" width="15.7109375" style="216" customWidth="1"/>
    <col min="1544" max="1544" width="12.85546875" style="216" customWidth="1"/>
    <col min="1545" max="1545" width="12.7109375" style="216" customWidth="1"/>
    <col min="1546" max="1546" width="12.85546875" style="216" customWidth="1"/>
    <col min="1547" max="1547" width="14.42578125" style="216" customWidth="1"/>
    <col min="1548" max="1792" width="9.140625" style="216"/>
    <col min="1793" max="1793" width="2.7109375" style="216" customWidth="1"/>
    <col min="1794" max="1794" width="9.140625" style="216"/>
    <col min="1795" max="1795" width="40.28515625" style="216" bestFit="1" customWidth="1"/>
    <col min="1796" max="1796" width="10" style="216" customWidth="1"/>
    <col min="1797" max="1797" width="10.140625" style="216" customWidth="1"/>
    <col min="1798" max="1798" width="12.28515625" style="216" customWidth="1"/>
    <col min="1799" max="1799" width="15.7109375" style="216" customWidth="1"/>
    <col min="1800" max="1800" width="12.85546875" style="216" customWidth="1"/>
    <col min="1801" max="1801" width="12.7109375" style="216" customWidth="1"/>
    <col min="1802" max="1802" width="12.85546875" style="216" customWidth="1"/>
    <col min="1803" max="1803" width="14.42578125" style="216" customWidth="1"/>
    <col min="1804" max="2048" width="9.140625" style="216"/>
    <col min="2049" max="2049" width="2.7109375" style="216" customWidth="1"/>
    <col min="2050" max="2050" width="9.140625" style="216"/>
    <col min="2051" max="2051" width="40.28515625" style="216" bestFit="1" customWidth="1"/>
    <col min="2052" max="2052" width="10" style="216" customWidth="1"/>
    <col min="2053" max="2053" width="10.140625" style="216" customWidth="1"/>
    <col min="2054" max="2054" width="12.28515625" style="216" customWidth="1"/>
    <col min="2055" max="2055" width="15.7109375" style="216" customWidth="1"/>
    <col min="2056" max="2056" width="12.85546875" style="216" customWidth="1"/>
    <col min="2057" max="2057" width="12.7109375" style="216" customWidth="1"/>
    <col min="2058" max="2058" width="12.85546875" style="216" customWidth="1"/>
    <col min="2059" max="2059" width="14.42578125" style="216" customWidth="1"/>
    <col min="2060" max="2304" width="9.140625" style="216"/>
    <col min="2305" max="2305" width="2.7109375" style="216" customWidth="1"/>
    <col min="2306" max="2306" width="9.140625" style="216"/>
    <col min="2307" max="2307" width="40.28515625" style="216" bestFit="1" customWidth="1"/>
    <col min="2308" max="2308" width="10" style="216" customWidth="1"/>
    <col min="2309" max="2309" width="10.140625" style="216" customWidth="1"/>
    <col min="2310" max="2310" width="12.28515625" style="216" customWidth="1"/>
    <col min="2311" max="2311" width="15.7109375" style="216" customWidth="1"/>
    <col min="2312" max="2312" width="12.85546875" style="216" customWidth="1"/>
    <col min="2313" max="2313" width="12.7109375" style="216" customWidth="1"/>
    <col min="2314" max="2314" width="12.85546875" style="216" customWidth="1"/>
    <col min="2315" max="2315" width="14.42578125" style="216" customWidth="1"/>
    <col min="2316" max="2560" width="9.140625" style="216"/>
    <col min="2561" max="2561" width="2.7109375" style="216" customWidth="1"/>
    <col min="2562" max="2562" width="9.140625" style="216"/>
    <col min="2563" max="2563" width="40.28515625" style="216" bestFit="1" customWidth="1"/>
    <col min="2564" max="2564" width="10" style="216" customWidth="1"/>
    <col min="2565" max="2565" width="10.140625" style="216" customWidth="1"/>
    <col min="2566" max="2566" width="12.28515625" style="216" customWidth="1"/>
    <col min="2567" max="2567" width="15.7109375" style="216" customWidth="1"/>
    <col min="2568" max="2568" width="12.85546875" style="216" customWidth="1"/>
    <col min="2569" max="2569" width="12.7109375" style="216" customWidth="1"/>
    <col min="2570" max="2570" width="12.85546875" style="216" customWidth="1"/>
    <col min="2571" max="2571" width="14.42578125" style="216" customWidth="1"/>
    <col min="2572" max="2816" width="9.140625" style="216"/>
    <col min="2817" max="2817" width="2.7109375" style="216" customWidth="1"/>
    <col min="2818" max="2818" width="9.140625" style="216"/>
    <col min="2819" max="2819" width="40.28515625" style="216" bestFit="1" customWidth="1"/>
    <col min="2820" max="2820" width="10" style="216" customWidth="1"/>
    <col min="2821" max="2821" width="10.140625" style="216" customWidth="1"/>
    <col min="2822" max="2822" width="12.28515625" style="216" customWidth="1"/>
    <col min="2823" max="2823" width="15.7109375" style="216" customWidth="1"/>
    <col min="2824" max="2824" width="12.85546875" style="216" customWidth="1"/>
    <col min="2825" max="2825" width="12.7109375" style="216" customWidth="1"/>
    <col min="2826" max="2826" width="12.85546875" style="216" customWidth="1"/>
    <col min="2827" max="2827" width="14.42578125" style="216" customWidth="1"/>
    <col min="2828" max="3072" width="9.140625" style="216"/>
    <col min="3073" max="3073" width="2.7109375" style="216" customWidth="1"/>
    <col min="3074" max="3074" width="9.140625" style="216"/>
    <col min="3075" max="3075" width="40.28515625" style="216" bestFit="1" customWidth="1"/>
    <col min="3076" max="3076" width="10" style="216" customWidth="1"/>
    <col min="3077" max="3077" width="10.140625" style="216" customWidth="1"/>
    <col min="3078" max="3078" width="12.28515625" style="216" customWidth="1"/>
    <col min="3079" max="3079" width="15.7109375" style="216" customWidth="1"/>
    <col min="3080" max="3080" width="12.85546875" style="216" customWidth="1"/>
    <col min="3081" max="3081" width="12.7109375" style="216" customWidth="1"/>
    <col min="3082" max="3082" width="12.85546875" style="216" customWidth="1"/>
    <col min="3083" max="3083" width="14.42578125" style="216" customWidth="1"/>
    <col min="3084" max="3328" width="9.140625" style="216"/>
    <col min="3329" max="3329" width="2.7109375" style="216" customWidth="1"/>
    <col min="3330" max="3330" width="9.140625" style="216"/>
    <col min="3331" max="3331" width="40.28515625" style="216" bestFit="1" customWidth="1"/>
    <col min="3332" max="3332" width="10" style="216" customWidth="1"/>
    <col min="3333" max="3333" width="10.140625" style="216" customWidth="1"/>
    <col min="3334" max="3334" width="12.28515625" style="216" customWidth="1"/>
    <col min="3335" max="3335" width="15.7109375" style="216" customWidth="1"/>
    <col min="3336" max="3336" width="12.85546875" style="216" customWidth="1"/>
    <col min="3337" max="3337" width="12.7109375" style="216" customWidth="1"/>
    <col min="3338" max="3338" width="12.85546875" style="216" customWidth="1"/>
    <col min="3339" max="3339" width="14.42578125" style="216" customWidth="1"/>
    <col min="3340" max="3584" width="9.140625" style="216"/>
    <col min="3585" max="3585" width="2.7109375" style="216" customWidth="1"/>
    <col min="3586" max="3586" width="9.140625" style="216"/>
    <col min="3587" max="3587" width="40.28515625" style="216" bestFit="1" customWidth="1"/>
    <col min="3588" max="3588" width="10" style="216" customWidth="1"/>
    <col min="3589" max="3589" width="10.140625" style="216" customWidth="1"/>
    <col min="3590" max="3590" width="12.28515625" style="216" customWidth="1"/>
    <col min="3591" max="3591" width="15.7109375" style="216" customWidth="1"/>
    <col min="3592" max="3592" width="12.85546875" style="216" customWidth="1"/>
    <col min="3593" max="3593" width="12.7109375" style="216" customWidth="1"/>
    <col min="3594" max="3594" width="12.85546875" style="216" customWidth="1"/>
    <col min="3595" max="3595" width="14.42578125" style="216" customWidth="1"/>
    <col min="3596" max="3840" width="9.140625" style="216"/>
    <col min="3841" max="3841" width="2.7109375" style="216" customWidth="1"/>
    <col min="3842" max="3842" width="9.140625" style="216"/>
    <col min="3843" max="3843" width="40.28515625" style="216" bestFit="1" customWidth="1"/>
    <col min="3844" max="3844" width="10" style="216" customWidth="1"/>
    <col min="3845" max="3845" width="10.140625" style="216" customWidth="1"/>
    <col min="3846" max="3846" width="12.28515625" style="216" customWidth="1"/>
    <col min="3847" max="3847" width="15.7109375" style="216" customWidth="1"/>
    <col min="3848" max="3848" width="12.85546875" style="216" customWidth="1"/>
    <col min="3849" max="3849" width="12.7109375" style="216" customWidth="1"/>
    <col min="3850" max="3850" width="12.85546875" style="216" customWidth="1"/>
    <col min="3851" max="3851" width="14.42578125" style="216" customWidth="1"/>
    <col min="3852" max="4096" width="9.140625" style="216"/>
    <col min="4097" max="4097" width="2.7109375" style="216" customWidth="1"/>
    <col min="4098" max="4098" width="9.140625" style="216"/>
    <col min="4099" max="4099" width="40.28515625" style="216" bestFit="1" customWidth="1"/>
    <col min="4100" max="4100" width="10" style="216" customWidth="1"/>
    <col min="4101" max="4101" width="10.140625" style="216" customWidth="1"/>
    <col min="4102" max="4102" width="12.28515625" style="216" customWidth="1"/>
    <col min="4103" max="4103" width="15.7109375" style="216" customWidth="1"/>
    <col min="4104" max="4104" width="12.85546875" style="216" customWidth="1"/>
    <col min="4105" max="4105" width="12.7109375" style="216" customWidth="1"/>
    <col min="4106" max="4106" width="12.85546875" style="216" customWidth="1"/>
    <col min="4107" max="4107" width="14.42578125" style="216" customWidth="1"/>
    <col min="4108" max="4352" width="9.140625" style="216"/>
    <col min="4353" max="4353" width="2.7109375" style="216" customWidth="1"/>
    <col min="4354" max="4354" width="9.140625" style="216"/>
    <col min="4355" max="4355" width="40.28515625" style="216" bestFit="1" customWidth="1"/>
    <col min="4356" max="4356" width="10" style="216" customWidth="1"/>
    <col min="4357" max="4357" width="10.140625" style="216" customWidth="1"/>
    <col min="4358" max="4358" width="12.28515625" style="216" customWidth="1"/>
    <col min="4359" max="4359" width="15.7109375" style="216" customWidth="1"/>
    <col min="4360" max="4360" width="12.85546875" style="216" customWidth="1"/>
    <col min="4361" max="4361" width="12.7109375" style="216" customWidth="1"/>
    <col min="4362" max="4362" width="12.85546875" style="216" customWidth="1"/>
    <col min="4363" max="4363" width="14.42578125" style="216" customWidth="1"/>
    <col min="4364" max="4608" width="9.140625" style="216"/>
    <col min="4609" max="4609" width="2.7109375" style="216" customWidth="1"/>
    <col min="4610" max="4610" width="9.140625" style="216"/>
    <col min="4611" max="4611" width="40.28515625" style="216" bestFit="1" customWidth="1"/>
    <col min="4612" max="4612" width="10" style="216" customWidth="1"/>
    <col min="4613" max="4613" width="10.140625" style="216" customWidth="1"/>
    <col min="4614" max="4614" width="12.28515625" style="216" customWidth="1"/>
    <col min="4615" max="4615" width="15.7109375" style="216" customWidth="1"/>
    <col min="4616" max="4616" width="12.85546875" style="216" customWidth="1"/>
    <col min="4617" max="4617" width="12.7109375" style="216" customWidth="1"/>
    <col min="4618" max="4618" width="12.85546875" style="216" customWidth="1"/>
    <col min="4619" max="4619" width="14.42578125" style="216" customWidth="1"/>
    <col min="4620" max="4864" width="9.140625" style="216"/>
    <col min="4865" max="4865" width="2.7109375" style="216" customWidth="1"/>
    <col min="4866" max="4866" width="9.140625" style="216"/>
    <col min="4867" max="4867" width="40.28515625" style="216" bestFit="1" customWidth="1"/>
    <col min="4868" max="4868" width="10" style="216" customWidth="1"/>
    <col min="4869" max="4869" width="10.140625" style="216" customWidth="1"/>
    <col min="4870" max="4870" width="12.28515625" style="216" customWidth="1"/>
    <col min="4871" max="4871" width="15.7109375" style="216" customWidth="1"/>
    <col min="4872" max="4872" width="12.85546875" style="216" customWidth="1"/>
    <col min="4873" max="4873" width="12.7109375" style="216" customWidth="1"/>
    <col min="4874" max="4874" width="12.85546875" style="216" customWidth="1"/>
    <col min="4875" max="4875" width="14.42578125" style="216" customWidth="1"/>
    <col min="4876" max="5120" width="9.140625" style="216"/>
    <col min="5121" max="5121" width="2.7109375" style="216" customWidth="1"/>
    <col min="5122" max="5122" width="9.140625" style="216"/>
    <col min="5123" max="5123" width="40.28515625" style="216" bestFit="1" customWidth="1"/>
    <col min="5124" max="5124" width="10" style="216" customWidth="1"/>
    <col min="5125" max="5125" width="10.140625" style="216" customWidth="1"/>
    <col min="5126" max="5126" width="12.28515625" style="216" customWidth="1"/>
    <col min="5127" max="5127" width="15.7109375" style="216" customWidth="1"/>
    <col min="5128" max="5128" width="12.85546875" style="216" customWidth="1"/>
    <col min="5129" max="5129" width="12.7109375" style="216" customWidth="1"/>
    <col min="5130" max="5130" width="12.85546875" style="216" customWidth="1"/>
    <col min="5131" max="5131" width="14.42578125" style="216" customWidth="1"/>
    <col min="5132" max="5376" width="9.140625" style="216"/>
    <col min="5377" max="5377" width="2.7109375" style="216" customWidth="1"/>
    <col min="5378" max="5378" width="9.140625" style="216"/>
    <col min="5379" max="5379" width="40.28515625" style="216" bestFit="1" customWidth="1"/>
    <col min="5380" max="5380" width="10" style="216" customWidth="1"/>
    <col min="5381" max="5381" width="10.140625" style="216" customWidth="1"/>
    <col min="5382" max="5382" width="12.28515625" style="216" customWidth="1"/>
    <col min="5383" max="5383" width="15.7109375" style="216" customWidth="1"/>
    <col min="5384" max="5384" width="12.85546875" style="216" customWidth="1"/>
    <col min="5385" max="5385" width="12.7109375" style="216" customWidth="1"/>
    <col min="5386" max="5386" width="12.85546875" style="216" customWidth="1"/>
    <col min="5387" max="5387" width="14.42578125" style="216" customWidth="1"/>
    <col min="5388" max="5632" width="9.140625" style="216"/>
    <col min="5633" max="5633" width="2.7109375" style="216" customWidth="1"/>
    <col min="5634" max="5634" width="9.140625" style="216"/>
    <col min="5635" max="5635" width="40.28515625" style="216" bestFit="1" customWidth="1"/>
    <col min="5636" max="5636" width="10" style="216" customWidth="1"/>
    <col min="5637" max="5637" width="10.140625" style="216" customWidth="1"/>
    <col min="5638" max="5638" width="12.28515625" style="216" customWidth="1"/>
    <col min="5639" max="5639" width="15.7109375" style="216" customWidth="1"/>
    <col min="5640" max="5640" width="12.85546875" style="216" customWidth="1"/>
    <col min="5641" max="5641" width="12.7109375" style="216" customWidth="1"/>
    <col min="5642" max="5642" width="12.85546875" style="216" customWidth="1"/>
    <col min="5643" max="5643" width="14.42578125" style="216" customWidth="1"/>
    <col min="5644" max="5888" width="9.140625" style="216"/>
    <col min="5889" max="5889" width="2.7109375" style="216" customWidth="1"/>
    <col min="5890" max="5890" width="9.140625" style="216"/>
    <col min="5891" max="5891" width="40.28515625" style="216" bestFit="1" customWidth="1"/>
    <col min="5892" max="5892" width="10" style="216" customWidth="1"/>
    <col min="5893" max="5893" width="10.140625" style="216" customWidth="1"/>
    <col min="5894" max="5894" width="12.28515625" style="216" customWidth="1"/>
    <col min="5895" max="5895" width="15.7109375" style="216" customWidth="1"/>
    <col min="5896" max="5896" width="12.85546875" style="216" customWidth="1"/>
    <col min="5897" max="5897" width="12.7109375" style="216" customWidth="1"/>
    <col min="5898" max="5898" width="12.85546875" style="216" customWidth="1"/>
    <col min="5899" max="5899" width="14.42578125" style="216" customWidth="1"/>
    <col min="5900" max="6144" width="9.140625" style="216"/>
    <col min="6145" max="6145" width="2.7109375" style="216" customWidth="1"/>
    <col min="6146" max="6146" width="9.140625" style="216"/>
    <col min="6147" max="6147" width="40.28515625" style="216" bestFit="1" customWidth="1"/>
    <col min="6148" max="6148" width="10" style="216" customWidth="1"/>
    <col min="6149" max="6149" width="10.140625" style="216" customWidth="1"/>
    <col min="6150" max="6150" width="12.28515625" style="216" customWidth="1"/>
    <col min="6151" max="6151" width="15.7109375" style="216" customWidth="1"/>
    <col min="6152" max="6152" width="12.85546875" style="216" customWidth="1"/>
    <col min="6153" max="6153" width="12.7109375" style="216" customWidth="1"/>
    <col min="6154" max="6154" width="12.85546875" style="216" customWidth="1"/>
    <col min="6155" max="6155" width="14.42578125" style="216" customWidth="1"/>
    <col min="6156" max="6400" width="9.140625" style="216"/>
    <col min="6401" max="6401" width="2.7109375" style="216" customWidth="1"/>
    <col min="6402" max="6402" width="9.140625" style="216"/>
    <col min="6403" max="6403" width="40.28515625" style="216" bestFit="1" customWidth="1"/>
    <col min="6404" max="6404" width="10" style="216" customWidth="1"/>
    <col min="6405" max="6405" width="10.140625" style="216" customWidth="1"/>
    <col min="6406" max="6406" width="12.28515625" style="216" customWidth="1"/>
    <col min="6407" max="6407" width="15.7109375" style="216" customWidth="1"/>
    <col min="6408" max="6408" width="12.85546875" style="216" customWidth="1"/>
    <col min="6409" max="6409" width="12.7109375" style="216" customWidth="1"/>
    <col min="6410" max="6410" width="12.85546875" style="216" customWidth="1"/>
    <col min="6411" max="6411" width="14.42578125" style="216" customWidth="1"/>
    <col min="6412" max="6656" width="9.140625" style="216"/>
    <col min="6657" max="6657" width="2.7109375" style="216" customWidth="1"/>
    <col min="6658" max="6658" width="9.140625" style="216"/>
    <col min="6659" max="6659" width="40.28515625" style="216" bestFit="1" customWidth="1"/>
    <col min="6660" max="6660" width="10" style="216" customWidth="1"/>
    <col min="6661" max="6661" width="10.140625" style="216" customWidth="1"/>
    <col min="6662" max="6662" width="12.28515625" style="216" customWidth="1"/>
    <col min="6663" max="6663" width="15.7109375" style="216" customWidth="1"/>
    <col min="6664" max="6664" width="12.85546875" style="216" customWidth="1"/>
    <col min="6665" max="6665" width="12.7109375" style="216" customWidth="1"/>
    <col min="6666" max="6666" width="12.85546875" style="216" customWidth="1"/>
    <col min="6667" max="6667" width="14.42578125" style="216" customWidth="1"/>
    <col min="6668" max="6912" width="9.140625" style="216"/>
    <col min="6913" max="6913" width="2.7109375" style="216" customWidth="1"/>
    <col min="6914" max="6914" width="9.140625" style="216"/>
    <col min="6915" max="6915" width="40.28515625" style="216" bestFit="1" customWidth="1"/>
    <col min="6916" max="6916" width="10" style="216" customWidth="1"/>
    <col min="6917" max="6917" width="10.140625" style="216" customWidth="1"/>
    <col min="6918" max="6918" width="12.28515625" style="216" customWidth="1"/>
    <col min="6919" max="6919" width="15.7109375" style="216" customWidth="1"/>
    <col min="6920" max="6920" width="12.85546875" style="216" customWidth="1"/>
    <col min="6921" max="6921" width="12.7109375" style="216" customWidth="1"/>
    <col min="6922" max="6922" width="12.85546875" style="216" customWidth="1"/>
    <col min="6923" max="6923" width="14.42578125" style="216" customWidth="1"/>
    <col min="6924" max="7168" width="9.140625" style="216"/>
    <col min="7169" max="7169" width="2.7109375" style="216" customWidth="1"/>
    <col min="7170" max="7170" width="9.140625" style="216"/>
    <col min="7171" max="7171" width="40.28515625" style="216" bestFit="1" customWidth="1"/>
    <col min="7172" max="7172" width="10" style="216" customWidth="1"/>
    <col min="7173" max="7173" width="10.140625" style="216" customWidth="1"/>
    <col min="7174" max="7174" width="12.28515625" style="216" customWidth="1"/>
    <col min="7175" max="7175" width="15.7109375" style="216" customWidth="1"/>
    <col min="7176" max="7176" width="12.85546875" style="216" customWidth="1"/>
    <col min="7177" max="7177" width="12.7109375" style="216" customWidth="1"/>
    <col min="7178" max="7178" width="12.85546875" style="216" customWidth="1"/>
    <col min="7179" max="7179" width="14.42578125" style="216" customWidth="1"/>
    <col min="7180" max="7424" width="9.140625" style="216"/>
    <col min="7425" max="7425" width="2.7109375" style="216" customWidth="1"/>
    <col min="7426" max="7426" width="9.140625" style="216"/>
    <col min="7427" max="7427" width="40.28515625" style="216" bestFit="1" customWidth="1"/>
    <col min="7428" max="7428" width="10" style="216" customWidth="1"/>
    <col min="7429" max="7429" width="10.140625" style="216" customWidth="1"/>
    <col min="7430" max="7430" width="12.28515625" style="216" customWidth="1"/>
    <col min="7431" max="7431" width="15.7109375" style="216" customWidth="1"/>
    <col min="7432" max="7432" width="12.85546875" style="216" customWidth="1"/>
    <col min="7433" max="7433" width="12.7109375" style="216" customWidth="1"/>
    <col min="7434" max="7434" width="12.85546875" style="216" customWidth="1"/>
    <col min="7435" max="7435" width="14.42578125" style="216" customWidth="1"/>
    <col min="7436" max="7680" width="9.140625" style="216"/>
    <col min="7681" max="7681" width="2.7109375" style="216" customWidth="1"/>
    <col min="7682" max="7682" width="9.140625" style="216"/>
    <col min="7683" max="7683" width="40.28515625" style="216" bestFit="1" customWidth="1"/>
    <col min="7684" max="7684" width="10" style="216" customWidth="1"/>
    <col min="7685" max="7685" width="10.140625" style="216" customWidth="1"/>
    <col min="7686" max="7686" width="12.28515625" style="216" customWidth="1"/>
    <col min="7687" max="7687" width="15.7109375" style="216" customWidth="1"/>
    <col min="7688" max="7688" width="12.85546875" style="216" customWidth="1"/>
    <col min="7689" max="7689" width="12.7109375" style="216" customWidth="1"/>
    <col min="7690" max="7690" width="12.85546875" style="216" customWidth="1"/>
    <col min="7691" max="7691" width="14.42578125" style="216" customWidth="1"/>
    <col min="7692" max="7936" width="9.140625" style="216"/>
    <col min="7937" max="7937" width="2.7109375" style="216" customWidth="1"/>
    <col min="7938" max="7938" width="9.140625" style="216"/>
    <col min="7939" max="7939" width="40.28515625" style="216" bestFit="1" customWidth="1"/>
    <col min="7940" max="7940" width="10" style="216" customWidth="1"/>
    <col min="7941" max="7941" width="10.140625" style="216" customWidth="1"/>
    <col min="7942" max="7942" width="12.28515625" style="216" customWidth="1"/>
    <col min="7943" max="7943" width="15.7109375" style="216" customWidth="1"/>
    <col min="7944" max="7944" width="12.85546875" style="216" customWidth="1"/>
    <col min="7945" max="7945" width="12.7109375" style="216" customWidth="1"/>
    <col min="7946" max="7946" width="12.85546875" style="216" customWidth="1"/>
    <col min="7947" max="7947" width="14.42578125" style="216" customWidth="1"/>
    <col min="7948" max="8192" width="9.140625" style="216"/>
    <col min="8193" max="8193" width="2.7109375" style="216" customWidth="1"/>
    <col min="8194" max="8194" width="9.140625" style="216"/>
    <col min="8195" max="8195" width="40.28515625" style="216" bestFit="1" customWidth="1"/>
    <col min="8196" max="8196" width="10" style="216" customWidth="1"/>
    <col min="8197" max="8197" width="10.140625" style="216" customWidth="1"/>
    <col min="8198" max="8198" width="12.28515625" style="216" customWidth="1"/>
    <col min="8199" max="8199" width="15.7109375" style="216" customWidth="1"/>
    <col min="8200" max="8200" width="12.85546875" style="216" customWidth="1"/>
    <col min="8201" max="8201" width="12.7109375" style="216" customWidth="1"/>
    <col min="8202" max="8202" width="12.85546875" style="216" customWidth="1"/>
    <col min="8203" max="8203" width="14.42578125" style="216" customWidth="1"/>
    <col min="8204" max="8448" width="9.140625" style="216"/>
    <col min="8449" max="8449" width="2.7109375" style="216" customWidth="1"/>
    <col min="8450" max="8450" width="9.140625" style="216"/>
    <col min="8451" max="8451" width="40.28515625" style="216" bestFit="1" customWidth="1"/>
    <col min="8452" max="8452" width="10" style="216" customWidth="1"/>
    <col min="8453" max="8453" width="10.140625" style="216" customWidth="1"/>
    <col min="8454" max="8454" width="12.28515625" style="216" customWidth="1"/>
    <col min="8455" max="8455" width="15.7109375" style="216" customWidth="1"/>
    <col min="8456" max="8456" width="12.85546875" style="216" customWidth="1"/>
    <col min="8457" max="8457" width="12.7109375" style="216" customWidth="1"/>
    <col min="8458" max="8458" width="12.85546875" style="216" customWidth="1"/>
    <col min="8459" max="8459" width="14.42578125" style="216" customWidth="1"/>
    <col min="8460" max="8704" width="9.140625" style="216"/>
    <col min="8705" max="8705" width="2.7109375" style="216" customWidth="1"/>
    <col min="8706" max="8706" width="9.140625" style="216"/>
    <col min="8707" max="8707" width="40.28515625" style="216" bestFit="1" customWidth="1"/>
    <col min="8708" max="8708" width="10" style="216" customWidth="1"/>
    <col min="8709" max="8709" width="10.140625" style="216" customWidth="1"/>
    <col min="8710" max="8710" width="12.28515625" style="216" customWidth="1"/>
    <col min="8711" max="8711" width="15.7109375" style="216" customWidth="1"/>
    <col min="8712" max="8712" width="12.85546875" style="216" customWidth="1"/>
    <col min="8713" max="8713" width="12.7109375" style="216" customWidth="1"/>
    <col min="8714" max="8714" width="12.85546875" style="216" customWidth="1"/>
    <col min="8715" max="8715" width="14.42578125" style="216" customWidth="1"/>
    <col min="8716" max="8960" width="9.140625" style="216"/>
    <col min="8961" max="8961" width="2.7109375" style="216" customWidth="1"/>
    <col min="8962" max="8962" width="9.140625" style="216"/>
    <col min="8963" max="8963" width="40.28515625" style="216" bestFit="1" customWidth="1"/>
    <col min="8964" max="8964" width="10" style="216" customWidth="1"/>
    <col min="8965" max="8965" width="10.140625" style="216" customWidth="1"/>
    <col min="8966" max="8966" width="12.28515625" style="216" customWidth="1"/>
    <col min="8967" max="8967" width="15.7109375" style="216" customWidth="1"/>
    <col min="8968" max="8968" width="12.85546875" style="216" customWidth="1"/>
    <col min="8969" max="8969" width="12.7109375" style="216" customWidth="1"/>
    <col min="8970" max="8970" width="12.85546875" style="216" customWidth="1"/>
    <col min="8971" max="8971" width="14.42578125" style="216" customWidth="1"/>
    <col min="8972" max="9216" width="9.140625" style="216"/>
    <col min="9217" max="9217" width="2.7109375" style="216" customWidth="1"/>
    <col min="9218" max="9218" width="9.140625" style="216"/>
    <col min="9219" max="9219" width="40.28515625" style="216" bestFit="1" customWidth="1"/>
    <col min="9220" max="9220" width="10" style="216" customWidth="1"/>
    <col min="9221" max="9221" width="10.140625" style="216" customWidth="1"/>
    <col min="9222" max="9222" width="12.28515625" style="216" customWidth="1"/>
    <col min="9223" max="9223" width="15.7109375" style="216" customWidth="1"/>
    <col min="9224" max="9224" width="12.85546875" style="216" customWidth="1"/>
    <col min="9225" max="9225" width="12.7109375" style="216" customWidth="1"/>
    <col min="9226" max="9226" width="12.85546875" style="216" customWidth="1"/>
    <col min="9227" max="9227" width="14.42578125" style="216" customWidth="1"/>
    <col min="9228" max="9472" width="9.140625" style="216"/>
    <col min="9473" max="9473" width="2.7109375" style="216" customWidth="1"/>
    <col min="9474" max="9474" width="9.140625" style="216"/>
    <col min="9475" max="9475" width="40.28515625" style="216" bestFit="1" customWidth="1"/>
    <col min="9476" max="9476" width="10" style="216" customWidth="1"/>
    <col min="9477" max="9477" width="10.140625" style="216" customWidth="1"/>
    <col min="9478" max="9478" width="12.28515625" style="216" customWidth="1"/>
    <col min="9479" max="9479" width="15.7109375" style="216" customWidth="1"/>
    <col min="9480" max="9480" width="12.85546875" style="216" customWidth="1"/>
    <col min="9481" max="9481" width="12.7109375" style="216" customWidth="1"/>
    <col min="9482" max="9482" width="12.85546875" style="216" customWidth="1"/>
    <col min="9483" max="9483" width="14.42578125" style="216" customWidth="1"/>
    <col min="9484" max="9728" width="9.140625" style="216"/>
    <col min="9729" max="9729" width="2.7109375" style="216" customWidth="1"/>
    <col min="9730" max="9730" width="9.140625" style="216"/>
    <col min="9731" max="9731" width="40.28515625" style="216" bestFit="1" customWidth="1"/>
    <col min="9732" max="9732" width="10" style="216" customWidth="1"/>
    <col min="9733" max="9733" width="10.140625" style="216" customWidth="1"/>
    <col min="9734" max="9734" width="12.28515625" style="216" customWidth="1"/>
    <col min="9735" max="9735" width="15.7109375" style="216" customWidth="1"/>
    <col min="9736" max="9736" width="12.85546875" style="216" customWidth="1"/>
    <col min="9737" max="9737" width="12.7109375" style="216" customWidth="1"/>
    <col min="9738" max="9738" width="12.85546875" style="216" customWidth="1"/>
    <col min="9739" max="9739" width="14.42578125" style="216" customWidth="1"/>
    <col min="9740" max="9984" width="9.140625" style="216"/>
    <col min="9985" max="9985" width="2.7109375" style="216" customWidth="1"/>
    <col min="9986" max="9986" width="9.140625" style="216"/>
    <col min="9987" max="9987" width="40.28515625" style="216" bestFit="1" customWidth="1"/>
    <col min="9988" max="9988" width="10" style="216" customWidth="1"/>
    <col min="9989" max="9989" width="10.140625" style="216" customWidth="1"/>
    <col min="9990" max="9990" width="12.28515625" style="216" customWidth="1"/>
    <col min="9991" max="9991" width="15.7109375" style="216" customWidth="1"/>
    <col min="9992" max="9992" width="12.85546875" style="216" customWidth="1"/>
    <col min="9993" max="9993" width="12.7109375" style="216" customWidth="1"/>
    <col min="9994" max="9994" width="12.85546875" style="216" customWidth="1"/>
    <col min="9995" max="9995" width="14.42578125" style="216" customWidth="1"/>
    <col min="9996" max="10240" width="9.140625" style="216"/>
    <col min="10241" max="10241" width="2.7109375" style="216" customWidth="1"/>
    <col min="10242" max="10242" width="9.140625" style="216"/>
    <col min="10243" max="10243" width="40.28515625" style="216" bestFit="1" customWidth="1"/>
    <col min="10244" max="10244" width="10" style="216" customWidth="1"/>
    <col min="10245" max="10245" width="10.140625" style="216" customWidth="1"/>
    <col min="10246" max="10246" width="12.28515625" style="216" customWidth="1"/>
    <col min="10247" max="10247" width="15.7109375" style="216" customWidth="1"/>
    <col min="10248" max="10248" width="12.85546875" style="216" customWidth="1"/>
    <col min="10249" max="10249" width="12.7109375" style="216" customWidth="1"/>
    <col min="10250" max="10250" width="12.85546875" style="216" customWidth="1"/>
    <col min="10251" max="10251" width="14.42578125" style="216" customWidth="1"/>
    <col min="10252" max="10496" width="9.140625" style="216"/>
    <col min="10497" max="10497" width="2.7109375" style="216" customWidth="1"/>
    <col min="10498" max="10498" width="9.140625" style="216"/>
    <col min="10499" max="10499" width="40.28515625" style="216" bestFit="1" customWidth="1"/>
    <col min="10500" max="10500" width="10" style="216" customWidth="1"/>
    <col min="10501" max="10501" width="10.140625" style="216" customWidth="1"/>
    <col min="10502" max="10502" width="12.28515625" style="216" customWidth="1"/>
    <col min="10503" max="10503" width="15.7109375" style="216" customWidth="1"/>
    <col min="10504" max="10504" width="12.85546875" style="216" customWidth="1"/>
    <col min="10505" max="10505" width="12.7109375" style="216" customWidth="1"/>
    <col min="10506" max="10506" width="12.85546875" style="216" customWidth="1"/>
    <col min="10507" max="10507" width="14.42578125" style="216" customWidth="1"/>
    <col min="10508" max="10752" width="9.140625" style="216"/>
    <col min="10753" max="10753" width="2.7109375" style="216" customWidth="1"/>
    <col min="10754" max="10754" width="9.140625" style="216"/>
    <col min="10755" max="10755" width="40.28515625" style="216" bestFit="1" customWidth="1"/>
    <col min="10756" max="10756" width="10" style="216" customWidth="1"/>
    <col min="10757" max="10757" width="10.140625" style="216" customWidth="1"/>
    <col min="10758" max="10758" width="12.28515625" style="216" customWidth="1"/>
    <col min="10759" max="10759" width="15.7109375" style="216" customWidth="1"/>
    <col min="10760" max="10760" width="12.85546875" style="216" customWidth="1"/>
    <col min="10761" max="10761" width="12.7109375" style="216" customWidth="1"/>
    <col min="10762" max="10762" width="12.85546875" style="216" customWidth="1"/>
    <col min="10763" max="10763" width="14.42578125" style="216" customWidth="1"/>
    <col min="10764" max="11008" width="9.140625" style="216"/>
    <col min="11009" max="11009" width="2.7109375" style="216" customWidth="1"/>
    <col min="11010" max="11010" width="9.140625" style="216"/>
    <col min="11011" max="11011" width="40.28515625" style="216" bestFit="1" customWidth="1"/>
    <col min="11012" max="11012" width="10" style="216" customWidth="1"/>
    <col min="11013" max="11013" width="10.140625" style="216" customWidth="1"/>
    <col min="11014" max="11014" width="12.28515625" style="216" customWidth="1"/>
    <col min="11015" max="11015" width="15.7109375" style="216" customWidth="1"/>
    <col min="11016" max="11016" width="12.85546875" style="216" customWidth="1"/>
    <col min="11017" max="11017" width="12.7109375" style="216" customWidth="1"/>
    <col min="11018" max="11018" width="12.85546875" style="216" customWidth="1"/>
    <col min="11019" max="11019" width="14.42578125" style="216" customWidth="1"/>
    <col min="11020" max="11264" width="9.140625" style="216"/>
    <col min="11265" max="11265" width="2.7109375" style="216" customWidth="1"/>
    <col min="11266" max="11266" width="9.140625" style="216"/>
    <col min="11267" max="11267" width="40.28515625" style="216" bestFit="1" customWidth="1"/>
    <col min="11268" max="11268" width="10" style="216" customWidth="1"/>
    <col min="11269" max="11269" width="10.140625" style="216" customWidth="1"/>
    <col min="11270" max="11270" width="12.28515625" style="216" customWidth="1"/>
    <col min="11271" max="11271" width="15.7109375" style="216" customWidth="1"/>
    <col min="11272" max="11272" width="12.85546875" style="216" customWidth="1"/>
    <col min="11273" max="11273" width="12.7109375" style="216" customWidth="1"/>
    <col min="11274" max="11274" width="12.85546875" style="216" customWidth="1"/>
    <col min="11275" max="11275" width="14.42578125" style="216" customWidth="1"/>
    <col min="11276" max="11520" width="9.140625" style="216"/>
    <col min="11521" max="11521" width="2.7109375" style="216" customWidth="1"/>
    <col min="11522" max="11522" width="9.140625" style="216"/>
    <col min="11523" max="11523" width="40.28515625" style="216" bestFit="1" customWidth="1"/>
    <col min="11524" max="11524" width="10" style="216" customWidth="1"/>
    <col min="11525" max="11525" width="10.140625" style="216" customWidth="1"/>
    <col min="11526" max="11526" width="12.28515625" style="216" customWidth="1"/>
    <col min="11527" max="11527" width="15.7109375" style="216" customWidth="1"/>
    <col min="11528" max="11528" width="12.85546875" style="216" customWidth="1"/>
    <col min="11529" max="11529" width="12.7109375" style="216" customWidth="1"/>
    <col min="11530" max="11530" width="12.85546875" style="216" customWidth="1"/>
    <col min="11531" max="11531" width="14.42578125" style="216" customWidth="1"/>
    <col min="11532" max="11776" width="9.140625" style="216"/>
    <col min="11777" max="11777" width="2.7109375" style="216" customWidth="1"/>
    <col min="11778" max="11778" width="9.140625" style="216"/>
    <col min="11779" max="11779" width="40.28515625" style="216" bestFit="1" customWidth="1"/>
    <col min="11780" max="11780" width="10" style="216" customWidth="1"/>
    <col min="11781" max="11781" width="10.140625" style="216" customWidth="1"/>
    <col min="11782" max="11782" width="12.28515625" style="216" customWidth="1"/>
    <col min="11783" max="11783" width="15.7109375" style="216" customWidth="1"/>
    <col min="11784" max="11784" width="12.85546875" style="216" customWidth="1"/>
    <col min="11785" max="11785" width="12.7109375" style="216" customWidth="1"/>
    <col min="11786" max="11786" width="12.85546875" style="216" customWidth="1"/>
    <col min="11787" max="11787" width="14.42578125" style="216" customWidth="1"/>
    <col min="11788" max="12032" width="9.140625" style="216"/>
    <col min="12033" max="12033" width="2.7109375" style="216" customWidth="1"/>
    <col min="12034" max="12034" width="9.140625" style="216"/>
    <col min="12035" max="12035" width="40.28515625" style="216" bestFit="1" customWidth="1"/>
    <col min="12036" max="12036" width="10" style="216" customWidth="1"/>
    <col min="12037" max="12037" width="10.140625" style="216" customWidth="1"/>
    <col min="12038" max="12038" width="12.28515625" style="216" customWidth="1"/>
    <col min="12039" max="12039" width="15.7109375" style="216" customWidth="1"/>
    <col min="12040" max="12040" width="12.85546875" style="216" customWidth="1"/>
    <col min="12041" max="12041" width="12.7109375" style="216" customWidth="1"/>
    <col min="12042" max="12042" width="12.85546875" style="216" customWidth="1"/>
    <col min="12043" max="12043" width="14.42578125" style="216" customWidth="1"/>
    <col min="12044" max="12288" width="9.140625" style="216"/>
    <col min="12289" max="12289" width="2.7109375" style="216" customWidth="1"/>
    <col min="12290" max="12290" width="9.140625" style="216"/>
    <col min="12291" max="12291" width="40.28515625" style="216" bestFit="1" customWidth="1"/>
    <col min="12292" max="12292" width="10" style="216" customWidth="1"/>
    <col min="12293" max="12293" width="10.140625" style="216" customWidth="1"/>
    <col min="12294" max="12294" width="12.28515625" style="216" customWidth="1"/>
    <col min="12295" max="12295" width="15.7109375" style="216" customWidth="1"/>
    <col min="12296" max="12296" width="12.85546875" style="216" customWidth="1"/>
    <col min="12297" max="12297" width="12.7109375" style="216" customWidth="1"/>
    <col min="12298" max="12298" width="12.85546875" style="216" customWidth="1"/>
    <col min="12299" max="12299" width="14.42578125" style="216" customWidth="1"/>
    <col min="12300" max="12544" width="9.140625" style="216"/>
    <col min="12545" max="12545" width="2.7109375" style="216" customWidth="1"/>
    <col min="12546" max="12546" width="9.140625" style="216"/>
    <col min="12547" max="12547" width="40.28515625" style="216" bestFit="1" customWidth="1"/>
    <col min="12548" max="12548" width="10" style="216" customWidth="1"/>
    <col min="12549" max="12549" width="10.140625" style="216" customWidth="1"/>
    <col min="12550" max="12550" width="12.28515625" style="216" customWidth="1"/>
    <col min="12551" max="12551" width="15.7109375" style="216" customWidth="1"/>
    <col min="12552" max="12552" width="12.85546875" style="216" customWidth="1"/>
    <col min="12553" max="12553" width="12.7109375" style="216" customWidth="1"/>
    <col min="12554" max="12554" width="12.85546875" style="216" customWidth="1"/>
    <col min="12555" max="12555" width="14.42578125" style="216" customWidth="1"/>
    <col min="12556" max="12800" width="9.140625" style="216"/>
    <col min="12801" max="12801" width="2.7109375" style="216" customWidth="1"/>
    <col min="12802" max="12802" width="9.140625" style="216"/>
    <col min="12803" max="12803" width="40.28515625" style="216" bestFit="1" customWidth="1"/>
    <col min="12804" max="12804" width="10" style="216" customWidth="1"/>
    <col min="12805" max="12805" width="10.140625" style="216" customWidth="1"/>
    <col min="12806" max="12806" width="12.28515625" style="216" customWidth="1"/>
    <col min="12807" max="12807" width="15.7109375" style="216" customWidth="1"/>
    <col min="12808" max="12808" width="12.85546875" style="216" customWidth="1"/>
    <col min="12809" max="12809" width="12.7109375" style="216" customWidth="1"/>
    <col min="12810" max="12810" width="12.85546875" style="216" customWidth="1"/>
    <col min="12811" max="12811" width="14.42578125" style="216" customWidth="1"/>
    <col min="12812" max="13056" width="9.140625" style="216"/>
    <col min="13057" max="13057" width="2.7109375" style="216" customWidth="1"/>
    <col min="13058" max="13058" width="9.140625" style="216"/>
    <col min="13059" max="13059" width="40.28515625" style="216" bestFit="1" customWidth="1"/>
    <col min="13060" max="13060" width="10" style="216" customWidth="1"/>
    <col min="13061" max="13061" width="10.140625" style="216" customWidth="1"/>
    <col min="13062" max="13062" width="12.28515625" style="216" customWidth="1"/>
    <col min="13063" max="13063" width="15.7109375" style="216" customWidth="1"/>
    <col min="13064" max="13064" width="12.85546875" style="216" customWidth="1"/>
    <col min="13065" max="13065" width="12.7109375" style="216" customWidth="1"/>
    <col min="13066" max="13066" width="12.85546875" style="216" customWidth="1"/>
    <col min="13067" max="13067" width="14.42578125" style="216" customWidth="1"/>
    <col min="13068" max="13312" width="9.140625" style="216"/>
    <col min="13313" max="13313" width="2.7109375" style="216" customWidth="1"/>
    <col min="13314" max="13314" width="9.140625" style="216"/>
    <col min="13315" max="13315" width="40.28515625" style="216" bestFit="1" customWidth="1"/>
    <col min="13316" max="13316" width="10" style="216" customWidth="1"/>
    <col min="13317" max="13317" width="10.140625" style="216" customWidth="1"/>
    <col min="13318" max="13318" width="12.28515625" style="216" customWidth="1"/>
    <col min="13319" max="13319" width="15.7109375" style="216" customWidth="1"/>
    <col min="13320" max="13320" width="12.85546875" style="216" customWidth="1"/>
    <col min="13321" max="13321" width="12.7109375" style="216" customWidth="1"/>
    <col min="13322" max="13322" width="12.85546875" style="216" customWidth="1"/>
    <col min="13323" max="13323" width="14.42578125" style="216" customWidth="1"/>
    <col min="13324" max="13568" width="9.140625" style="216"/>
    <col min="13569" max="13569" width="2.7109375" style="216" customWidth="1"/>
    <col min="13570" max="13570" width="9.140625" style="216"/>
    <col min="13571" max="13571" width="40.28515625" style="216" bestFit="1" customWidth="1"/>
    <col min="13572" max="13572" width="10" style="216" customWidth="1"/>
    <col min="13573" max="13573" width="10.140625" style="216" customWidth="1"/>
    <col min="13574" max="13574" width="12.28515625" style="216" customWidth="1"/>
    <col min="13575" max="13575" width="15.7109375" style="216" customWidth="1"/>
    <col min="13576" max="13576" width="12.85546875" style="216" customWidth="1"/>
    <col min="13577" max="13577" width="12.7109375" style="216" customWidth="1"/>
    <col min="13578" max="13578" width="12.85546875" style="216" customWidth="1"/>
    <col min="13579" max="13579" width="14.42578125" style="216" customWidth="1"/>
    <col min="13580" max="13824" width="9.140625" style="216"/>
    <col min="13825" max="13825" width="2.7109375" style="216" customWidth="1"/>
    <col min="13826" max="13826" width="9.140625" style="216"/>
    <col min="13827" max="13827" width="40.28515625" style="216" bestFit="1" customWidth="1"/>
    <col min="13828" max="13828" width="10" style="216" customWidth="1"/>
    <col min="13829" max="13829" width="10.140625" style="216" customWidth="1"/>
    <col min="13830" max="13830" width="12.28515625" style="216" customWidth="1"/>
    <col min="13831" max="13831" width="15.7109375" style="216" customWidth="1"/>
    <col min="13832" max="13832" width="12.85546875" style="216" customWidth="1"/>
    <col min="13833" max="13833" width="12.7109375" style="216" customWidth="1"/>
    <col min="13834" max="13834" width="12.85546875" style="216" customWidth="1"/>
    <col min="13835" max="13835" width="14.42578125" style="216" customWidth="1"/>
    <col min="13836" max="14080" width="9.140625" style="216"/>
    <col min="14081" max="14081" width="2.7109375" style="216" customWidth="1"/>
    <col min="14082" max="14082" width="9.140625" style="216"/>
    <col min="14083" max="14083" width="40.28515625" style="216" bestFit="1" customWidth="1"/>
    <col min="14084" max="14084" width="10" style="216" customWidth="1"/>
    <col min="14085" max="14085" width="10.140625" style="216" customWidth="1"/>
    <col min="14086" max="14086" width="12.28515625" style="216" customWidth="1"/>
    <col min="14087" max="14087" width="15.7109375" style="216" customWidth="1"/>
    <col min="14088" max="14088" width="12.85546875" style="216" customWidth="1"/>
    <col min="14089" max="14089" width="12.7109375" style="216" customWidth="1"/>
    <col min="14090" max="14090" width="12.85546875" style="216" customWidth="1"/>
    <col min="14091" max="14091" width="14.42578125" style="216" customWidth="1"/>
    <col min="14092" max="14336" width="9.140625" style="216"/>
    <col min="14337" max="14337" width="2.7109375" style="216" customWidth="1"/>
    <col min="14338" max="14338" width="9.140625" style="216"/>
    <col min="14339" max="14339" width="40.28515625" style="216" bestFit="1" customWidth="1"/>
    <col min="14340" max="14340" width="10" style="216" customWidth="1"/>
    <col min="14341" max="14341" width="10.140625" style="216" customWidth="1"/>
    <col min="14342" max="14342" width="12.28515625" style="216" customWidth="1"/>
    <col min="14343" max="14343" width="15.7109375" style="216" customWidth="1"/>
    <col min="14344" max="14344" width="12.85546875" style="216" customWidth="1"/>
    <col min="14345" max="14345" width="12.7109375" style="216" customWidth="1"/>
    <col min="14346" max="14346" width="12.85546875" style="216" customWidth="1"/>
    <col min="14347" max="14347" width="14.42578125" style="216" customWidth="1"/>
    <col min="14348" max="14592" width="9.140625" style="216"/>
    <col min="14593" max="14593" width="2.7109375" style="216" customWidth="1"/>
    <col min="14594" max="14594" width="9.140625" style="216"/>
    <col min="14595" max="14595" width="40.28515625" style="216" bestFit="1" customWidth="1"/>
    <col min="14596" max="14596" width="10" style="216" customWidth="1"/>
    <col min="14597" max="14597" width="10.140625" style="216" customWidth="1"/>
    <col min="14598" max="14598" width="12.28515625" style="216" customWidth="1"/>
    <col min="14599" max="14599" width="15.7109375" style="216" customWidth="1"/>
    <col min="14600" max="14600" width="12.85546875" style="216" customWidth="1"/>
    <col min="14601" max="14601" width="12.7109375" style="216" customWidth="1"/>
    <col min="14602" max="14602" width="12.85546875" style="216" customWidth="1"/>
    <col min="14603" max="14603" width="14.42578125" style="216" customWidth="1"/>
    <col min="14604" max="14848" width="9.140625" style="216"/>
    <col min="14849" max="14849" width="2.7109375" style="216" customWidth="1"/>
    <col min="14850" max="14850" width="9.140625" style="216"/>
    <col min="14851" max="14851" width="40.28515625" style="216" bestFit="1" customWidth="1"/>
    <col min="14852" max="14852" width="10" style="216" customWidth="1"/>
    <col min="14853" max="14853" width="10.140625" style="216" customWidth="1"/>
    <col min="14854" max="14854" width="12.28515625" style="216" customWidth="1"/>
    <col min="14855" max="14855" width="15.7109375" style="216" customWidth="1"/>
    <col min="14856" max="14856" width="12.85546875" style="216" customWidth="1"/>
    <col min="14857" max="14857" width="12.7109375" style="216" customWidth="1"/>
    <col min="14858" max="14858" width="12.85546875" style="216" customWidth="1"/>
    <col min="14859" max="14859" width="14.42578125" style="216" customWidth="1"/>
    <col min="14860" max="15104" width="9.140625" style="216"/>
    <col min="15105" max="15105" width="2.7109375" style="216" customWidth="1"/>
    <col min="15106" max="15106" width="9.140625" style="216"/>
    <col min="15107" max="15107" width="40.28515625" style="216" bestFit="1" customWidth="1"/>
    <col min="15108" max="15108" width="10" style="216" customWidth="1"/>
    <col min="15109" max="15109" width="10.140625" style="216" customWidth="1"/>
    <col min="15110" max="15110" width="12.28515625" style="216" customWidth="1"/>
    <col min="15111" max="15111" width="15.7109375" style="216" customWidth="1"/>
    <col min="15112" max="15112" width="12.85546875" style="216" customWidth="1"/>
    <col min="15113" max="15113" width="12.7109375" style="216" customWidth="1"/>
    <col min="15114" max="15114" width="12.85546875" style="216" customWidth="1"/>
    <col min="15115" max="15115" width="14.42578125" style="216" customWidth="1"/>
    <col min="15116" max="15360" width="9.140625" style="216"/>
    <col min="15361" max="15361" width="2.7109375" style="216" customWidth="1"/>
    <col min="15362" max="15362" width="9.140625" style="216"/>
    <col min="15363" max="15363" width="40.28515625" style="216" bestFit="1" customWidth="1"/>
    <col min="15364" max="15364" width="10" style="216" customWidth="1"/>
    <col min="15365" max="15365" width="10.140625" style="216" customWidth="1"/>
    <col min="15366" max="15366" width="12.28515625" style="216" customWidth="1"/>
    <col min="15367" max="15367" width="15.7109375" style="216" customWidth="1"/>
    <col min="15368" max="15368" width="12.85546875" style="216" customWidth="1"/>
    <col min="15369" max="15369" width="12.7109375" style="216" customWidth="1"/>
    <col min="15370" max="15370" width="12.85546875" style="216" customWidth="1"/>
    <col min="15371" max="15371" width="14.42578125" style="216" customWidth="1"/>
    <col min="15372" max="15616" width="9.140625" style="216"/>
    <col min="15617" max="15617" width="2.7109375" style="216" customWidth="1"/>
    <col min="15618" max="15618" width="9.140625" style="216"/>
    <col min="15619" max="15619" width="40.28515625" style="216" bestFit="1" customWidth="1"/>
    <col min="15620" max="15620" width="10" style="216" customWidth="1"/>
    <col min="15621" max="15621" width="10.140625" style="216" customWidth="1"/>
    <col min="15622" max="15622" width="12.28515625" style="216" customWidth="1"/>
    <col min="15623" max="15623" width="15.7109375" style="216" customWidth="1"/>
    <col min="15624" max="15624" width="12.85546875" style="216" customWidth="1"/>
    <col min="15625" max="15625" width="12.7109375" style="216" customWidth="1"/>
    <col min="15626" max="15626" width="12.85546875" style="216" customWidth="1"/>
    <col min="15627" max="15627" width="14.42578125" style="216" customWidth="1"/>
    <col min="15628" max="15872" width="9.140625" style="216"/>
    <col min="15873" max="15873" width="2.7109375" style="216" customWidth="1"/>
    <col min="15874" max="15874" width="9.140625" style="216"/>
    <col min="15875" max="15875" width="40.28515625" style="216" bestFit="1" customWidth="1"/>
    <col min="15876" max="15876" width="10" style="216" customWidth="1"/>
    <col min="15877" max="15877" width="10.140625" style="216" customWidth="1"/>
    <col min="15878" max="15878" width="12.28515625" style="216" customWidth="1"/>
    <col min="15879" max="15879" width="15.7109375" style="216" customWidth="1"/>
    <col min="15880" max="15880" width="12.85546875" style="216" customWidth="1"/>
    <col min="15881" max="15881" width="12.7109375" style="216" customWidth="1"/>
    <col min="15882" max="15882" width="12.85546875" style="216" customWidth="1"/>
    <col min="15883" max="15883" width="14.42578125" style="216" customWidth="1"/>
    <col min="15884" max="16128" width="9.140625" style="216"/>
    <col min="16129" max="16129" width="2.7109375" style="216" customWidth="1"/>
    <col min="16130" max="16130" width="9.140625" style="216"/>
    <col min="16131" max="16131" width="40.28515625" style="216" bestFit="1" customWidth="1"/>
    <col min="16132" max="16132" width="10" style="216" customWidth="1"/>
    <col min="16133" max="16133" width="10.140625" style="216" customWidth="1"/>
    <col min="16134" max="16134" width="12.28515625" style="216" customWidth="1"/>
    <col min="16135" max="16135" width="15.7109375" style="216" customWidth="1"/>
    <col min="16136" max="16136" width="12.85546875" style="216" customWidth="1"/>
    <col min="16137" max="16137" width="12.7109375" style="216" customWidth="1"/>
    <col min="16138" max="16138" width="12.85546875" style="216" customWidth="1"/>
    <col min="16139" max="16139" width="14.42578125" style="216" customWidth="1"/>
    <col min="16140" max="16384" width="9.140625" style="216"/>
  </cols>
  <sheetData>
    <row r="1" spans="2:12" x14ac:dyDescent="0.2">
      <c r="D1" s="219"/>
      <c r="E1" s="218"/>
      <c r="F1" s="219"/>
      <c r="G1" s="219"/>
      <c r="H1" s="217" t="s">
        <v>419</v>
      </c>
      <c r="I1" s="766" t="str">
        <f>EBNUMBER</f>
        <v>EB-2014-0113</v>
      </c>
      <c r="L1" s="219"/>
    </row>
    <row r="2" spans="2:12" x14ac:dyDescent="0.2">
      <c r="D2" s="219"/>
      <c r="E2" s="218"/>
      <c r="F2" s="219"/>
      <c r="G2" s="219"/>
      <c r="H2" s="217" t="s">
        <v>420</v>
      </c>
      <c r="I2" s="767">
        <v>2</v>
      </c>
      <c r="L2" s="219"/>
    </row>
    <row r="3" spans="2:12" x14ac:dyDescent="0.2">
      <c r="D3" s="219"/>
      <c r="E3" s="218"/>
      <c r="F3" s="219"/>
      <c r="G3" s="219"/>
      <c r="H3" s="217" t="s">
        <v>421</v>
      </c>
      <c r="I3" s="767">
        <v>2</v>
      </c>
      <c r="L3" s="219"/>
    </row>
    <row r="4" spans="2:12" x14ac:dyDescent="0.2">
      <c r="D4" s="219"/>
      <c r="E4" s="218"/>
      <c r="F4" s="219"/>
      <c r="G4" s="219"/>
      <c r="H4" s="217" t="s">
        <v>422</v>
      </c>
      <c r="I4" s="767">
        <v>2</v>
      </c>
      <c r="L4" s="219"/>
    </row>
    <row r="5" spans="2:12" x14ac:dyDescent="0.2">
      <c r="D5" s="219"/>
      <c r="E5" s="218"/>
      <c r="F5" s="219"/>
      <c r="G5" s="219"/>
      <c r="H5" s="217" t="s">
        <v>423</v>
      </c>
      <c r="I5" s="768"/>
      <c r="L5" s="219"/>
    </row>
    <row r="6" spans="2:12" x14ac:dyDescent="0.2">
      <c r="D6" s="219"/>
      <c r="E6" s="218"/>
      <c r="F6" s="219"/>
      <c r="G6" s="219"/>
      <c r="H6" s="217"/>
      <c r="I6" s="766"/>
      <c r="L6" s="219"/>
    </row>
    <row r="7" spans="2:12" x14ac:dyDescent="0.2">
      <c r="D7" s="219"/>
      <c r="E7" s="218"/>
      <c r="F7" s="219"/>
      <c r="G7" s="219"/>
      <c r="H7" s="217" t="s">
        <v>424</v>
      </c>
      <c r="I7" s="1467">
        <v>42119</v>
      </c>
      <c r="L7" s="220"/>
    </row>
    <row r="9" spans="2:12" ht="18" x14ac:dyDescent="0.2">
      <c r="B9" s="1810" t="s">
        <v>614</v>
      </c>
      <c r="C9" s="1810"/>
      <c r="D9" s="1810"/>
      <c r="E9" s="1810"/>
      <c r="F9" s="1810"/>
      <c r="G9" s="1810"/>
      <c r="H9" s="1810"/>
      <c r="I9" s="1810"/>
      <c r="J9" s="1810"/>
      <c r="K9" s="1810"/>
    </row>
    <row r="10" spans="2:12" ht="18" x14ac:dyDescent="0.2">
      <c r="B10" s="1810" t="s">
        <v>3</v>
      </c>
      <c r="C10" s="1810"/>
      <c r="D10" s="1810"/>
      <c r="E10" s="1810"/>
      <c r="F10" s="1810"/>
      <c r="G10" s="1810"/>
      <c r="H10" s="1810"/>
      <c r="I10" s="1810"/>
      <c r="J10" s="1810"/>
      <c r="K10" s="1810"/>
    </row>
    <row r="11" spans="2:12" ht="24" customHeight="1" x14ac:dyDescent="0.2">
      <c r="B11" s="1877" t="s">
        <v>516</v>
      </c>
      <c r="C11" s="1877"/>
      <c r="D11" s="1877"/>
      <c r="E11" s="1877"/>
      <c r="F11" s="1877"/>
      <c r="G11" s="1877"/>
      <c r="H11" s="1877"/>
      <c r="I11" s="1877"/>
      <c r="J11" s="1877"/>
      <c r="K11" s="1877"/>
    </row>
    <row r="12" spans="2:12" ht="13.5" customHeight="1" x14ac:dyDescent="0.25">
      <c r="B12" s="1005"/>
      <c r="C12" s="1005"/>
      <c r="D12" s="1008">
        <v>2015</v>
      </c>
      <c r="E12" s="1008" t="s">
        <v>162</v>
      </c>
      <c r="F12" s="1005"/>
      <c r="G12" s="1005"/>
      <c r="H12" s="1005"/>
      <c r="I12" s="1005"/>
    </row>
    <row r="13" spans="2:12" ht="13.5" thickBot="1" x14ac:dyDescent="0.25"/>
    <row r="14" spans="2:12" ht="62.25" customHeight="1" x14ac:dyDescent="0.2">
      <c r="B14" s="303" t="s">
        <v>4</v>
      </c>
      <c r="C14" s="1873" t="s">
        <v>346</v>
      </c>
      <c r="D14" s="221" t="s">
        <v>348</v>
      </c>
      <c r="E14" s="221" t="s">
        <v>530</v>
      </c>
      <c r="F14" s="221" t="s">
        <v>520</v>
      </c>
      <c r="G14" s="222" t="s">
        <v>2069</v>
      </c>
      <c r="H14" s="1880" t="s">
        <v>2070</v>
      </c>
      <c r="I14" s="222" t="s">
        <v>523</v>
      </c>
    </row>
    <row r="15" spans="2:12" ht="52.5" customHeight="1" thickBot="1" x14ac:dyDescent="0.25">
      <c r="B15" s="302"/>
      <c r="C15" s="1879"/>
      <c r="D15" s="294" t="s">
        <v>6</v>
      </c>
      <c r="E15" s="294" t="s">
        <v>9</v>
      </c>
      <c r="F15" s="294" t="s">
        <v>10</v>
      </c>
      <c r="G15" s="295" t="s">
        <v>793</v>
      </c>
      <c r="H15" s="1881"/>
      <c r="I15" s="296" t="s">
        <v>517</v>
      </c>
    </row>
    <row r="16" spans="2:12" ht="25.5" x14ac:dyDescent="0.2">
      <c r="B16" s="841">
        <v>1611</v>
      </c>
      <c r="C16" s="842" t="s">
        <v>515</v>
      </c>
      <c r="D16" s="204">
        <v>13000</v>
      </c>
      <c r="E16" s="306">
        <v>5</v>
      </c>
      <c r="F16" s="592">
        <f t="shared" ref="F16:F55" si="0">IF(E16=0,0,1/E16)</f>
        <v>0.2</v>
      </c>
      <c r="G16" s="796">
        <f>IF(E16=0,'App.2-CD_MIFRS_DepExp_2013'!K16,+'App.2-CD_MIFRS_DepExp_2013'!K16+((D16*0.5)/E16))</f>
        <v>109184.5931111111</v>
      </c>
      <c r="H16" s="305">
        <f>27931+37312</f>
        <v>65243</v>
      </c>
      <c r="I16" s="796">
        <f t="shared" ref="I16:I55" si="1">IF(ISERROR(+G16-H16), 0, +G16-H16)</f>
        <v>43941.593111111099</v>
      </c>
    </row>
    <row r="17" spans="2:13" x14ac:dyDescent="0.2">
      <c r="B17" s="828">
        <v>1612</v>
      </c>
      <c r="C17" s="783" t="s">
        <v>650</v>
      </c>
      <c r="D17" s="204"/>
      <c r="E17" s="282"/>
      <c r="F17" s="586">
        <f t="shared" si="0"/>
        <v>0</v>
      </c>
      <c r="G17" s="796">
        <f>IF(E17=0,'App.2-CD_MIFRS_DepExp_2013'!K17,+'App.2-CD_MIFRS_DepExp_2013'!K17+((D17*0.5)/E17))</f>
        <v>0</v>
      </c>
      <c r="H17" s="281"/>
      <c r="I17" s="796">
        <f t="shared" si="1"/>
        <v>0</v>
      </c>
    </row>
    <row r="18" spans="2:13" x14ac:dyDescent="0.2">
      <c r="B18" s="829">
        <v>1805</v>
      </c>
      <c r="C18" s="786" t="s">
        <v>383</v>
      </c>
      <c r="D18" s="204"/>
      <c r="E18" s="282">
        <v>0</v>
      </c>
      <c r="F18" s="586">
        <f t="shared" si="0"/>
        <v>0</v>
      </c>
      <c r="G18" s="796">
        <f>IF(E18=0,'App.2-CD_MIFRS_DepExp_2013'!K18,+'App.2-CD_MIFRS_DepExp_2013'!K18+((D18*0.5)/E18))</f>
        <v>0</v>
      </c>
      <c r="H18" s="281"/>
      <c r="I18" s="796">
        <f t="shared" si="1"/>
        <v>0</v>
      </c>
    </row>
    <row r="19" spans="2:13" x14ac:dyDescent="0.2">
      <c r="B19" s="828">
        <v>1808</v>
      </c>
      <c r="C19" s="787" t="s">
        <v>384</v>
      </c>
      <c r="D19" s="204"/>
      <c r="E19" s="282"/>
      <c r="F19" s="586">
        <f t="shared" si="0"/>
        <v>0</v>
      </c>
      <c r="G19" s="796">
        <f>IF(E19=0,'App.2-CD_MIFRS_DepExp_2013'!K19,+'App.2-CD_MIFRS_DepExp_2013'!K19+((D19*0.5)/E19))</f>
        <v>0</v>
      </c>
      <c r="H19" s="281"/>
      <c r="I19" s="796">
        <f t="shared" si="1"/>
        <v>0</v>
      </c>
    </row>
    <row r="20" spans="2:13" x14ac:dyDescent="0.2">
      <c r="B20" s="828">
        <v>1810</v>
      </c>
      <c r="C20" s="787" t="s">
        <v>417</v>
      </c>
      <c r="D20" s="204"/>
      <c r="E20" s="282"/>
      <c r="F20" s="586">
        <f t="shared" si="0"/>
        <v>0</v>
      </c>
      <c r="G20" s="796">
        <f>IF(E20=0,'App.2-CD_MIFRS_DepExp_2013'!K20,+'App.2-CD_MIFRS_DepExp_2013'!K20+((D20*0.5)/E20))</f>
        <v>0</v>
      </c>
      <c r="H20" s="281"/>
      <c r="I20" s="796">
        <f t="shared" si="1"/>
        <v>0</v>
      </c>
    </row>
    <row r="21" spans="2:13" x14ac:dyDescent="0.2">
      <c r="B21" s="828">
        <v>1815</v>
      </c>
      <c r="C21" s="787" t="s">
        <v>385</v>
      </c>
      <c r="D21" s="204"/>
      <c r="E21" s="282"/>
      <c r="F21" s="586">
        <f t="shared" si="0"/>
        <v>0</v>
      </c>
      <c r="G21" s="796">
        <f>IF(E21=0,'App.2-CD_MIFRS_DepExp_2013'!K21,+'App.2-CD_MIFRS_DepExp_2013'!K21+((D21*0.5)/E21))</f>
        <v>0</v>
      </c>
      <c r="H21" s="281"/>
      <c r="I21" s="796">
        <f t="shared" si="1"/>
        <v>0</v>
      </c>
    </row>
    <row r="22" spans="2:13" x14ac:dyDescent="0.2">
      <c r="B22" s="828">
        <v>1820</v>
      </c>
      <c r="C22" s="783" t="s">
        <v>306</v>
      </c>
      <c r="D22" s="204"/>
      <c r="E22" s="282">
        <v>45</v>
      </c>
      <c r="F22" s="586">
        <f t="shared" si="0"/>
        <v>2.2222222222222223E-2</v>
      </c>
      <c r="G22" s="796">
        <f>IF(E22=0,'App.2-CD_MIFRS_DepExp_2013'!K22,+'App.2-CD_MIFRS_DepExp_2013'!K22+((D22*0.5)/E22))</f>
        <v>785.37333333333174</v>
      </c>
      <c r="H22" s="281">
        <v>836</v>
      </c>
      <c r="I22" s="796">
        <f t="shared" si="1"/>
        <v>-50.626666666668257</v>
      </c>
    </row>
    <row r="23" spans="2:13" x14ac:dyDescent="0.2">
      <c r="B23" s="828">
        <v>1825</v>
      </c>
      <c r="C23" s="787" t="s">
        <v>386</v>
      </c>
      <c r="D23" s="204"/>
      <c r="E23" s="282"/>
      <c r="F23" s="586">
        <f t="shared" si="0"/>
        <v>0</v>
      </c>
      <c r="G23" s="796">
        <f>IF(E23=0,'App.2-CD_MIFRS_DepExp_2013'!K23,+'App.2-CD_MIFRS_DepExp_2013'!K23+((D23*0.5)/E23))</f>
        <v>0</v>
      </c>
      <c r="H23" s="281"/>
      <c r="I23" s="796">
        <f t="shared" si="1"/>
        <v>0</v>
      </c>
    </row>
    <row r="24" spans="2:13" x14ac:dyDescent="0.2">
      <c r="B24" s="828">
        <v>1830</v>
      </c>
      <c r="C24" s="787" t="s">
        <v>387</v>
      </c>
      <c r="D24" s="204">
        <v>326655</v>
      </c>
      <c r="E24" s="282">
        <v>45</v>
      </c>
      <c r="F24" s="586">
        <f t="shared" si="0"/>
        <v>2.2222222222222223E-2</v>
      </c>
      <c r="G24" s="796">
        <f>IF(E24=0,'App.2-CD_MIFRS_DepExp_2013'!K24,+'App.2-CD_MIFRS_DepExp_2013'!K24+((D24*0.5)/E24))</f>
        <v>139176.48246153849</v>
      </c>
      <c r="H24" s="281">
        <v>138179</v>
      </c>
      <c r="I24" s="796">
        <f t="shared" si="1"/>
        <v>997.48246153848595</v>
      </c>
    </row>
    <row r="25" spans="2:13" x14ac:dyDescent="0.2">
      <c r="B25" s="828">
        <v>1835</v>
      </c>
      <c r="C25" s="787" t="s">
        <v>307</v>
      </c>
      <c r="D25" s="204">
        <v>268280</v>
      </c>
      <c r="E25" s="282">
        <v>60</v>
      </c>
      <c r="F25" s="586">
        <f t="shared" si="0"/>
        <v>1.6666666666666666E-2</v>
      </c>
      <c r="G25" s="796">
        <f>IF(E25=0,'App.2-CD_MIFRS_DepExp_2013'!K25,+'App.2-CD_MIFRS_DepExp_2013'!K25+((D25*0.5)/E25))</f>
        <v>81567.448666666663</v>
      </c>
      <c r="H25" s="281">
        <v>79686</v>
      </c>
      <c r="I25" s="796">
        <f t="shared" si="1"/>
        <v>1881.4486666666635</v>
      </c>
    </row>
    <row r="26" spans="2:13" x14ac:dyDescent="0.2">
      <c r="B26" s="828">
        <v>1840</v>
      </c>
      <c r="C26" s="787" t="s">
        <v>308</v>
      </c>
      <c r="D26" s="204">
        <v>329925</v>
      </c>
      <c r="E26" s="282">
        <v>40</v>
      </c>
      <c r="F26" s="586">
        <f t="shared" si="0"/>
        <v>2.5000000000000001E-2</v>
      </c>
      <c r="G26" s="796">
        <f>IF(E26=0,'App.2-CD_MIFRS_DepExp_2013'!K26,+'App.2-CD_MIFRS_DepExp_2013'!K26+((D26*0.5)/E26))</f>
        <v>101221.21027586207</v>
      </c>
      <c r="H26" s="281">
        <v>103635</v>
      </c>
      <c r="I26" s="796">
        <f t="shared" si="1"/>
        <v>-2413.7897241379251</v>
      </c>
    </row>
    <row r="27" spans="2:13" x14ac:dyDescent="0.2">
      <c r="B27" s="828">
        <v>1845</v>
      </c>
      <c r="C27" s="787" t="s">
        <v>309</v>
      </c>
      <c r="D27" s="204">
        <v>285377</v>
      </c>
      <c r="E27" s="282">
        <v>40</v>
      </c>
      <c r="F27" s="586">
        <f t="shared" si="0"/>
        <v>2.5000000000000001E-2</v>
      </c>
      <c r="G27" s="796">
        <f>IF(E27=0,'App.2-CD_MIFRS_DepExp_2013'!K27,+'App.2-CD_MIFRS_DepExp_2013'!K27+((D27*0.5)/E27))</f>
        <v>151266.81161111113</v>
      </c>
      <c r="H27" s="281">
        <v>160565</v>
      </c>
      <c r="I27" s="796">
        <f t="shared" si="1"/>
        <v>-9298.1883888888697</v>
      </c>
    </row>
    <row r="28" spans="2:13" x14ac:dyDescent="0.2">
      <c r="B28" s="828">
        <v>1850</v>
      </c>
      <c r="C28" s="787" t="s">
        <v>388</v>
      </c>
      <c r="D28" s="204">
        <f>270632+115271</f>
        <v>385903</v>
      </c>
      <c r="E28" s="282">
        <v>40</v>
      </c>
      <c r="F28" s="586">
        <f t="shared" si="0"/>
        <v>2.5000000000000001E-2</v>
      </c>
      <c r="G28" s="796">
        <f>IF(E28=0,'App.2-CD_MIFRS_DepExp_2013'!K28,+'App.2-CD_MIFRS_DepExp_2013'!K28+((D28*0.5)/E28))</f>
        <v>173907.55983333336</v>
      </c>
      <c r="H28" s="281">
        <f>60491+112064</f>
        <v>172555</v>
      </c>
      <c r="I28" s="796">
        <f t="shared" si="1"/>
        <v>1352.5598333333619</v>
      </c>
    </row>
    <row r="29" spans="2:13" x14ac:dyDescent="0.2">
      <c r="B29" s="828">
        <v>1855</v>
      </c>
      <c r="C29" s="787" t="s">
        <v>310</v>
      </c>
      <c r="D29" s="204">
        <f>11533+29353</f>
        <v>40886</v>
      </c>
      <c r="E29" s="282">
        <v>40</v>
      </c>
      <c r="F29" s="586">
        <f t="shared" si="0"/>
        <v>2.5000000000000001E-2</v>
      </c>
      <c r="G29" s="796">
        <f>IF(E29=0,'App.2-CD_MIFRS_DepExp_2013'!K29,+'App.2-CD_MIFRS_DepExp_2013'!K29+((D29*0.5)/E29))</f>
        <v>96152.128058823509</v>
      </c>
      <c r="H29" s="281">
        <f>66901+30072</f>
        <v>96973</v>
      </c>
      <c r="I29" s="796">
        <f t="shared" si="1"/>
        <v>-820.87194117649051</v>
      </c>
    </row>
    <row r="30" spans="2:13" x14ac:dyDescent="0.2">
      <c r="B30" s="828">
        <v>1860</v>
      </c>
      <c r="C30" s="787" t="s">
        <v>389</v>
      </c>
      <c r="D30" s="204"/>
      <c r="E30" s="282">
        <v>15</v>
      </c>
      <c r="F30" s="586">
        <f t="shared" si="0"/>
        <v>6.6666666666666666E-2</v>
      </c>
      <c r="G30" s="796">
        <f>IF(E30=0,'App.2-CD_MIFRS_DepExp_2013'!K30,+'App.2-CD_MIFRS_DepExp_2013'!K30+((D30*0.5)/E30))</f>
        <v>72097.508102564097</v>
      </c>
      <c r="H30" s="281">
        <f>7066+2385</f>
        <v>9451</v>
      </c>
      <c r="I30" s="796">
        <f t="shared" si="1"/>
        <v>62646.508102564097</v>
      </c>
      <c r="M30" s="216" t="s">
        <v>2072</v>
      </c>
    </row>
    <row r="31" spans="2:13" x14ac:dyDescent="0.2">
      <c r="B31" s="829">
        <v>1860</v>
      </c>
      <c r="C31" s="786" t="s">
        <v>311</v>
      </c>
      <c r="D31" s="204">
        <v>12974</v>
      </c>
      <c r="E31" s="282">
        <v>15</v>
      </c>
      <c r="F31" s="586">
        <f t="shared" si="0"/>
        <v>6.6666666666666666E-2</v>
      </c>
      <c r="G31" s="796">
        <f>IF(E31=0,'App.2-CD_MIFRS_DepExp_2013'!K31,+'App.2-CD_MIFRS_DepExp_2013'!K31+((D31*0.5)/E31))</f>
        <v>211123.26333333334</v>
      </c>
      <c r="H31" s="281">
        <v>211555</v>
      </c>
      <c r="I31" s="796">
        <f t="shared" si="1"/>
        <v>-431.73666666666395</v>
      </c>
    </row>
    <row r="32" spans="2:13" x14ac:dyDescent="0.2">
      <c r="B32" s="829">
        <v>1905</v>
      </c>
      <c r="C32" s="786" t="s">
        <v>383</v>
      </c>
      <c r="D32" s="204"/>
      <c r="E32" s="282"/>
      <c r="F32" s="586">
        <f t="shared" si="0"/>
        <v>0</v>
      </c>
      <c r="G32" s="796">
        <f>IF(E32=0,'App.2-CD_MIFRS_DepExp_2013'!K32,+'App.2-CD_MIFRS_DepExp_2013'!K32+((D32*0.5)/E32))</f>
        <v>0</v>
      </c>
      <c r="H32" s="281"/>
      <c r="I32" s="796">
        <f t="shared" si="1"/>
        <v>0</v>
      </c>
    </row>
    <row r="33" spans="2:9" x14ac:dyDescent="0.2">
      <c r="B33" s="828">
        <v>1908</v>
      </c>
      <c r="C33" s="787" t="s">
        <v>391</v>
      </c>
      <c r="D33" s="204">
        <v>100000</v>
      </c>
      <c r="E33" s="282">
        <v>60</v>
      </c>
      <c r="F33" s="586">
        <f t="shared" si="0"/>
        <v>1.6666666666666666E-2</v>
      </c>
      <c r="G33" s="796">
        <f>IF(E33=0,'App.2-CD_MIFRS_DepExp_2013'!K33,+'App.2-CD_MIFRS_DepExp_2013'!K33+((D33*0.5)/E33))</f>
        <v>37593.654937984495</v>
      </c>
      <c r="H33" s="281">
        <f>37962+2363</f>
        <v>40325</v>
      </c>
      <c r="I33" s="796">
        <f t="shared" si="1"/>
        <v>-2731.3450620155054</v>
      </c>
    </row>
    <row r="34" spans="2:9" x14ac:dyDescent="0.2">
      <c r="B34" s="828">
        <v>1910</v>
      </c>
      <c r="C34" s="787" t="s">
        <v>417</v>
      </c>
      <c r="D34" s="204"/>
      <c r="E34" s="282"/>
      <c r="F34" s="586">
        <f t="shared" si="0"/>
        <v>0</v>
      </c>
      <c r="G34" s="796">
        <f>IF(E34=0,'App.2-CD_MIFRS_DepExp_2013'!K34,+'App.2-CD_MIFRS_DepExp_2013'!K34+((D34*0.5)/E34))</f>
        <v>0</v>
      </c>
      <c r="H34" s="281"/>
      <c r="I34" s="796">
        <f t="shared" si="1"/>
        <v>0</v>
      </c>
    </row>
    <row r="35" spans="2:9" x14ac:dyDescent="0.2">
      <c r="B35" s="828">
        <v>1915</v>
      </c>
      <c r="C35" s="787" t="s">
        <v>312</v>
      </c>
      <c r="D35" s="204">
        <v>70000</v>
      </c>
      <c r="E35" s="282">
        <v>10</v>
      </c>
      <c r="F35" s="586">
        <f t="shared" si="0"/>
        <v>0.1</v>
      </c>
      <c r="G35" s="796">
        <f>IF(E35=0,'App.2-CD_MIFRS_DepExp_2013'!K35,+'App.2-CD_MIFRS_DepExp_2013'!K35+((D35*0.5)/E35))</f>
        <v>17693.686999999998</v>
      </c>
      <c r="H35" s="281">
        <v>17694</v>
      </c>
      <c r="I35" s="796">
        <f t="shared" si="1"/>
        <v>-0.31300000000192085</v>
      </c>
    </row>
    <row r="36" spans="2:9" x14ac:dyDescent="0.2">
      <c r="B36" s="828">
        <v>1915</v>
      </c>
      <c r="C36" s="787" t="s">
        <v>313</v>
      </c>
      <c r="D36" s="204"/>
      <c r="E36" s="282"/>
      <c r="F36" s="586">
        <f t="shared" si="0"/>
        <v>0</v>
      </c>
      <c r="G36" s="796">
        <f>IF(E36=0,'App.2-CD_MIFRS_DepExp_2013'!K36,+'App.2-CD_MIFRS_DepExp_2013'!K36+((D36*0.5)/E36))</f>
        <v>0</v>
      </c>
      <c r="H36" s="281"/>
      <c r="I36" s="796">
        <f t="shared" si="1"/>
        <v>0</v>
      </c>
    </row>
    <row r="37" spans="2:9" x14ac:dyDescent="0.2">
      <c r="B37" s="828">
        <v>1920</v>
      </c>
      <c r="C37" s="787" t="s">
        <v>314</v>
      </c>
      <c r="D37" s="204"/>
      <c r="E37" s="282"/>
      <c r="F37" s="586">
        <f t="shared" si="0"/>
        <v>0</v>
      </c>
      <c r="G37" s="796">
        <f>IF(E37=0,'App.2-CD_MIFRS_DepExp_2013'!K37,+'App.2-CD_MIFRS_DepExp_2013'!K37+((D37*0.5)/E37))</f>
        <v>0</v>
      </c>
      <c r="H37" s="281"/>
      <c r="I37" s="796">
        <f t="shared" si="1"/>
        <v>0</v>
      </c>
    </row>
    <row r="38" spans="2:9" x14ac:dyDescent="0.2">
      <c r="B38" s="830">
        <v>1920</v>
      </c>
      <c r="C38" s="783" t="s">
        <v>316</v>
      </c>
      <c r="D38" s="204">
        <v>85000</v>
      </c>
      <c r="E38" s="282">
        <v>5</v>
      </c>
      <c r="F38" s="586">
        <f t="shared" si="0"/>
        <v>0.2</v>
      </c>
      <c r="G38" s="796">
        <f>IF(E38=0,'App.2-CD_MIFRS_DepExp_2013'!K38,+'App.2-CD_MIFRS_DepExp_2013'!K38+((D38*0.5)/E38))</f>
        <v>72911.360000000015</v>
      </c>
      <c r="H38" s="281">
        <v>69587</v>
      </c>
      <c r="I38" s="796">
        <f t="shared" si="1"/>
        <v>3324.3600000000151</v>
      </c>
    </row>
    <row r="39" spans="2:9" x14ac:dyDescent="0.2">
      <c r="B39" s="830">
        <v>1920</v>
      </c>
      <c r="C39" s="783" t="s">
        <v>315</v>
      </c>
      <c r="D39" s="204"/>
      <c r="E39" s="282"/>
      <c r="F39" s="586">
        <f t="shared" si="0"/>
        <v>0</v>
      </c>
      <c r="G39" s="796">
        <f>IF(E39=0,'App.2-CD_MIFRS_DepExp_2013'!K39,+'App.2-CD_MIFRS_DepExp_2013'!K39+((D39*0.5)/E39))</f>
        <v>0</v>
      </c>
      <c r="H39" s="281"/>
      <c r="I39" s="796">
        <f t="shared" si="1"/>
        <v>0</v>
      </c>
    </row>
    <row r="40" spans="2:9" x14ac:dyDescent="0.2">
      <c r="B40" s="828">
        <v>1930</v>
      </c>
      <c r="C40" s="787" t="s">
        <v>404</v>
      </c>
      <c r="D40" s="204">
        <v>125000</v>
      </c>
      <c r="E40" s="282">
        <v>10</v>
      </c>
      <c r="F40" s="586">
        <f t="shared" si="0"/>
        <v>0.1</v>
      </c>
      <c r="G40" s="796">
        <f>IF(E40=0,'App.2-CD_MIFRS_DepExp_2013'!K40,+'App.2-CD_MIFRS_DepExp_2013'!K40+((D40*0.5)/E40))</f>
        <v>111642.36933333334</v>
      </c>
      <c r="H40" s="281">
        <v>100927</v>
      </c>
      <c r="I40" s="796">
        <f t="shared" si="1"/>
        <v>10715.369333333336</v>
      </c>
    </row>
    <row r="41" spans="2:9" x14ac:dyDescent="0.2">
      <c r="B41" s="828">
        <v>1935</v>
      </c>
      <c r="C41" s="787" t="s">
        <v>405</v>
      </c>
      <c r="D41" s="204"/>
      <c r="E41" s="282"/>
      <c r="F41" s="586">
        <f t="shared" si="0"/>
        <v>0</v>
      </c>
      <c r="G41" s="796">
        <f>IF(E41=0,'App.2-CD_MIFRS_DepExp_2013'!K41,+'App.2-CD_MIFRS_DepExp_2013'!K41+((D41*0.5)/E41))</f>
        <v>0</v>
      </c>
      <c r="H41" s="281"/>
      <c r="I41" s="796">
        <f t="shared" si="1"/>
        <v>0</v>
      </c>
    </row>
    <row r="42" spans="2:9" x14ac:dyDescent="0.2">
      <c r="B42" s="828">
        <v>1940</v>
      </c>
      <c r="C42" s="787" t="s">
        <v>406</v>
      </c>
      <c r="D42" s="204">
        <v>20000</v>
      </c>
      <c r="E42" s="282">
        <v>10</v>
      </c>
      <c r="F42" s="586">
        <f t="shared" si="0"/>
        <v>0.1</v>
      </c>
      <c r="G42" s="796">
        <f>IF(E42=0,'App.2-CD_MIFRS_DepExp_2013'!K42,+'App.2-CD_MIFRS_DepExp_2013'!K42+((D42*0.5)/E42))</f>
        <v>43812.729999999996</v>
      </c>
      <c r="H42" s="281">
        <v>43812</v>
      </c>
      <c r="I42" s="796">
        <f t="shared" si="1"/>
        <v>0.72999999999592546</v>
      </c>
    </row>
    <row r="43" spans="2:9" x14ac:dyDescent="0.2">
      <c r="B43" s="828">
        <v>1945</v>
      </c>
      <c r="C43" s="787" t="s">
        <v>407</v>
      </c>
      <c r="D43" s="204"/>
      <c r="E43" s="282"/>
      <c r="F43" s="586">
        <f t="shared" si="0"/>
        <v>0</v>
      </c>
      <c r="G43" s="796">
        <f>IF(E43=0,'App.2-CD_MIFRS_DepExp_2013'!K43,+'App.2-CD_MIFRS_DepExp_2013'!K43+((D43*0.5)/E43))</f>
        <v>0</v>
      </c>
      <c r="H43" s="281"/>
      <c r="I43" s="796">
        <f t="shared" si="1"/>
        <v>0</v>
      </c>
    </row>
    <row r="44" spans="2:9" x14ac:dyDescent="0.2">
      <c r="B44" s="828">
        <v>1950</v>
      </c>
      <c r="C44" s="787" t="s">
        <v>317</v>
      </c>
      <c r="D44" s="204"/>
      <c r="E44" s="282"/>
      <c r="F44" s="586">
        <f t="shared" si="0"/>
        <v>0</v>
      </c>
      <c r="G44" s="796">
        <f>IF(E44=0,'App.2-CD_MIFRS_DepExp_2013'!K44,+'App.2-CD_MIFRS_DepExp_2013'!K44+((D44*0.5)/E44))</f>
        <v>0</v>
      </c>
      <c r="H44" s="281"/>
      <c r="I44" s="796">
        <f t="shared" si="1"/>
        <v>0</v>
      </c>
    </row>
    <row r="45" spans="2:9" x14ac:dyDescent="0.2">
      <c r="B45" s="828">
        <v>1955</v>
      </c>
      <c r="C45" s="787" t="s">
        <v>408</v>
      </c>
      <c r="D45" s="204">
        <v>0</v>
      </c>
      <c r="E45" s="282">
        <v>5</v>
      </c>
      <c r="F45" s="586">
        <f t="shared" si="0"/>
        <v>0.2</v>
      </c>
      <c r="G45" s="796">
        <f>IF(E45=0,'App.2-CD_MIFRS_DepExp_2013'!K45,+'App.2-CD_MIFRS_DepExp_2013'!K45+((D45*0.5)/E45))</f>
        <v>831.05133333333333</v>
      </c>
      <c r="H45" s="281">
        <v>2493</v>
      </c>
      <c r="I45" s="796">
        <f t="shared" si="1"/>
        <v>-1661.9486666666667</v>
      </c>
    </row>
    <row r="46" spans="2:9" x14ac:dyDescent="0.2">
      <c r="B46" s="831">
        <v>1955</v>
      </c>
      <c r="C46" s="790" t="s">
        <v>318</v>
      </c>
      <c r="D46" s="204"/>
      <c r="E46" s="282"/>
      <c r="F46" s="586">
        <f t="shared" si="0"/>
        <v>0</v>
      </c>
      <c r="G46" s="796">
        <f>IF(E46=0,'App.2-CD_MIFRS_DepExp_2013'!K46,+'App.2-CD_MIFRS_DepExp_2013'!K46+((D46*0.5)/E46))</f>
        <v>0</v>
      </c>
      <c r="H46" s="281"/>
      <c r="I46" s="796">
        <f t="shared" si="1"/>
        <v>0</v>
      </c>
    </row>
    <row r="47" spans="2:9" x14ac:dyDescent="0.2">
      <c r="B47" s="830">
        <v>1960</v>
      </c>
      <c r="C47" s="783" t="s">
        <v>319</v>
      </c>
      <c r="D47" s="204">
        <v>0</v>
      </c>
      <c r="E47" s="282">
        <v>10</v>
      </c>
      <c r="F47" s="586">
        <f t="shared" si="0"/>
        <v>0.1</v>
      </c>
      <c r="G47" s="796">
        <f>IF(E47=0,'App.2-CD_MIFRS_DepExp_2013'!K47,+'App.2-CD_MIFRS_DepExp_2013'!K47+((D47*0.5)/E47))</f>
        <v>13333.333333333334</v>
      </c>
      <c r="H47" s="281">
        <v>13333</v>
      </c>
      <c r="I47" s="796">
        <f t="shared" si="1"/>
        <v>0.33333333333393966</v>
      </c>
    </row>
    <row r="48" spans="2:9" x14ac:dyDescent="0.2">
      <c r="B48" s="831">
        <v>1970</v>
      </c>
      <c r="C48" s="832" t="s">
        <v>773</v>
      </c>
      <c r="D48" s="204"/>
      <c r="E48" s="282"/>
      <c r="F48" s="586">
        <f t="shared" si="0"/>
        <v>0</v>
      </c>
      <c r="G48" s="796">
        <f>IF(E48=0,'App.2-CD_MIFRS_DepExp_2013'!K48,+'App.2-CD_MIFRS_DepExp_2013'!K48+((D48*0.5)/E48))</f>
        <v>0</v>
      </c>
      <c r="H48" s="281"/>
      <c r="I48" s="796">
        <f t="shared" si="1"/>
        <v>0</v>
      </c>
    </row>
    <row r="49" spans="2:11" x14ac:dyDescent="0.2">
      <c r="B49" s="828">
        <v>1975</v>
      </c>
      <c r="C49" s="787" t="s">
        <v>409</v>
      </c>
      <c r="D49" s="204"/>
      <c r="E49" s="282"/>
      <c r="F49" s="586">
        <f t="shared" si="0"/>
        <v>0</v>
      </c>
      <c r="G49" s="796">
        <f>IF(E49=0,'App.2-CD_MIFRS_DepExp_2013'!K49,+'App.2-CD_MIFRS_DepExp_2013'!K49+((D49*0.5)/E49))</f>
        <v>0</v>
      </c>
      <c r="H49" s="281"/>
      <c r="I49" s="796">
        <f t="shared" si="1"/>
        <v>0</v>
      </c>
    </row>
    <row r="50" spans="2:11" x14ac:dyDescent="0.2">
      <c r="B50" s="828">
        <v>1980</v>
      </c>
      <c r="C50" s="787" t="s">
        <v>410</v>
      </c>
      <c r="D50" s="204">
        <v>100000</v>
      </c>
      <c r="E50" s="282">
        <v>15</v>
      </c>
      <c r="F50" s="586">
        <f t="shared" si="0"/>
        <v>6.6666666666666666E-2</v>
      </c>
      <c r="G50" s="796">
        <f>IF(E50=0,'App.2-CD_MIFRS_DepExp_2013'!K50,+'App.2-CD_MIFRS_DepExp_2013'!K50+((D50*0.5)/E50))</f>
        <v>49106.777999999998</v>
      </c>
      <c r="H50" s="281">
        <f>6511+40834</f>
        <v>47345</v>
      </c>
      <c r="I50" s="796">
        <f t="shared" si="1"/>
        <v>1761.7779999999984</v>
      </c>
    </row>
    <row r="51" spans="2:11" x14ac:dyDescent="0.2">
      <c r="B51" s="828">
        <v>1985</v>
      </c>
      <c r="C51" s="787" t="s">
        <v>411</v>
      </c>
      <c r="D51" s="204"/>
      <c r="E51" s="282"/>
      <c r="F51" s="586">
        <f t="shared" si="0"/>
        <v>0</v>
      </c>
      <c r="G51" s="796">
        <f>IF(E51=0,'App.2-CD_MIFRS_DepExp_2013'!K51,+'App.2-CD_MIFRS_DepExp_2013'!K51+((D51*0.5)/E51))</f>
        <v>0</v>
      </c>
      <c r="H51" s="281"/>
      <c r="I51" s="796">
        <f t="shared" si="1"/>
        <v>0</v>
      </c>
    </row>
    <row r="52" spans="2:11" x14ac:dyDescent="0.2">
      <c r="B52" s="828">
        <v>1990</v>
      </c>
      <c r="C52" s="791" t="s">
        <v>774</v>
      </c>
      <c r="D52" s="204"/>
      <c r="E52" s="282"/>
      <c r="F52" s="586">
        <f t="shared" si="0"/>
        <v>0</v>
      </c>
      <c r="G52" s="796">
        <f>IF(E52=0,'App.2-CD_MIFRS_DepExp_2013'!K52,+'App.2-CD_MIFRS_DepExp_2013'!K52+((D52*0.5)/E52))</f>
        <v>0</v>
      </c>
      <c r="H52" s="281"/>
      <c r="I52" s="796">
        <f t="shared" si="1"/>
        <v>0</v>
      </c>
    </row>
    <row r="53" spans="2:11" x14ac:dyDescent="0.2">
      <c r="B53" s="828">
        <v>1995</v>
      </c>
      <c r="C53" s="787" t="s">
        <v>412</v>
      </c>
      <c r="D53" s="204">
        <v>-100000</v>
      </c>
      <c r="E53" s="282">
        <v>40</v>
      </c>
      <c r="F53" s="586">
        <f t="shared" si="0"/>
        <v>2.5000000000000001E-2</v>
      </c>
      <c r="G53" s="796">
        <f>IF(E53=0,'App.2-CD_MIFRS_DepExp_2013'!K53,+'App.2-CD_MIFRS_DepExp_2013'!K53+((D53*0.5)/E53))</f>
        <v>-125401.44725000001</v>
      </c>
      <c r="H53" s="281">
        <v>-165979</v>
      </c>
      <c r="I53" s="796">
        <f t="shared" si="1"/>
        <v>40577.552749999988</v>
      </c>
    </row>
    <row r="54" spans="2:11" x14ac:dyDescent="0.2">
      <c r="B54" s="227" t="s">
        <v>13</v>
      </c>
      <c r="C54" s="228"/>
      <c r="D54" s="204"/>
      <c r="E54" s="282"/>
      <c r="F54" s="586">
        <f t="shared" si="0"/>
        <v>0</v>
      </c>
      <c r="G54" s="796">
        <f>IF(E54=0,'App.2-CD_MIFRS_DepExp_2013'!K54,+'App.2-CD_MIFRS_DepExp_2013'!K54+((D54*0.5)/E54))</f>
        <v>0</v>
      </c>
      <c r="H54" s="281"/>
      <c r="I54" s="796">
        <f t="shared" si="1"/>
        <v>0</v>
      </c>
    </row>
    <row r="55" spans="2:11" ht="13.5" thickBot="1" x14ac:dyDescent="0.25">
      <c r="B55" s="229"/>
      <c r="C55" s="230"/>
      <c r="D55" s="204"/>
      <c r="E55" s="283"/>
      <c r="F55" s="593">
        <f t="shared" si="0"/>
        <v>0</v>
      </c>
      <c r="G55" s="796">
        <f>IF(E55=0,'App.2-CD_MIFRS_DepExp_2013'!K55,+'App.2-CD_MIFRS_DepExp_2013'!K55+((D55*0.5)/E55))</f>
        <v>0</v>
      </c>
      <c r="H55" s="595"/>
      <c r="I55" s="796">
        <f t="shared" si="1"/>
        <v>0</v>
      </c>
    </row>
    <row r="56" spans="2:11" ht="14.25" thickTop="1" thickBot="1" x14ac:dyDescent="0.25">
      <c r="B56" s="231"/>
      <c r="C56" s="291" t="s">
        <v>413</v>
      </c>
      <c r="D56" s="796">
        <f>SUM(D16:D55)</f>
        <v>2063000</v>
      </c>
      <c r="E56" s="292"/>
      <c r="F56" s="235"/>
      <c r="G56" s="796">
        <f>SUM(G16:G55)</f>
        <v>1358005.8954756616</v>
      </c>
      <c r="H56" s="796">
        <f>SUM(H16:H55)</f>
        <v>1208215</v>
      </c>
      <c r="I56" s="796">
        <f>SUM(I16:I55)</f>
        <v>149790.89547566156</v>
      </c>
    </row>
    <row r="57" spans="2:11" x14ac:dyDescent="0.2">
      <c r="B57" s="239"/>
      <c r="C57" s="803" t="s">
        <v>778</v>
      </c>
      <c r="D57" s="176"/>
      <c r="E57" s="176"/>
      <c r="F57" s="176"/>
      <c r="G57" s="204"/>
      <c r="H57" s="176"/>
      <c r="I57" s="176"/>
    </row>
    <row r="58" spans="2:11" ht="27" customHeight="1" x14ac:dyDescent="0.2">
      <c r="C58" s="1869" t="s">
        <v>534</v>
      </c>
      <c r="D58" s="1869"/>
      <c r="E58" s="1869"/>
      <c r="F58" s="1884"/>
      <c r="G58" s="796">
        <f>SUM(G56:G57)</f>
        <v>1358005.8954756616</v>
      </c>
    </row>
    <row r="59" spans="2:11" x14ac:dyDescent="0.2">
      <c r="B59" s="217" t="s">
        <v>15</v>
      </c>
      <c r="C59" s="236"/>
      <c r="D59" s="236"/>
      <c r="E59" s="236"/>
      <c r="F59" s="236"/>
      <c r="G59" s="236"/>
      <c r="H59" s="236"/>
      <c r="I59" s="236"/>
      <c r="J59" s="1538"/>
    </row>
    <row r="60" spans="2:11" ht="27" customHeight="1" x14ac:dyDescent="0.2">
      <c r="B60" s="301">
        <v>1</v>
      </c>
      <c r="C60" s="1790" t="s">
        <v>607</v>
      </c>
      <c r="D60" s="1790"/>
      <c r="E60" s="1790"/>
      <c r="F60" s="1790"/>
      <c r="G60" s="1790"/>
      <c r="H60" s="1790"/>
      <c r="I60" s="1790"/>
      <c r="J60" s="1006"/>
      <c r="K60" s="1006"/>
    </row>
    <row r="61" spans="2:11" ht="12.75" customHeight="1" x14ac:dyDescent="0.2">
      <c r="B61" s="284">
        <v>2</v>
      </c>
      <c r="C61" s="1790" t="s">
        <v>1934</v>
      </c>
      <c r="D61" s="1790"/>
      <c r="E61" s="1790"/>
      <c r="F61" s="1790"/>
      <c r="G61" s="1790"/>
      <c r="H61" s="1790"/>
      <c r="I61" s="1790"/>
      <c r="J61" s="1790"/>
      <c r="K61" s="1790"/>
    </row>
    <row r="62" spans="2:11" ht="27.75" customHeight="1" x14ac:dyDescent="0.2">
      <c r="B62" s="284"/>
      <c r="C62" s="1790"/>
      <c r="D62" s="1790"/>
      <c r="E62" s="1790"/>
      <c r="F62" s="1790"/>
      <c r="G62" s="1790"/>
      <c r="H62" s="1790"/>
      <c r="I62" s="1790"/>
      <c r="J62" s="1790"/>
      <c r="K62" s="1790"/>
    </row>
    <row r="63" spans="2:11" ht="12.75" customHeight="1" x14ac:dyDescent="0.2">
      <c r="B63" s="217" t="s">
        <v>325</v>
      </c>
      <c r="C63" s="1869" t="s">
        <v>270</v>
      </c>
      <c r="D63" s="1869"/>
      <c r="E63" s="1869"/>
      <c r="F63" s="1869"/>
      <c r="G63" s="1869"/>
      <c r="H63" s="1869"/>
      <c r="I63" s="1869"/>
      <c r="J63" s="1007"/>
      <c r="K63" s="1007"/>
    </row>
    <row r="64" spans="2:11" ht="27" customHeight="1" x14ac:dyDescent="0.2">
      <c r="B64" s="236"/>
      <c r="C64" s="1869"/>
      <c r="D64" s="1869"/>
      <c r="E64" s="1869"/>
      <c r="F64" s="1869"/>
      <c r="G64" s="1869"/>
      <c r="H64" s="1869"/>
      <c r="I64" s="1869"/>
      <c r="J64" s="1007"/>
      <c r="K64" s="1007"/>
    </row>
    <row r="65" spans="2:13" ht="12.75" customHeight="1" x14ac:dyDescent="0.2">
      <c r="B65" s="217"/>
      <c r="C65" s="1869"/>
      <c r="D65" s="1869"/>
      <c r="E65" s="1869"/>
      <c r="F65" s="1869"/>
      <c r="G65" s="1869"/>
      <c r="H65" s="1869"/>
      <c r="I65" s="1869"/>
      <c r="J65" s="675"/>
      <c r="K65" s="675"/>
    </row>
    <row r="66" spans="2:13" ht="27" customHeight="1" x14ac:dyDescent="0.2">
      <c r="B66" s="236"/>
      <c r="C66" s="1869"/>
      <c r="D66" s="1869"/>
      <c r="E66" s="1869"/>
      <c r="F66" s="1869"/>
      <c r="G66" s="1869"/>
      <c r="H66" s="1869"/>
      <c r="I66" s="1869"/>
      <c r="J66" s="675"/>
      <c r="K66" s="675"/>
    </row>
    <row r="67" spans="2:13" x14ac:dyDescent="0.2">
      <c r="L67" s="304"/>
      <c r="M67" s="304"/>
    </row>
    <row r="68" spans="2:13" ht="23.25" customHeight="1" x14ac:dyDescent="0.2">
      <c r="L68" s="304"/>
      <c r="M68" s="304"/>
    </row>
    <row r="69" spans="2:13" x14ac:dyDescent="0.2">
      <c r="B69" s="236"/>
      <c r="C69" s="304"/>
      <c r="D69" s="304"/>
      <c r="E69" s="304"/>
      <c r="F69" s="304"/>
      <c r="G69" s="304"/>
      <c r="H69" s="304"/>
      <c r="I69" s="304"/>
      <c r="J69" s="304"/>
      <c r="K69" s="304"/>
      <c r="L69" s="304"/>
      <c r="M69" s="304"/>
    </row>
    <row r="70" spans="2:13" x14ac:dyDescent="0.2">
      <c r="B70" s="673"/>
      <c r="C70" s="673"/>
      <c r="D70" s="673"/>
      <c r="E70" s="673"/>
      <c r="F70" s="673"/>
      <c r="G70" s="236"/>
      <c r="H70" s="236"/>
      <c r="I70" s="236"/>
    </row>
  </sheetData>
  <mergeCells count="11">
    <mergeCell ref="C65:I66"/>
    <mergeCell ref="B9:K9"/>
    <mergeCell ref="B10:K10"/>
    <mergeCell ref="B11:K11"/>
    <mergeCell ref="C14:C15"/>
    <mergeCell ref="H14:H15"/>
    <mergeCell ref="C58:F58"/>
    <mergeCell ref="C60:I60"/>
    <mergeCell ref="C61:K61"/>
    <mergeCell ref="C62:K62"/>
    <mergeCell ref="C63:I64"/>
  </mergeCells>
  <dataValidations count="1">
    <dataValidation allowBlank="1" showInputMessage="1" showErrorMessage="1" promptTitle="Date Format" prompt="E.g:  &quot;August 1, 2011&quot;" sqref="WVQ983052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dataValidations>
  <printOptions horizontalCentered="1"/>
  <pageMargins left="0.74803149606299213" right="0.74803149606299213" top="0.70866141732283472" bottom="0.39370078740157483" header="0.39370078740157483" footer="0.27559055118110237"/>
  <pageSetup scale="4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65"/>
  <sheetViews>
    <sheetView showGridLines="0" topLeftCell="A7" zoomScale="90" zoomScaleNormal="90" workbookViewId="0">
      <selection activeCell="A10" sqref="A10:L10"/>
    </sheetView>
  </sheetViews>
  <sheetFormatPr defaultRowHeight="12.75" x14ac:dyDescent="0.2"/>
  <cols>
    <col min="1" max="1" width="9.140625" style="216"/>
    <col min="2" max="2" width="42" style="216" customWidth="1"/>
    <col min="3" max="3" width="14.85546875" style="216" bestFit="1" customWidth="1"/>
    <col min="4" max="5" width="13.28515625" style="216" bestFit="1" customWidth="1"/>
    <col min="6" max="6" width="12.140625" style="216" bestFit="1" customWidth="1"/>
    <col min="7" max="7" width="19.42578125" style="216" customWidth="1"/>
    <col min="8" max="8" width="7.7109375" style="216" customWidth="1"/>
    <col min="9" max="9" width="12.28515625" style="216" customWidth="1"/>
    <col min="10" max="10" width="12.7109375" style="216" customWidth="1"/>
    <col min="11" max="11" width="17.28515625" style="216" customWidth="1"/>
    <col min="12" max="12" width="11.85546875" style="216" customWidth="1"/>
    <col min="13" max="257" width="9.140625" style="216"/>
    <col min="258" max="258" width="2.7109375" style="216" customWidth="1"/>
    <col min="259" max="259" width="9.140625" style="216"/>
    <col min="260" max="260" width="40.28515625" style="216" bestFit="1" customWidth="1"/>
    <col min="261" max="261" width="12.85546875" style="216" customWidth="1"/>
    <col min="262" max="262" width="10" style="216" customWidth="1"/>
    <col min="263" max="263" width="19.42578125" style="216" customWidth="1"/>
    <col min="264" max="264" width="7.7109375" style="216" customWidth="1"/>
    <col min="265" max="265" width="12.28515625" style="216" customWidth="1"/>
    <col min="266" max="266" width="12.7109375" style="216" customWidth="1"/>
    <col min="267" max="267" width="13.5703125" style="216" customWidth="1"/>
    <col min="268" max="268" width="11.85546875" style="216" customWidth="1"/>
    <col min="269" max="513" width="9.140625" style="216"/>
    <col min="514" max="514" width="2.7109375" style="216" customWidth="1"/>
    <col min="515" max="515" width="9.140625" style="216"/>
    <col min="516" max="516" width="40.28515625" style="216" bestFit="1" customWidth="1"/>
    <col min="517" max="517" width="12.85546875" style="216" customWidth="1"/>
    <col min="518" max="518" width="10" style="216" customWidth="1"/>
    <col min="519" max="519" width="19.42578125" style="216" customWidth="1"/>
    <col min="520" max="520" width="7.7109375" style="216" customWidth="1"/>
    <col min="521" max="521" width="12.28515625" style="216" customWidth="1"/>
    <col min="522" max="522" width="12.7109375" style="216" customWidth="1"/>
    <col min="523" max="523" width="13.5703125" style="216" customWidth="1"/>
    <col min="524" max="524" width="11.85546875" style="216" customWidth="1"/>
    <col min="525" max="769" width="9.140625" style="216"/>
    <col min="770" max="770" width="2.7109375" style="216" customWidth="1"/>
    <col min="771" max="771" width="9.140625" style="216"/>
    <col min="772" max="772" width="40.28515625" style="216" bestFit="1" customWidth="1"/>
    <col min="773" max="773" width="12.85546875" style="216" customWidth="1"/>
    <col min="774" max="774" width="10" style="216" customWidth="1"/>
    <col min="775" max="775" width="19.42578125" style="216" customWidth="1"/>
    <col min="776" max="776" width="7.7109375" style="216" customWidth="1"/>
    <col min="777" max="777" width="12.28515625" style="216" customWidth="1"/>
    <col min="778" max="778" width="12.7109375" style="216" customWidth="1"/>
    <col min="779" max="779" width="13.5703125" style="216" customWidth="1"/>
    <col min="780" max="780" width="11.85546875" style="216" customWidth="1"/>
    <col min="781" max="1025" width="9.140625" style="216"/>
    <col min="1026" max="1026" width="2.7109375" style="216" customWidth="1"/>
    <col min="1027" max="1027" width="9.140625" style="216"/>
    <col min="1028" max="1028" width="40.28515625" style="216" bestFit="1" customWidth="1"/>
    <col min="1029" max="1029" width="12.85546875" style="216" customWidth="1"/>
    <col min="1030" max="1030" width="10" style="216" customWidth="1"/>
    <col min="1031" max="1031" width="19.42578125" style="216" customWidth="1"/>
    <col min="1032" max="1032" width="7.7109375" style="216" customWidth="1"/>
    <col min="1033" max="1033" width="12.28515625" style="216" customWidth="1"/>
    <col min="1034" max="1034" width="12.7109375" style="216" customWidth="1"/>
    <col min="1035" max="1035" width="13.5703125" style="216" customWidth="1"/>
    <col min="1036" max="1036" width="11.85546875" style="216" customWidth="1"/>
    <col min="1037" max="1281" width="9.140625" style="216"/>
    <col min="1282" max="1282" width="2.7109375" style="216" customWidth="1"/>
    <col min="1283" max="1283" width="9.140625" style="216"/>
    <col min="1284" max="1284" width="40.28515625" style="216" bestFit="1" customWidth="1"/>
    <col min="1285" max="1285" width="12.85546875" style="216" customWidth="1"/>
    <col min="1286" max="1286" width="10" style="216" customWidth="1"/>
    <col min="1287" max="1287" width="19.42578125" style="216" customWidth="1"/>
    <col min="1288" max="1288" width="7.7109375" style="216" customWidth="1"/>
    <col min="1289" max="1289" width="12.28515625" style="216" customWidth="1"/>
    <col min="1290" max="1290" width="12.7109375" style="216" customWidth="1"/>
    <col min="1291" max="1291" width="13.5703125" style="216" customWidth="1"/>
    <col min="1292" max="1292" width="11.85546875" style="216" customWidth="1"/>
    <col min="1293" max="1537" width="9.140625" style="216"/>
    <col min="1538" max="1538" width="2.7109375" style="216" customWidth="1"/>
    <col min="1539" max="1539" width="9.140625" style="216"/>
    <col min="1540" max="1540" width="40.28515625" style="216" bestFit="1" customWidth="1"/>
    <col min="1541" max="1541" width="12.85546875" style="216" customWidth="1"/>
    <col min="1542" max="1542" width="10" style="216" customWidth="1"/>
    <col min="1543" max="1543" width="19.42578125" style="216" customWidth="1"/>
    <col min="1544" max="1544" width="7.7109375" style="216" customWidth="1"/>
    <col min="1545" max="1545" width="12.28515625" style="216" customWidth="1"/>
    <col min="1546" max="1546" width="12.7109375" style="216" customWidth="1"/>
    <col min="1547" max="1547" width="13.5703125" style="216" customWidth="1"/>
    <col min="1548" max="1548" width="11.85546875" style="216" customWidth="1"/>
    <col min="1549" max="1793" width="9.140625" style="216"/>
    <col min="1794" max="1794" width="2.7109375" style="216" customWidth="1"/>
    <col min="1795" max="1795" width="9.140625" style="216"/>
    <col min="1796" max="1796" width="40.28515625" style="216" bestFit="1" customWidth="1"/>
    <col min="1797" max="1797" width="12.85546875" style="216" customWidth="1"/>
    <col min="1798" max="1798" width="10" style="216" customWidth="1"/>
    <col min="1799" max="1799" width="19.42578125" style="216" customWidth="1"/>
    <col min="1800" max="1800" width="7.7109375" style="216" customWidth="1"/>
    <col min="1801" max="1801" width="12.28515625" style="216" customWidth="1"/>
    <col min="1802" max="1802" width="12.7109375" style="216" customWidth="1"/>
    <col min="1803" max="1803" width="13.5703125" style="216" customWidth="1"/>
    <col min="1804" max="1804" width="11.85546875" style="216" customWidth="1"/>
    <col min="1805" max="2049" width="9.140625" style="216"/>
    <col min="2050" max="2050" width="2.7109375" style="216" customWidth="1"/>
    <col min="2051" max="2051" width="9.140625" style="216"/>
    <col min="2052" max="2052" width="40.28515625" style="216" bestFit="1" customWidth="1"/>
    <col min="2053" max="2053" width="12.85546875" style="216" customWidth="1"/>
    <col min="2054" max="2054" width="10" style="216" customWidth="1"/>
    <col min="2055" max="2055" width="19.42578125" style="216" customWidth="1"/>
    <col min="2056" max="2056" width="7.7109375" style="216" customWidth="1"/>
    <col min="2057" max="2057" width="12.28515625" style="216" customWidth="1"/>
    <col min="2058" max="2058" width="12.7109375" style="216" customWidth="1"/>
    <col min="2059" max="2059" width="13.5703125" style="216" customWidth="1"/>
    <col min="2060" max="2060" width="11.85546875" style="216" customWidth="1"/>
    <col min="2061" max="2305" width="9.140625" style="216"/>
    <col min="2306" max="2306" width="2.7109375" style="216" customWidth="1"/>
    <col min="2307" max="2307" width="9.140625" style="216"/>
    <col min="2308" max="2308" width="40.28515625" style="216" bestFit="1" customWidth="1"/>
    <col min="2309" max="2309" width="12.85546875" style="216" customWidth="1"/>
    <col min="2310" max="2310" width="10" style="216" customWidth="1"/>
    <col min="2311" max="2311" width="19.42578125" style="216" customWidth="1"/>
    <col min="2312" max="2312" width="7.7109375" style="216" customWidth="1"/>
    <col min="2313" max="2313" width="12.28515625" style="216" customWidth="1"/>
    <col min="2314" max="2314" width="12.7109375" style="216" customWidth="1"/>
    <col min="2315" max="2315" width="13.5703125" style="216" customWidth="1"/>
    <col min="2316" max="2316" width="11.85546875" style="216" customWidth="1"/>
    <col min="2317" max="2561" width="9.140625" style="216"/>
    <col min="2562" max="2562" width="2.7109375" style="216" customWidth="1"/>
    <col min="2563" max="2563" width="9.140625" style="216"/>
    <col min="2564" max="2564" width="40.28515625" style="216" bestFit="1" customWidth="1"/>
    <col min="2565" max="2565" width="12.85546875" style="216" customWidth="1"/>
    <col min="2566" max="2566" width="10" style="216" customWidth="1"/>
    <col min="2567" max="2567" width="19.42578125" style="216" customWidth="1"/>
    <col min="2568" max="2568" width="7.7109375" style="216" customWidth="1"/>
    <col min="2569" max="2569" width="12.28515625" style="216" customWidth="1"/>
    <col min="2570" max="2570" width="12.7109375" style="216" customWidth="1"/>
    <col min="2571" max="2571" width="13.5703125" style="216" customWidth="1"/>
    <col min="2572" max="2572" width="11.85546875" style="216" customWidth="1"/>
    <col min="2573" max="2817" width="9.140625" style="216"/>
    <col min="2818" max="2818" width="2.7109375" style="216" customWidth="1"/>
    <col min="2819" max="2819" width="9.140625" style="216"/>
    <col min="2820" max="2820" width="40.28515625" style="216" bestFit="1" customWidth="1"/>
    <col min="2821" max="2821" width="12.85546875" style="216" customWidth="1"/>
    <col min="2822" max="2822" width="10" style="216" customWidth="1"/>
    <col min="2823" max="2823" width="19.42578125" style="216" customWidth="1"/>
    <col min="2824" max="2824" width="7.7109375" style="216" customWidth="1"/>
    <col min="2825" max="2825" width="12.28515625" style="216" customWidth="1"/>
    <col min="2826" max="2826" width="12.7109375" style="216" customWidth="1"/>
    <col min="2827" max="2827" width="13.5703125" style="216" customWidth="1"/>
    <col min="2828" max="2828" width="11.85546875" style="216" customWidth="1"/>
    <col min="2829" max="3073" width="9.140625" style="216"/>
    <col min="3074" max="3074" width="2.7109375" style="216" customWidth="1"/>
    <col min="3075" max="3075" width="9.140625" style="216"/>
    <col min="3076" max="3076" width="40.28515625" style="216" bestFit="1" customWidth="1"/>
    <col min="3077" max="3077" width="12.85546875" style="216" customWidth="1"/>
    <col min="3078" max="3078" width="10" style="216" customWidth="1"/>
    <col min="3079" max="3079" width="19.42578125" style="216" customWidth="1"/>
    <col min="3080" max="3080" width="7.7109375" style="216" customWidth="1"/>
    <col min="3081" max="3081" width="12.28515625" style="216" customWidth="1"/>
    <col min="3082" max="3082" width="12.7109375" style="216" customWidth="1"/>
    <col min="3083" max="3083" width="13.5703125" style="216" customWidth="1"/>
    <col min="3084" max="3084" width="11.85546875" style="216" customWidth="1"/>
    <col min="3085" max="3329" width="9.140625" style="216"/>
    <col min="3330" max="3330" width="2.7109375" style="216" customWidth="1"/>
    <col min="3331" max="3331" width="9.140625" style="216"/>
    <col min="3332" max="3332" width="40.28515625" style="216" bestFit="1" customWidth="1"/>
    <col min="3333" max="3333" width="12.85546875" style="216" customWidth="1"/>
    <col min="3334" max="3334" width="10" style="216" customWidth="1"/>
    <col min="3335" max="3335" width="19.42578125" style="216" customWidth="1"/>
    <col min="3336" max="3336" width="7.7109375" style="216" customWidth="1"/>
    <col min="3337" max="3337" width="12.28515625" style="216" customWidth="1"/>
    <col min="3338" max="3338" width="12.7109375" style="216" customWidth="1"/>
    <col min="3339" max="3339" width="13.5703125" style="216" customWidth="1"/>
    <col min="3340" max="3340" width="11.85546875" style="216" customWidth="1"/>
    <col min="3341" max="3585" width="9.140625" style="216"/>
    <col min="3586" max="3586" width="2.7109375" style="216" customWidth="1"/>
    <col min="3587" max="3587" width="9.140625" style="216"/>
    <col min="3588" max="3588" width="40.28515625" style="216" bestFit="1" customWidth="1"/>
    <col min="3589" max="3589" width="12.85546875" style="216" customWidth="1"/>
    <col min="3590" max="3590" width="10" style="216" customWidth="1"/>
    <col min="3591" max="3591" width="19.42578125" style="216" customWidth="1"/>
    <col min="3592" max="3592" width="7.7109375" style="216" customWidth="1"/>
    <col min="3593" max="3593" width="12.28515625" style="216" customWidth="1"/>
    <col min="3594" max="3594" width="12.7109375" style="216" customWidth="1"/>
    <col min="3595" max="3595" width="13.5703125" style="216" customWidth="1"/>
    <col min="3596" max="3596" width="11.85546875" style="216" customWidth="1"/>
    <col min="3597" max="3841" width="9.140625" style="216"/>
    <col min="3842" max="3842" width="2.7109375" style="216" customWidth="1"/>
    <col min="3843" max="3843" width="9.140625" style="216"/>
    <col min="3844" max="3844" width="40.28515625" style="216" bestFit="1" customWidth="1"/>
    <col min="3845" max="3845" width="12.85546875" style="216" customWidth="1"/>
    <col min="3846" max="3846" width="10" style="216" customWidth="1"/>
    <col min="3847" max="3847" width="19.42578125" style="216" customWidth="1"/>
    <col min="3848" max="3848" width="7.7109375" style="216" customWidth="1"/>
    <col min="3849" max="3849" width="12.28515625" style="216" customWidth="1"/>
    <col min="3850" max="3850" width="12.7109375" style="216" customWidth="1"/>
    <col min="3851" max="3851" width="13.5703125" style="216" customWidth="1"/>
    <col min="3852" max="3852" width="11.85546875" style="216" customWidth="1"/>
    <col min="3853" max="4097" width="9.140625" style="216"/>
    <col min="4098" max="4098" width="2.7109375" style="216" customWidth="1"/>
    <col min="4099" max="4099" width="9.140625" style="216"/>
    <col min="4100" max="4100" width="40.28515625" style="216" bestFit="1" customWidth="1"/>
    <col min="4101" max="4101" width="12.85546875" style="216" customWidth="1"/>
    <col min="4102" max="4102" width="10" style="216" customWidth="1"/>
    <col min="4103" max="4103" width="19.42578125" style="216" customWidth="1"/>
    <col min="4104" max="4104" width="7.7109375" style="216" customWidth="1"/>
    <col min="4105" max="4105" width="12.28515625" style="216" customWidth="1"/>
    <col min="4106" max="4106" width="12.7109375" style="216" customWidth="1"/>
    <col min="4107" max="4107" width="13.5703125" style="216" customWidth="1"/>
    <col min="4108" max="4108" width="11.85546875" style="216" customWidth="1"/>
    <col min="4109" max="4353" width="9.140625" style="216"/>
    <col min="4354" max="4354" width="2.7109375" style="216" customWidth="1"/>
    <col min="4355" max="4355" width="9.140625" style="216"/>
    <col min="4356" max="4356" width="40.28515625" style="216" bestFit="1" customWidth="1"/>
    <col min="4357" max="4357" width="12.85546875" style="216" customWidth="1"/>
    <col min="4358" max="4358" width="10" style="216" customWidth="1"/>
    <col min="4359" max="4359" width="19.42578125" style="216" customWidth="1"/>
    <col min="4360" max="4360" width="7.7109375" style="216" customWidth="1"/>
    <col min="4361" max="4361" width="12.28515625" style="216" customWidth="1"/>
    <col min="4362" max="4362" width="12.7109375" style="216" customWidth="1"/>
    <col min="4363" max="4363" width="13.5703125" style="216" customWidth="1"/>
    <col min="4364" max="4364" width="11.85546875" style="216" customWidth="1"/>
    <col min="4365" max="4609" width="9.140625" style="216"/>
    <col min="4610" max="4610" width="2.7109375" style="216" customWidth="1"/>
    <col min="4611" max="4611" width="9.140625" style="216"/>
    <col min="4612" max="4612" width="40.28515625" style="216" bestFit="1" customWidth="1"/>
    <col min="4613" max="4613" width="12.85546875" style="216" customWidth="1"/>
    <col min="4614" max="4614" width="10" style="216" customWidth="1"/>
    <col min="4615" max="4615" width="19.42578125" style="216" customWidth="1"/>
    <col min="4616" max="4616" width="7.7109375" style="216" customWidth="1"/>
    <col min="4617" max="4617" width="12.28515625" style="216" customWidth="1"/>
    <col min="4618" max="4618" width="12.7109375" style="216" customWidth="1"/>
    <col min="4619" max="4619" width="13.5703125" style="216" customWidth="1"/>
    <col min="4620" max="4620" width="11.85546875" style="216" customWidth="1"/>
    <col min="4621" max="4865" width="9.140625" style="216"/>
    <col min="4866" max="4866" width="2.7109375" style="216" customWidth="1"/>
    <col min="4867" max="4867" width="9.140625" style="216"/>
    <col min="4868" max="4868" width="40.28515625" style="216" bestFit="1" customWidth="1"/>
    <col min="4869" max="4869" width="12.85546875" style="216" customWidth="1"/>
    <col min="4870" max="4870" width="10" style="216" customWidth="1"/>
    <col min="4871" max="4871" width="19.42578125" style="216" customWidth="1"/>
    <col min="4872" max="4872" width="7.7109375" style="216" customWidth="1"/>
    <col min="4873" max="4873" width="12.28515625" style="216" customWidth="1"/>
    <col min="4874" max="4874" width="12.7109375" style="216" customWidth="1"/>
    <col min="4875" max="4875" width="13.5703125" style="216" customWidth="1"/>
    <col min="4876" max="4876" width="11.85546875" style="216" customWidth="1"/>
    <col min="4877" max="5121" width="9.140625" style="216"/>
    <col min="5122" max="5122" width="2.7109375" style="216" customWidth="1"/>
    <col min="5123" max="5123" width="9.140625" style="216"/>
    <col min="5124" max="5124" width="40.28515625" style="216" bestFit="1" customWidth="1"/>
    <col min="5125" max="5125" width="12.85546875" style="216" customWidth="1"/>
    <col min="5126" max="5126" width="10" style="216" customWidth="1"/>
    <col min="5127" max="5127" width="19.42578125" style="216" customWidth="1"/>
    <col min="5128" max="5128" width="7.7109375" style="216" customWidth="1"/>
    <col min="5129" max="5129" width="12.28515625" style="216" customWidth="1"/>
    <col min="5130" max="5130" width="12.7109375" style="216" customWidth="1"/>
    <col min="5131" max="5131" width="13.5703125" style="216" customWidth="1"/>
    <col min="5132" max="5132" width="11.85546875" style="216" customWidth="1"/>
    <col min="5133" max="5377" width="9.140625" style="216"/>
    <col min="5378" max="5378" width="2.7109375" style="216" customWidth="1"/>
    <col min="5379" max="5379" width="9.140625" style="216"/>
    <col min="5380" max="5380" width="40.28515625" style="216" bestFit="1" customWidth="1"/>
    <col min="5381" max="5381" width="12.85546875" style="216" customWidth="1"/>
    <col min="5382" max="5382" width="10" style="216" customWidth="1"/>
    <col min="5383" max="5383" width="19.42578125" style="216" customWidth="1"/>
    <col min="5384" max="5384" width="7.7109375" style="216" customWidth="1"/>
    <col min="5385" max="5385" width="12.28515625" style="216" customWidth="1"/>
    <col min="5386" max="5386" width="12.7109375" style="216" customWidth="1"/>
    <col min="5387" max="5387" width="13.5703125" style="216" customWidth="1"/>
    <col min="5388" max="5388" width="11.85546875" style="216" customWidth="1"/>
    <col min="5389" max="5633" width="9.140625" style="216"/>
    <col min="5634" max="5634" width="2.7109375" style="216" customWidth="1"/>
    <col min="5635" max="5635" width="9.140625" style="216"/>
    <col min="5636" max="5636" width="40.28515625" style="216" bestFit="1" customWidth="1"/>
    <col min="5637" max="5637" width="12.85546875" style="216" customWidth="1"/>
    <col min="5638" max="5638" width="10" style="216" customWidth="1"/>
    <col min="5639" max="5639" width="19.42578125" style="216" customWidth="1"/>
    <col min="5640" max="5640" width="7.7109375" style="216" customWidth="1"/>
    <col min="5641" max="5641" width="12.28515625" style="216" customWidth="1"/>
    <col min="5642" max="5642" width="12.7109375" style="216" customWidth="1"/>
    <col min="5643" max="5643" width="13.5703125" style="216" customWidth="1"/>
    <col min="5644" max="5644" width="11.85546875" style="216" customWidth="1"/>
    <col min="5645" max="5889" width="9.140625" style="216"/>
    <col min="5890" max="5890" width="2.7109375" style="216" customWidth="1"/>
    <col min="5891" max="5891" width="9.140625" style="216"/>
    <col min="5892" max="5892" width="40.28515625" style="216" bestFit="1" customWidth="1"/>
    <col min="5893" max="5893" width="12.85546875" style="216" customWidth="1"/>
    <col min="5894" max="5894" width="10" style="216" customWidth="1"/>
    <col min="5895" max="5895" width="19.42578125" style="216" customWidth="1"/>
    <col min="5896" max="5896" width="7.7109375" style="216" customWidth="1"/>
    <col min="5897" max="5897" width="12.28515625" style="216" customWidth="1"/>
    <col min="5898" max="5898" width="12.7109375" style="216" customWidth="1"/>
    <col min="5899" max="5899" width="13.5703125" style="216" customWidth="1"/>
    <col min="5900" max="5900" width="11.85546875" style="216" customWidth="1"/>
    <col min="5901" max="6145" width="9.140625" style="216"/>
    <col min="6146" max="6146" width="2.7109375" style="216" customWidth="1"/>
    <col min="6147" max="6147" width="9.140625" style="216"/>
    <col min="6148" max="6148" width="40.28515625" style="216" bestFit="1" customWidth="1"/>
    <col min="6149" max="6149" width="12.85546875" style="216" customWidth="1"/>
    <col min="6150" max="6150" width="10" style="216" customWidth="1"/>
    <col min="6151" max="6151" width="19.42578125" style="216" customWidth="1"/>
    <col min="6152" max="6152" width="7.7109375" style="216" customWidth="1"/>
    <col min="6153" max="6153" width="12.28515625" style="216" customWidth="1"/>
    <col min="6154" max="6154" width="12.7109375" style="216" customWidth="1"/>
    <col min="6155" max="6155" width="13.5703125" style="216" customWidth="1"/>
    <col min="6156" max="6156" width="11.85546875" style="216" customWidth="1"/>
    <col min="6157" max="6401" width="9.140625" style="216"/>
    <col min="6402" max="6402" width="2.7109375" style="216" customWidth="1"/>
    <col min="6403" max="6403" width="9.140625" style="216"/>
    <col min="6404" max="6404" width="40.28515625" style="216" bestFit="1" customWidth="1"/>
    <col min="6405" max="6405" width="12.85546875" style="216" customWidth="1"/>
    <col min="6406" max="6406" width="10" style="216" customWidth="1"/>
    <col min="6407" max="6407" width="19.42578125" style="216" customWidth="1"/>
    <col min="6408" max="6408" width="7.7109375" style="216" customWidth="1"/>
    <col min="6409" max="6409" width="12.28515625" style="216" customWidth="1"/>
    <col min="6410" max="6410" width="12.7109375" style="216" customWidth="1"/>
    <col min="6411" max="6411" width="13.5703125" style="216" customWidth="1"/>
    <col min="6412" max="6412" width="11.85546875" style="216" customWidth="1"/>
    <col min="6413" max="6657" width="9.140625" style="216"/>
    <col min="6658" max="6658" width="2.7109375" style="216" customWidth="1"/>
    <col min="6659" max="6659" width="9.140625" style="216"/>
    <col min="6660" max="6660" width="40.28515625" style="216" bestFit="1" customWidth="1"/>
    <col min="6661" max="6661" width="12.85546875" style="216" customWidth="1"/>
    <col min="6662" max="6662" width="10" style="216" customWidth="1"/>
    <col min="6663" max="6663" width="19.42578125" style="216" customWidth="1"/>
    <col min="6664" max="6664" width="7.7109375" style="216" customWidth="1"/>
    <col min="6665" max="6665" width="12.28515625" style="216" customWidth="1"/>
    <col min="6666" max="6666" width="12.7109375" style="216" customWidth="1"/>
    <col min="6667" max="6667" width="13.5703125" style="216" customWidth="1"/>
    <col min="6668" max="6668" width="11.85546875" style="216" customWidth="1"/>
    <col min="6669" max="6913" width="9.140625" style="216"/>
    <col min="6914" max="6914" width="2.7109375" style="216" customWidth="1"/>
    <col min="6915" max="6915" width="9.140625" style="216"/>
    <col min="6916" max="6916" width="40.28515625" style="216" bestFit="1" customWidth="1"/>
    <col min="6917" max="6917" width="12.85546875" style="216" customWidth="1"/>
    <col min="6918" max="6918" width="10" style="216" customWidth="1"/>
    <col min="6919" max="6919" width="19.42578125" style="216" customWidth="1"/>
    <col min="6920" max="6920" width="7.7109375" style="216" customWidth="1"/>
    <col min="6921" max="6921" width="12.28515625" style="216" customWidth="1"/>
    <col min="6922" max="6922" width="12.7109375" style="216" customWidth="1"/>
    <col min="6923" max="6923" width="13.5703125" style="216" customWidth="1"/>
    <col min="6924" max="6924" width="11.85546875" style="216" customWidth="1"/>
    <col min="6925" max="7169" width="9.140625" style="216"/>
    <col min="7170" max="7170" width="2.7109375" style="216" customWidth="1"/>
    <col min="7171" max="7171" width="9.140625" style="216"/>
    <col min="7172" max="7172" width="40.28515625" style="216" bestFit="1" customWidth="1"/>
    <col min="7173" max="7173" width="12.85546875" style="216" customWidth="1"/>
    <col min="7174" max="7174" width="10" style="216" customWidth="1"/>
    <col min="7175" max="7175" width="19.42578125" style="216" customWidth="1"/>
    <col min="7176" max="7176" width="7.7109375" style="216" customWidth="1"/>
    <col min="7177" max="7177" width="12.28515625" style="216" customWidth="1"/>
    <col min="7178" max="7178" width="12.7109375" style="216" customWidth="1"/>
    <col min="7179" max="7179" width="13.5703125" style="216" customWidth="1"/>
    <col min="7180" max="7180" width="11.85546875" style="216" customWidth="1"/>
    <col min="7181" max="7425" width="9.140625" style="216"/>
    <col min="7426" max="7426" width="2.7109375" style="216" customWidth="1"/>
    <col min="7427" max="7427" width="9.140625" style="216"/>
    <col min="7428" max="7428" width="40.28515625" style="216" bestFit="1" customWidth="1"/>
    <col min="7429" max="7429" width="12.85546875" style="216" customWidth="1"/>
    <col min="7430" max="7430" width="10" style="216" customWidth="1"/>
    <col min="7431" max="7431" width="19.42578125" style="216" customWidth="1"/>
    <col min="7432" max="7432" width="7.7109375" style="216" customWidth="1"/>
    <col min="7433" max="7433" width="12.28515625" style="216" customWidth="1"/>
    <col min="7434" max="7434" width="12.7109375" style="216" customWidth="1"/>
    <col min="7435" max="7435" width="13.5703125" style="216" customWidth="1"/>
    <col min="7436" max="7436" width="11.85546875" style="216" customWidth="1"/>
    <col min="7437" max="7681" width="9.140625" style="216"/>
    <col min="7682" max="7682" width="2.7109375" style="216" customWidth="1"/>
    <col min="7683" max="7683" width="9.140625" style="216"/>
    <col min="7684" max="7684" width="40.28515625" style="216" bestFit="1" customWidth="1"/>
    <col min="7685" max="7685" width="12.85546875" style="216" customWidth="1"/>
    <col min="7686" max="7686" width="10" style="216" customWidth="1"/>
    <col min="7687" max="7687" width="19.42578125" style="216" customWidth="1"/>
    <col min="7688" max="7688" width="7.7109375" style="216" customWidth="1"/>
    <col min="7689" max="7689" width="12.28515625" style="216" customWidth="1"/>
    <col min="7690" max="7690" width="12.7109375" style="216" customWidth="1"/>
    <col min="7691" max="7691" width="13.5703125" style="216" customWidth="1"/>
    <col min="7692" max="7692" width="11.85546875" style="216" customWidth="1"/>
    <col min="7693" max="7937" width="9.140625" style="216"/>
    <col min="7938" max="7938" width="2.7109375" style="216" customWidth="1"/>
    <col min="7939" max="7939" width="9.140625" style="216"/>
    <col min="7940" max="7940" width="40.28515625" style="216" bestFit="1" customWidth="1"/>
    <col min="7941" max="7941" width="12.85546875" style="216" customWidth="1"/>
    <col min="7942" max="7942" width="10" style="216" customWidth="1"/>
    <col min="7943" max="7943" width="19.42578125" style="216" customWidth="1"/>
    <col min="7944" max="7944" width="7.7109375" style="216" customWidth="1"/>
    <col min="7945" max="7945" width="12.28515625" style="216" customWidth="1"/>
    <col min="7946" max="7946" width="12.7109375" style="216" customWidth="1"/>
    <col min="7947" max="7947" width="13.5703125" style="216" customWidth="1"/>
    <col min="7948" max="7948" width="11.85546875" style="216" customWidth="1"/>
    <col min="7949" max="8193" width="9.140625" style="216"/>
    <col min="8194" max="8194" width="2.7109375" style="216" customWidth="1"/>
    <col min="8195" max="8195" width="9.140625" style="216"/>
    <col min="8196" max="8196" width="40.28515625" style="216" bestFit="1" customWidth="1"/>
    <col min="8197" max="8197" width="12.85546875" style="216" customWidth="1"/>
    <col min="8198" max="8198" width="10" style="216" customWidth="1"/>
    <col min="8199" max="8199" width="19.42578125" style="216" customWidth="1"/>
    <col min="8200" max="8200" width="7.7109375" style="216" customWidth="1"/>
    <col min="8201" max="8201" width="12.28515625" style="216" customWidth="1"/>
    <col min="8202" max="8202" width="12.7109375" style="216" customWidth="1"/>
    <col min="8203" max="8203" width="13.5703125" style="216" customWidth="1"/>
    <col min="8204" max="8204" width="11.85546875" style="216" customWidth="1"/>
    <col min="8205" max="8449" width="9.140625" style="216"/>
    <col min="8450" max="8450" width="2.7109375" style="216" customWidth="1"/>
    <col min="8451" max="8451" width="9.140625" style="216"/>
    <col min="8452" max="8452" width="40.28515625" style="216" bestFit="1" customWidth="1"/>
    <col min="8453" max="8453" width="12.85546875" style="216" customWidth="1"/>
    <col min="8454" max="8454" width="10" style="216" customWidth="1"/>
    <col min="8455" max="8455" width="19.42578125" style="216" customWidth="1"/>
    <col min="8456" max="8456" width="7.7109375" style="216" customWidth="1"/>
    <col min="8457" max="8457" width="12.28515625" style="216" customWidth="1"/>
    <col min="8458" max="8458" width="12.7109375" style="216" customWidth="1"/>
    <col min="8459" max="8459" width="13.5703125" style="216" customWidth="1"/>
    <col min="8460" max="8460" width="11.85546875" style="216" customWidth="1"/>
    <col min="8461" max="8705" width="9.140625" style="216"/>
    <col min="8706" max="8706" width="2.7109375" style="216" customWidth="1"/>
    <col min="8707" max="8707" width="9.140625" style="216"/>
    <col min="8708" max="8708" width="40.28515625" style="216" bestFit="1" customWidth="1"/>
    <col min="8709" max="8709" width="12.85546875" style="216" customWidth="1"/>
    <col min="8710" max="8710" width="10" style="216" customWidth="1"/>
    <col min="8711" max="8711" width="19.42578125" style="216" customWidth="1"/>
    <col min="8712" max="8712" width="7.7109375" style="216" customWidth="1"/>
    <col min="8713" max="8713" width="12.28515625" style="216" customWidth="1"/>
    <col min="8714" max="8714" width="12.7109375" style="216" customWidth="1"/>
    <col min="8715" max="8715" width="13.5703125" style="216" customWidth="1"/>
    <col min="8716" max="8716" width="11.85546875" style="216" customWidth="1"/>
    <col min="8717" max="8961" width="9.140625" style="216"/>
    <col min="8962" max="8962" width="2.7109375" style="216" customWidth="1"/>
    <col min="8963" max="8963" width="9.140625" style="216"/>
    <col min="8964" max="8964" width="40.28515625" style="216" bestFit="1" customWidth="1"/>
    <col min="8965" max="8965" width="12.85546875" style="216" customWidth="1"/>
    <col min="8966" max="8966" width="10" style="216" customWidth="1"/>
    <col min="8967" max="8967" width="19.42578125" style="216" customWidth="1"/>
    <col min="8968" max="8968" width="7.7109375" style="216" customWidth="1"/>
    <col min="8969" max="8969" width="12.28515625" style="216" customWidth="1"/>
    <col min="8970" max="8970" width="12.7109375" style="216" customWidth="1"/>
    <col min="8971" max="8971" width="13.5703125" style="216" customWidth="1"/>
    <col min="8972" max="8972" width="11.85546875" style="216" customWidth="1"/>
    <col min="8973" max="9217" width="9.140625" style="216"/>
    <col min="9218" max="9218" width="2.7109375" style="216" customWidth="1"/>
    <col min="9219" max="9219" width="9.140625" style="216"/>
    <col min="9220" max="9220" width="40.28515625" style="216" bestFit="1" customWidth="1"/>
    <col min="9221" max="9221" width="12.85546875" style="216" customWidth="1"/>
    <col min="9222" max="9222" width="10" style="216" customWidth="1"/>
    <col min="9223" max="9223" width="19.42578125" style="216" customWidth="1"/>
    <col min="9224" max="9224" width="7.7109375" style="216" customWidth="1"/>
    <col min="9225" max="9225" width="12.28515625" style="216" customWidth="1"/>
    <col min="9226" max="9226" width="12.7109375" style="216" customWidth="1"/>
    <col min="9227" max="9227" width="13.5703125" style="216" customWidth="1"/>
    <col min="9228" max="9228" width="11.85546875" style="216" customWidth="1"/>
    <col min="9229" max="9473" width="9.140625" style="216"/>
    <col min="9474" max="9474" width="2.7109375" style="216" customWidth="1"/>
    <col min="9475" max="9475" width="9.140625" style="216"/>
    <col min="9476" max="9476" width="40.28515625" style="216" bestFit="1" customWidth="1"/>
    <col min="9477" max="9477" width="12.85546875" style="216" customWidth="1"/>
    <col min="9478" max="9478" width="10" style="216" customWidth="1"/>
    <col min="9479" max="9479" width="19.42578125" style="216" customWidth="1"/>
    <col min="9480" max="9480" width="7.7109375" style="216" customWidth="1"/>
    <col min="9481" max="9481" width="12.28515625" style="216" customWidth="1"/>
    <col min="9482" max="9482" width="12.7109375" style="216" customWidth="1"/>
    <col min="9483" max="9483" width="13.5703125" style="216" customWidth="1"/>
    <col min="9484" max="9484" width="11.85546875" style="216" customWidth="1"/>
    <col min="9485" max="9729" width="9.140625" style="216"/>
    <col min="9730" max="9730" width="2.7109375" style="216" customWidth="1"/>
    <col min="9731" max="9731" width="9.140625" style="216"/>
    <col min="9732" max="9732" width="40.28515625" style="216" bestFit="1" customWidth="1"/>
    <col min="9733" max="9733" width="12.85546875" style="216" customWidth="1"/>
    <col min="9734" max="9734" width="10" style="216" customWidth="1"/>
    <col min="9735" max="9735" width="19.42578125" style="216" customWidth="1"/>
    <col min="9736" max="9736" width="7.7109375" style="216" customWidth="1"/>
    <col min="9737" max="9737" width="12.28515625" style="216" customWidth="1"/>
    <col min="9738" max="9738" width="12.7109375" style="216" customWidth="1"/>
    <col min="9739" max="9739" width="13.5703125" style="216" customWidth="1"/>
    <col min="9740" max="9740" width="11.85546875" style="216" customWidth="1"/>
    <col min="9741" max="9985" width="9.140625" style="216"/>
    <col min="9986" max="9986" width="2.7109375" style="216" customWidth="1"/>
    <col min="9987" max="9987" width="9.140625" style="216"/>
    <col min="9988" max="9988" width="40.28515625" style="216" bestFit="1" customWidth="1"/>
    <col min="9989" max="9989" width="12.85546875" style="216" customWidth="1"/>
    <col min="9990" max="9990" width="10" style="216" customWidth="1"/>
    <col min="9991" max="9991" width="19.42578125" style="216" customWidth="1"/>
    <col min="9992" max="9992" width="7.7109375" style="216" customWidth="1"/>
    <col min="9993" max="9993" width="12.28515625" style="216" customWidth="1"/>
    <col min="9994" max="9994" width="12.7109375" style="216" customWidth="1"/>
    <col min="9995" max="9995" width="13.5703125" style="216" customWidth="1"/>
    <col min="9996" max="9996" width="11.85546875" style="216" customWidth="1"/>
    <col min="9997" max="10241" width="9.140625" style="216"/>
    <col min="10242" max="10242" width="2.7109375" style="216" customWidth="1"/>
    <col min="10243" max="10243" width="9.140625" style="216"/>
    <col min="10244" max="10244" width="40.28515625" style="216" bestFit="1" customWidth="1"/>
    <col min="10245" max="10245" width="12.85546875" style="216" customWidth="1"/>
    <col min="10246" max="10246" width="10" style="216" customWidth="1"/>
    <col min="10247" max="10247" width="19.42578125" style="216" customWidth="1"/>
    <col min="10248" max="10248" width="7.7109375" style="216" customWidth="1"/>
    <col min="10249" max="10249" width="12.28515625" style="216" customWidth="1"/>
    <col min="10250" max="10250" width="12.7109375" style="216" customWidth="1"/>
    <col min="10251" max="10251" width="13.5703125" style="216" customWidth="1"/>
    <col min="10252" max="10252" width="11.85546875" style="216" customWidth="1"/>
    <col min="10253" max="10497" width="9.140625" style="216"/>
    <col min="10498" max="10498" width="2.7109375" style="216" customWidth="1"/>
    <col min="10499" max="10499" width="9.140625" style="216"/>
    <col min="10500" max="10500" width="40.28515625" style="216" bestFit="1" customWidth="1"/>
    <col min="10501" max="10501" width="12.85546875" style="216" customWidth="1"/>
    <col min="10502" max="10502" width="10" style="216" customWidth="1"/>
    <col min="10503" max="10503" width="19.42578125" style="216" customWidth="1"/>
    <col min="10504" max="10504" width="7.7109375" style="216" customWidth="1"/>
    <col min="10505" max="10505" width="12.28515625" style="216" customWidth="1"/>
    <col min="10506" max="10506" width="12.7109375" style="216" customWidth="1"/>
    <col min="10507" max="10507" width="13.5703125" style="216" customWidth="1"/>
    <col min="10508" max="10508" width="11.85546875" style="216" customWidth="1"/>
    <col min="10509" max="10753" width="9.140625" style="216"/>
    <col min="10754" max="10754" width="2.7109375" style="216" customWidth="1"/>
    <col min="10755" max="10755" width="9.140625" style="216"/>
    <col min="10756" max="10756" width="40.28515625" style="216" bestFit="1" customWidth="1"/>
    <col min="10757" max="10757" width="12.85546875" style="216" customWidth="1"/>
    <col min="10758" max="10758" width="10" style="216" customWidth="1"/>
    <col min="10759" max="10759" width="19.42578125" style="216" customWidth="1"/>
    <col min="10760" max="10760" width="7.7109375" style="216" customWidth="1"/>
    <col min="10761" max="10761" width="12.28515625" style="216" customWidth="1"/>
    <col min="10762" max="10762" width="12.7109375" style="216" customWidth="1"/>
    <col min="10763" max="10763" width="13.5703125" style="216" customWidth="1"/>
    <col min="10764" max="10764" width="11.85546875" style="216" customWidth="1"/>
    <col min="10765" max="11009" width="9.140625" style="216"/>
    <col min="11010" max="11010" width="2.7109375" style="216" customWidth="1"/>
    <col min="11011" max="11011" width="9.140625" style="216"/>
    <col min="11012" max="11012" width="40.28515625" style="216" bestFit="1" customWidth="1"/>
    <col min="11013" max="11013" width="12.85546875" style="216" customWidth="1"/>
    <col min="11014" max="11014" width="10" style="216" customWidth="1"/>
    <col min="11015" max="11015" width="19.42578125" style="216" customWidth="1"/>
    <col min="11016" max="11016" width="7.7109375" style="216" customWidth="1"/>
    <col min="11017" max="11017" width="12.28515625" style="216" customWidth="1"/>
    <col min="11018" max="11018" width="12.7109375" style="216" customWidth="1"/>
    <col min="11019" max="11019" width="13.5703125" style="216" customWidth="1"/>
    <col min="11020" max="11020" width="11.85546875" style="216" customWidth="1"/>
    <col min="11021" max="11265" width="9.140625" style="216"/>
    <col min="11266" max="11266" width="2.7109375" style="216" customWidth="1"/>
    <col min="11267" max="11267" width="9.140625" style="216"/>
    <col min="11268" max="11268" width="40.28515625" style="216" bestFit="1" customWidth="1"/>
    <col min="11269" max="11269" width="12.85546875" style="216" customWidth="1"/>
    <col min="11270" max="11270" width="10" style="216" customWidth="1"/>
    <col min="11271" max="11271" width="19.42578125" style="216" customWidth="1"/>
    <col min="11272" max="11272" width="7.7109375" style="216" customWidth="1"/>
    <col min="11273" max="11273" width="12.28515625" style="216" customWidth="1"/>
    <col min="11274" max="11274" width="12.7109375" style="216" customWidth="1"/>
    <col min="11275" max="11275" width="13.5703125" style="216" customWidth="1"/>
    <col min="11276" max="11276" width="11.85546875" style="216" customWidth="1"/>
    <col min="11277" max="11521" width="9.140625" style="216"/>
    <col min="11522" max="11522" width="2.7109375" style="216" customWidth="1"/>
    <col min="11523" max="11523" width="9.140625" style="216"/>
    <col min="11524" max="11524" width="40.28515625" style="216" bestFit="1" customWidth="1"/>
    <col min="11525" max="11525" width="12.85546875" style="216" customWidth="1"/>
    <col min="11526" max="11526" width="10" style="216" customWidth="1"/>
    <col min="11527" max="11527" width="19.42578125" style="216" customWidth="1"/>
    <col min="11528" max="11528" width="7.7109375" style="216" customWidth="1"/>
    <col min="11529" max="11529" width="12.28515625" style="216" customWidth="1"/>
    <col min="11530" max="11530" width="12.7109375" style="216" customWidth="1"/>
    <col min="11531" max="11531" width="13.5703125" style="216" customWidth="1"/>
    <col min="11532" max="11532" width="11.85546875" style="216" customWidth="1"/>
    <col min="11533" max="11777" width="9.140625" style="216"/>
    <col min="11778" max="11778" width="2.7109375" style="216" customWidth="1"/>
    <col min="11779" max="11779" width="9.140625" style="216"/>
    <col min="11780" max="11780" width="40.28515625" style="216" bestFit="1" customWidth="1"/>
    <col min="11781" max="11781" width="12.85546875" style="216" customWidth="1"/>
    <col min="11782" max="11782" width="10" style="216" customWidth="1"/>
    <col min="11783" max="11783" width="19.42578125" style="216" customWidth="1"/>
    <col min="11784" max="11784" width="7.7109375" style="216" customWidth="1"/>
    <col min="11785" max="11785" width="12.28515625" style="216" customWidth="1"/>
    <col min="11786" max="11786" width="12.7109375" style="216" customWidth="1"/>
    <col min="11787" max="11787" width="13.5703125" style="216" customWidth="1"/>
    <col min="11788" max="11788" width="11.85546875" style="216" customWidth="1"/>
    <col min="11789" max="12033" width="9.140625" style="216"/>
    <col min="12034" max="12034" width="2.7109375" style="216" customWidth="1"/>
    <col min="12035" max="12035" width="9.140625" style="216"/>
    <col min="12036" max="12036" width="40.28515625" style="216" bestFit="1" customWidth="1"/>
    <col min="12037" max="12037" width="12.85546875" style="216" customWidth="1"/>
    <col min="12038" max="12038" width="10" style="216" customWidth="1"/>
    <col min="12039" max="12039" width="19.42578125" style="216" customWidth="1"/>
    <col min="12040" max="12040" width="7.7109375" style="216" customWidth="1"/>
    <col min="12041" max="12041" width="12.28515625" style="216" customWidth="1"/>
    <col min="12042" max="12042" width="12.7109375" style="216" customWidth="1"/>
    <col min="12043" max="12043" width="13.5703125" style="216" customWidth="1"/>
    <col min="12044" max="12044" width="11.85546875" style="216" customWidth="1"/>
    <col min="12045" max="12289" width="9.140625" style="216"/>
    <col min="12290" max="12290" width="2.7109375" style="216" customWidth="1"/>
    <col min="12291" max="12291" width="9.140625" style="216"/>
    <col min="12292" max="12292" width="40.28515625" style="216" bestFit="1" customWidth="1"/>
    <col min="12293" max="12293" width="12.85546875" style="216" customWidth="1"/>
    <col min="12294" max="12294" width="10" style="216" customWidth="1"/>
    <col min="12295" max="12295" width="19.42578125" style="216" customWidth="1"/>
    <col min="12296" max="12296" width="7.7109375" style="216" customWidth="1"/>
    <col min="12297" max="12297" width="12.28515625" style="216" customWidth="1"/>
    <col min="12298" max="12298" width="12.7109375" style="216" customWidth="1"/>
    <col min="12299" max="12299" width="13.5703125" style="216" customWidth="1"/>
    <col min="12300" max="12300" width="11.85546875" style="216" customWidth="1"/>
    <col min="12301" max="12545" width="9.140625" style="216"/>
    <col min="12546" max="12546" width="2.7109375" style="216" customWidth="1"/>
    <col min="12547" max="12547" width="9.140625" style="216"/>
    <col min="12548" max="12548" width="40.28515625" style="216" bestFit="1" customWidth="1"/>
    <col min="12549" max="12549" width="12.85546875" style="216" customWidth="1"/>
    <col min="12550" max="12550" width="10" style="216" customWidth="1"/>
    <col min="12551" max="12551" width="19.42578125" style="216" customWidth="1"/>
    <col min="12552" max="12552" width="7.7109375" style="216" customWidth="1"/>
    <col min="12553" max="12553" width="12.28515625" style="216" customWidth="1"/>
    <col min="12554" max="12554" width="12.7109375" style="216" customWidth="1"/>
    <col min="12555" max="12555" width="13.5703125" style="216" customWidth="1"/>
    <col min="12556" max="12556" width="11.85546875" style="216" customWidth="1"/>
    <col min="12557" max="12801" width="9.140625" style="216"/>
    <col min="12802" max="12802" width="2.7109375" style="216" customWidth="1"/>
    <col min="12803" max="12803" width="9.140625" style="216"/>
    <col min="12804" max="12804" width="40.28515625" style="216" bestFit="1" customWidth="1"/>
    <col min="12805" max="12805" width="12.85546875" style="216" customWidth="1"/>
    <col min="12806" max="12806" width="10" style="216" customWidth="1"/>
    <col min="12807" max="12807" width="19.42578125" style="216" customWidth="1"/>
    <col min="12808" max="12808" width="7.7109375" style="216" customWidth="1"/>
    <col min="12809" max="12809" width="12.28515625" style="216" customWidth="1"/>
    <col min="12810" max="12810" width="12.7109375" style="216" customWidth="1"/>
    <col min="12811" max="12811" width="13.5703125" style="216" customWidth="1"/>
    <col min="12812" max="12812" width="11.85546875" style="216" customWidth="1"/>
    <col min="12813" max="13057" width="9.140625" style="216"/>
    <col min="13058" max="13058" width="2.7109375" style="216" customWidth="1"/>
    <col min="13059" max="13059" width="9.140625" style="216"/>
    <col min="13060" max="13060" width="40.28515625" style="216" bestFit="1" customWidth="1"/>
    <col min="13061" max="13061" width="12.85546875" style="216" customWidth="1"/>
    <col min="13062" max="13062" width="10" style="216" customWidth="1"/>
    <col min="13063" max="13063" width="19.42578125" style="216" customWidth="1"/>
    <col min="13064" max="13064" width="7.7109375" style="216" customWidth="1"/>
    <col min="13065" max="13065" width="12.28515625" style="216" customWidth="1"/>
    <col min="13066" max="13066" width="12.7109375" style="216" customWidth="1"/>
    <col min="13067" max="13067" width="13.5703125" style="216" customWidth="1"/>
    <col min="13068" max="13068" width="11.85546875" style="216" customWidth="1"/>
    <col min="13069" max="13313" width="9.140625" style="216"/>
    <col min="13314" max="13314" width="2.7109375" style="216" customWidth="1"/>
    <col min="13315" max="13315" width="9.140625" style="216"/>
    <col min="13316" max="13316" width="40.28515625" style="216" bestFit="1" customWidth="1"/>
    <col min="13317" max="13317" width="12.85546875" style="216" customWidth="1"/>
    <col min="13318" max="13318" width="10" style="216" customWidth="1"/>
    <col min="13319" max="13319" width="19.42578125" style="216" customWidth="1"/>
    <col min="13320" max="13320" width="7.7109375" style="216" customWidth="1"/>
    <col min="13321" max="13321" width="12.28515625" style="216" customWidth="1"/>
    <col min="13322" max="13322" width="12.7109375" style="216" customWidth="1"/>
    <col min="13323" max="13323" width="13.5703125" style="216" customWidth="1"/>
    <col min="13324" max="13324" width="11.85546875" style="216" customWidth="1"/>
    <col min="13325" max="13569" width="9.140625" style="216"/>
    <col min="13570" max="13570" width="2.7109375" style="216" customWidth="1"/>
    <col min="13571" max="13571" width="9.140625" style="216"/>
    <col min="13572" max="13572" width="40.28515625" style="216" bestFit="1" customWidth="1"/>
    <col min="13573" max="13573" width="12.85546875" style="216" customWidth="1"/>
    <col min="13574" max="13574" width="10" style="216" customWidth="1"/>
    <col min="13575" max="13575" width="19.42578125" style="216" customWidth="1"/>
    <col min="13576" max="13576" width="7.7109375" style="216" customWidth="1"/>
    <col min="13577" max="13577" width="12.28515625" style="216" customWidth="1"/>
    <col min="13578" max="13578" width="12.7109375" style="216" customWidth="1"/>
    <col min="13579" max="13579" width="13.5703125" style="216" customWidth="1"/>
    <col min="13580" max="13580" width="11.85546875" style="216" customWidth="1"/>
    <col min="13581" max="13825" width="9.140625" style="216"/>
    <col min="13826" max="13826" width="2.7109375" style="216" customWidth="1"/>
    <col min="13827" max="13827" width="9.140625" style="216"/>
    <col min="13828" max="13828" width="40.28515625" style="216" bestFit="1" customWidth="1"/>
    <col min="13829" max="13829" width="12.85546875" style="216" customWidth="1"/>
    <col min="13830" max="13830" width="10" style="216" customWidth="1"/>
    <col min="13831" max="13831" width="19.42578125" style="216" customWidth="1"/>
    <col min="13832" max="13832" width="7.7109375" style="216" customWidth="1"/>
    <col min="13833" max="13833" width="12.28515625" style="216" customWidth="1"/>
    <col min="13834" max="13834" width="12.7109375" style="216" customWidth="1"/>
    <col min="13835" max="13835" width="13.5703125" style="216" customWidth="1"/>
    <col min="13836" max="13836" width="11.85546875" style="216" customWidth="1"/>
    <col min="13837" max="14081" width="9.140625" style="216"/>
    <col min="14082" max="14082" width="2.7109375" style="216" customWidth="1"/>
    <col min="14083" max="14083" width="9.140625" style="216"/>
    <col min="14084" max="14084" width="40.28515625" style="216" bestFit="1" customWidth="1"/>
    <col min="14085" max="14085" width="12.85546875" style="216" customWidth="1"/>
    <col min="14086" max="14086" width="10" style="216" customWidth="1"/>
    <col min="14087" max="14087" width="19.42578125" style="216" customWidth="1"/>
    <col min="14088" max="14088" width="7.7109375" style="216" customWidth="1"/>
    <col min="14089" max="14089" width="12.28515625" style="216" customWidth="1"/>
    <col min="14090" max="14090" width="12.7109375" style="216" customWidth="1"/>
    <col min="14091" max="14091" width="13.5703125" style="216" customWidth="1"/>
    <col min="14092" max="14092" width="11.85546875" style="216" customWidth="1"/>
    <col min="14093" max="14337" width="9.140625" style="216"/>
    <col min="14338" max="14338" width="2.7109375" style="216" customWidth="1"/>
    <col min="14339" max="14339" width="9.140625" style="216"/>
    <col min="14340" max="14340" width="40.28515625" style="216" bestFit="1" customWidth="1"/>
    <col min="14341" max="14341" width="12.85546875" style="216" customWidth="1"/>
    <col min="14342" max="14342" width="10" style="216" customWidth="1"/>
    <col min="14343" max="14343" width="19.42578125" style="216" customWidth="1"/>
    <col min="14344" max="14344" width="7.7109375" style="216" customWidth="1"/>
    <col min="14345" max="14345" width="12.28515625" style="216" customWidth="1"/>
    <col min="14346" max="14346" width="12.7109375" style="216" customWidth="1"/>
    <col min="14347" max="14347" width="13.5703125" style="216" customWidth="1"/>
    <col min="14348" max="14348" width="11.85546875" style="216" customWidth="1"/>
    <col min="14349" max="14593" width="9.140625" style="216"/>
    <col min="14594" max="14594" width="2.7109375" style="216" customWidth="1"/>
    <col min="14595" max="14595" width="9.140625" style="216"/>
    <col min="14596" max="14596" width="40.28515625" style="216" bestFit="1" customWidth="1"/>
    <col min="14597" max="14597" width="12.85546875" style="216" customWidth="1"/>
    <col min="14598" max="14598" width="10" style="216" customWidth="1"/>
    <col min="14599" max="14599" width="19.42578125" style="216" customWidth="1"/>
    <col min="14600" max="14600" width="7.7109375" style="216" customWidth="1"/>
    <col min="14601" max="14601" width="12.28515625" style="216" customWidth="1"/>
    <col min="14602" max="14602" width="12.7109375" style="216" customWidth="1"/>
    <col min="14603" max="14603" width="13.5703125" style="216" customWidth="1"/>
    <col min="14604" max="14604" width="11.85546875" style="216" customWidth="1"/>
    <col min="14605" max="14849" width="9.140625" style="216"/>
    <col min="14850" max="14850" width="2.7109375" style="216" customWidth="1"/>
    <col min="14851" max="14851" width="9.140625" style="216"/>
    <col min="14852" max="14852" width="40.28515625" style="216" bestFit="1" customWidth="1"/>
    <col min="14853" max="14853" width="12.85546875" style="216" customWidth="1"/>
    <col min="14854" max="14854" width="10" style="216" customWidth="1"/>
    <col min="14855" max="14855" width="19.42578125" style="216" customWidth="1"/>
    <col min="14856" max="14856" width="7.7109375" style="216" customWidth="1"/>
    <col min="14857" max="14857" width="12.28515625" style="216" customWidth="1"/>
    <col min="14858" max="14858" width="12.7109375" style="216" customWidth="1"/>
    <col min="14859" max="14859" width="13.5703125" style="216" customWidth="1"/>
    <col min="14860" max="14860" width="11.85546875" style="216" customWidth="1"/>
    <col min="14861" max="15105" width="9.140625" style="216"/>
    <col min="15106" max="15106" width="2.7109375" style="216" customWidth="1"/>
    <col min="15107" max="15107" width="9.140625" style="216"/>
    <col min="15108" max="15108" width="40.28515625" style="216" bestFit="1" customWidth="1"/>
    <col min="15109" max="15109" width="12.85546875" style="216" customWidth="1"/>
    <col min="15110" max="15110" width="10" style="216" customWidth="1"/>
    <col min="15111" max="15111" width="19.42578125" style="216" customWidth="1"/>
    <col min="15112" max="15112" width="7.7109375" style="216" customWidth="1"/>
    <col min="15113" max="15113" width="12.28515625" style="216" customWidth="1"/>
    <col min="15114" max="15114" width="12.7109375" style="216" customWidth="1"/>
    <col min="15115" max="15115" width="13.5703125" style="216" customWidth="1"/>
    <col min="15116" max="15116" width="11.85546875" style="216" customWidth="1"/>
    <col min="15117" max="15361" width="9.140625" style="216"/>
    <col min="15362" max="15362" width="2.7109375" style="216" customWidth="1"/>
    <col min="15363" max="15363" width="9.140625" style="216"/>
    <col min="15364" max="15364" width="40.28515625" style="216" bestFit="1" customWidth="1"/>
    <col min="15365" max="15365" width="12.85546875" style="216" customWidth="1"/>
    <col min="15366" max="15366" width="10" style="216" customWidth="1"/>
    <col min="15367" max="15367" width="19.42578125" style="216" customWidth="1"/>
    <col min="15368" max="15368" width="7.7109375" style="216" customWidth="1"/>
    <col min="15369" max="15369" width="12.28515625" style="216" customWidth="1"/>
    <col min="15370" max="15370" width="12.7109375" style="216" customWidth="1"/>
    <col min="15371" max="15371" width="13.5703125" style="216" customWidth="1"/>
    <col min="15372" max="15372" width="11.85546875" style="216" customWidth="1"/>
    <col min="15373" max="15617" width="9.140625" style="216"/>
    <col min="15618" max="15618" width="2.7109375" style="216" customWidth="1"/>
    <col min="15619" max="15619" width="9.140625" style="216"/>
    <col min="15620" max="15620" width="40.28515625" style="216" bestFit="1" customWidth="1"/>
    <col min="15621" max="15621" width="12.85546875" style="216" customWidth="1"/>
    <col min="15622" max="15622" width="10" style="216" customWidth="1"/>
    <col min="15623" max="15623" width="19.42578125" style="216" customWidth="1"/>
    <col min="15624" max="15624" width="7.7109375" style="216" customWidth="1"/>
    <col min="15625" max="15625" width="12.28515625" style="216" customWidth="1"/>
    <col min="15626" max="15626" width="12.7109375" style="216" customWidth="1"/>
    <col min="15627" max="15627" width="13.5703125" style="216" customWidth="1"/>
    <col min="15628" max="15628" width="11.85546875" style="216" customWidth="1"/>
    <col min="15629" max="15873" width="9.140625" style="216"/>
    <col min="15874" max="15874" width="2.7109375" style="216" customWidth="1"/>
    <col min="15875" max="15875" width="9.140625" style="216"/>
    <col min="15876" max="15876" width="40.28515625" style="216" bestFit="1" customWidth="1"/>
    <col min="15877" max="15877" width="12.85546875" style="216" customWidth="1"/>
    <col min="15878" max="15878" width="10" style="216" customWidth="1"/>
    <col min="15879" max="15879" width="19.42578125" style="216" customWidth="1"/>
    <col min="15880" max="15880" width="7.7109375" style="216" customWidth="1"/>
    <col min="15881" max="15881" width="12.28515625" style="216" customWidth="1"/>
    <col min="15882" max="15882" width="12.7109375" style="216" customWidth="1"/>
    <col min="15883" max="15883" width="13.5703125" style="216" customWidth="1"/>
    <col min="15884" max="15884" width="11.85546875" style="216" customWidth="1"/>
    <col min="15885" max="16129" width="9.140625" style="216"/>
    <col min="16130" max="16130" width="2.7109375" style="216" customWidth="1"/>
    <col min="16131" max="16131" width="9.140625" style="216"/>
    <col min="16132" max="16132" width="40.28515625" style="216" bestFit="1" customWidth="1"/>
    <col min="16133" max="16133" width="12.85546875" style="216" customWidth="1"/>
    <col min="16134" max="16134" width="10" style="216" customWidth="1"/>
    <col min="16135" max="16135" width="19.42578125" style="216" customWidth="1"/>
    <col min="16136" max="16136" width="7.7109375" style="216" customWidth="1"/>
    <col min="16137" max="16137" width="12.28515625" style="216" customWidth="1"/>
    <col min="16138" max="16138" width="12.7109375" style="216" customWidth="1"/>
    <col min="16139" max="16139" width="13.5703125" style="216" customWidth="1"/>
    <col min="16140" max="16140" width="11.85546875" style="216" customWidth="1"/>
    <col min="16141" max="16384" width="9.140625" style="216"/>
  </cols>
  <sheetData>
    <row r="1" spans="1:13" x14ac:dyDescent="0.2">
      <c r="G1" s="219"/>
      <c r="H1" s="218"/>
      <c r="I1" s="219"/>
      <c r="J1" s="219"/>
      <c r="K1" s="217" t="s">
        <v>419</v>
      </c>
      <c r="L1" s="766" t="str">
        <f>EBNUMBER</f>
        <v>EB-2014-0113</v>
      </c>
      <c r="M1" s="219"/>
    </row>
    <row r="2" spans="1:13" x14ac:dyDescent="0.2">
      <c r="G2" s="219"/>
      <c r="H2" s="218"/>
      <c r="I2" s="219"/>
      <c r="J2" s="219"/>
      <c r="K2" s="217" t="s">
        <v>420</v>
      </c>
      <c r="L2" s="767">
        <v>2</v>
      </c>
      <c r="M2" s="219"/>
    </row>
    <row r="3" spans="1:13" x14ac:dyDescent="0.2">
      <c r="G3" s="219"/>
      <c r="H3" s="218"/>
      <c r="I3" s="219"/>
      <c r="J3" s="219"/>
      <c r="K3" s="217" t="s">
        <v>421</v>
      </c>
      <c r="L3" s="767">
        <v>2</v>
      </c>
      <c r="M3" s="219"/>
    </row>
    <row r="4" spans="1:13" x14ac:dyDescent="0.2">
      <c r="G4" s="219"/>
      <c r="H4" s="218"/>
      <c r="I4" s="219"/>
      <c r="J4" s="219"/>
      <c r="K4" s="217" t="s">
        <v>422</v>
      </c>
      <c r="L4" s="767">
        <v>2</v>
      </c>
      <c r="M4" s="219"/>
    </row>
    <row r="5" spans="1:13" x14ac:dyDescent="0.2">
      <c r="G5" s="219"/>
      <c r="H5" s="218"/>
      <c r="I5" s="219"/>
      <c r="J5" s="219"/>
      <c r="K5" s="217" t="s">
        <v>423</v>
      </c>
      <c r="L5" s="768"/>
      <c r="M5" s="219"/>
    </row>
    <row r="6" spans="1:13" x14ac:dyDescent="0.2">
      <c r="G6" s="219"/>
      <c r="H6" s="218"/>
      <c r="I6" s="219"/>
      <c r="J6" s="219"/>
      <c r="K6" s="217"/>
      <c r="L6" s="766"/>
      <c r="M6" s="219"/>
    </row>
    <row r="7" spans="1:13" x14ac:dyDescent="0.2">
      <c r="G7" s="219"/>
      <c r="H7" s="218"/>
      <c r="I7" s="219"/>
      <c r="J7" s="220"/>
      <c r="K7" s="217" t="s">
        <v>424</v>
      </c>
      <c r="L7" s="1467">
        <v>42119</v>
      </c>
      <c r="M7" s="220"/>
    </row>
    <row r="9" spans="1:13" ht="18" x14ac:dyDescent="0.25">
      <c r="A9" s="1856" t="s">
        <v>2145</v>
      </c>
      <c r="B9" s="1856"/>
      <c r="C9" s="1856"/>
      <c r="D9" s="1856"/>
      <c r="E9" s="1856"/>
      <c r="F9" s="1856"/>
      <c r="G9" s="1856"/>
      <c r="H9" s="1856"/>
      <c r="I9" s="1856"/>
      <c r="J9" s="1856"/>
      <c r="K9" s="1856"/>
      <c r="L9" s="1856"/>
    </row>
    <row r="10" spans="1:13" ht="18" x14ac:dyDescent="0.25">
      <c r="A10" s="1856" t="s">
        <v>3</v>
      </c>
      <c r="B10" s="1856"/>
      <c r="C10" s="1856"/>
      <c r="D10" s="1856"/>
      <c r="E10" s="1856"/>
      <c r="F10" s="1856"/>
      <c r="G10" s="1856"/>
      <c r="H10" s="1856"/>
      <c r="I10" s="1856"/>
      <c r="J10" s="1856"/>
      <c r="K10" s="1856"/>
      <c r="L10" s="1856"/>
    </row>
    <row r="11" spans="1:13" ht="22.5" customHeight="1" x14ac:dyDescent="0.2">
      <c r="A11" s="1877" t="s">
        <v>535</v>
      </c>
      <c r="B11" s="1877"/>
      <c r="C11" s="1877"/>
      <c r="D11" s="1877"/>
      <c r="E11" s="1877"/>
      <c r="F11" s="1877"/>
      <c r="G11" s="1877"/>
      <c r="H11" s="1877"/>
      <c r="I11" s="1877"/>
      <c r="J11" s="1877"/>
      <c r="K11" s="1877"/>
      <c r="L11" s="1877"/>
    </row>
    <row r="12" spans="1:13" ht="13.5" customHeight="1" x14ac:dyDescent="0.25">
      <c r="A12" s="671"/>
      <c r="B12" s="671"/>
      <c r="C12" s="676" t="s">
        <v>40</v>
      </c>
      <c r="D12" s="664">
        <v>2012</v>
      </c>
      <c r="E12" s="676" t="s">
        <v>161</v>
      </c>
      <c r="H12" s="671"/>
      <c r="I12" s="671"/>
      <c r="J12" s="671"/>
    </row>
    <row r="13" spans="1:13" ht="15" customHeight="1" thickBot="1" x14ac:dyDescent="0.25"/>
    <row r="14" spans="1:13" ht="61.5" customHeight="1" x14ac:dyDescent="0.2">
      <c r="A14" s="1871" t="s">
        <v>4</v>
      </c>
      <c r="B14" s="1873" t="s">
        <v>346</v>
      </c>
      <c r="C14" s="221" t="s">
        <v>717</v>
      </c>
      <c r="D14" s="221" t="s">
        <v>710</v>
      </c>
      <c r="E14" s="221" t="s">
        <v>711</v>
      </c>
      <c r="F14" s="221" t="s">
        <v>348</v>
      </c>
      <c r="G14" s="221" t="s">
        <v>7</v>
      </c>
      <c r="H14" s="221" t="s">
        <v>8</v>
      </c>
      <c r="I14" s="221" t="s">
        <v>416</v>
      </c>
      <c r="J14" s="222" t="s">
        <v>11</v>
      </c>
      <c r="K14" s="1880" t="s">
        <v>794</v>
      </c>
      <c r="L14" s="222" t="s">
        <v>523</v>
      </c>
    </row>
    <row r="15" spans="1:13" ht="25.5" customHeight="1" x14ac:dyDescent="0.2">
      <c r="A15" s="1872"/>
      <c r="B15" s="1874"/>
      <c r="C15" s="223" t="s">
        <v>5</v>
      </c>
      <c r="D15" s="223" t="s">
        <v>712</v>
      </c>
      <c r="E15" s="223" t="s">
        <v>713</v>
      </c>
      <c r="F15" s="223" t="s">
        <v>6</v>
      </c>
      <c r="G15" s="224" t="s">
        <v>716</v>
      </c>
      <c r="H15" s="223" t="s">
        <v>9</v>
      </c>
      <c r="I15" s="223" t="s">
        <v>10</v>
      </c>
      <c r="J15" s="225" t="s">
        <v>12</v>
      </c>
      <c r="K15" s="1885"/>
      <c r="L15" s="225" t="s">
        <v>517</v>
      </c>
    </row>
    <row r="16" spans="1:13" ht="25.5" x14ac:dyDescent="0.2">
      <c r="A16" s="828">
        <v>1611</v>
      </c>
      <c r="B16" s="783" t="s">
        <v>515</v>
      </c>
      <c r="C16" s="204"/>
      <c r="D16" s="204"/>
      <c r="E16" s="796"/>
      <c r="F16" s="204"/>
      <c r="G16" s="796"/>
      <c r="H16" s="282"/>
      <c r="I16" s="226">
        <f t="shared" ref="I16:I55" si="0">IF(H16=0,0,1/H16)</f>
        <v>0</v>
      </c>
      <c r="J16" s="796">
        <f>IF(H16=0,0,G16/H16)</f>
        <v>0</v>
      </c>
      <c r="K16" s="204"/>
      <c r="L16" s="796">
        <f t="shared" ref="L16:L55" si="1">IF(ISERROR(+J16-K16), 0, +J16-K16)</f>
        <v>0</v>
      </c>
    </row>
    <row r="17" spans="1:12" x14ac:dyDescent="0.2">
      <c r="A17" s="828">
        <v>1612</v>
      </c>
      <c r="B17" s="783" t="s">
        <v>650</v>
      </c>
      <c r="C17" s="204"/>
      <c r="D17" s="204"/>
      <c r="E17" s="796"/>
      <c r="F17" s="204"/>
      <c r="G17" s="796"/>
      <c r="H17" s="282"/>
      <c r="I17" s="586">
        <f t="shared" si="0"/>
        <v>0</v>
      </c>
      <c r="J17" s="796">
        <f t="shared" ref="J17:J55" si="2">IF(H17=0,0,G17/H17)</f>
        <v>0</v>
      </c>
      <c r="K17" s="204"/>
      <c r="L17" s="796">
        <f t="shared" si="1"/>
        <v>0</v>
      </c>
    </row>
    <row r="18" spans="1:12" x14ac:dyDescent="0.2">
      <c r="A18" s="829">
        <v>1805</v>
      </c>
      <c r="B18" s="786" t="s">
        <v>383</v>
      </c>
      <c r="C18" s="204"/>
      <c r="D18" s="204"/>
      <c r="E18" s="796"/>
      <c r="F18" s="204"/>
      <c r="G18" s="796"/>
      <c r="H18" s="282"/>
      <c r="I18" s="586">
        <f t="shared" si="0"/>
        <v>0</v>
      </c>
      <c r="J18" s="796">
        <f t="shared" si="2"/>
        <v>0</v>
      </c>
      <c r="K18" s="204"/>
      <c r="L18" s="796">
        <f t="shared" si="1"/>
        <v>0</v>
      </c>
    </row>
    <row r="19" spans="1:12" x14ac:dyDescent="0.2">
      <c r="A19" s="828">
        <v>1808</v>
      </c>
      <c r="B19" s="787" t="s">
        <v>384</v>
      </c>
      <c r="C19" s="204"/>
      <c r="D19" s="204"/>
      <c r="E19" s="796"/>
      <c r="F19" s="204"/>
      <c r="G19" s="796"/>
      <c r="H19" s="282"/>
      <c r="I19" s="586">
        <f t="shared" si="0"/>
        <v>0</v>
      </c>
      <c r="J19" s="796">
        <f t="shared" si="2"/>
        <v>0</v>
      </c>
      <c r="K19" s="204"/>
      <c r="L19" s="796">
        <f t="shared" si="1"/>
        <v>0</v>
      </c>
    </row>
    <row r="20" spans="1:12" x14ac:dyDescent="0.2">
      <c r="A20" s="828">
        <v>1810</v>
      </c>
      <c r="B20" s="787" t="s">
        <v>417</v>
      </c>
      <c r="C20" s="204"/>
      <c r="D20" s="204"/>
      <c r="E20" s="796"/>
      <c r="F20" s="204"/>
      <c r="G20" s="796"/>
      <c r="H20" s="282"/>
      <c r="I20" s="586">
        <f t="shared" si="0"/>
        <v>0</v>
      </c>
      <c r="J20" s="796">
        <f t="shared" si="2"/>
        <v>0</v>
      </c>
      <c r="K20" s="204"/>
      <c r="L20" s="796">
        <f t="shared" si="1"/>
        <v>0</v>
      </c>
    </row>
    <row r="21" spans="1:12" x14ac:dyDescent="0.2">
      <c r="A21" s="828">
        <v>1815</v>
      </c>
      <c r="B21" s="787" t="s">
        <v>385</v>
      </c>
      <c r="C21" s="204"/>
      <c r="D21" s="204"/>
      <c r="E21" s="796"/>
      <c r="F21" s="204"/>
      <c r="G21" s="796"/>
      <c r="H21" s="282"/>
      <c r="I21" s="586">
        <f t="shared" si="0"/>
        <v>0</v>
      </c>
      <c r="J21" s="796">
        <f t="shared" si="2"/>
        <v>0</v>
      </c>
      <c r="K21" s="204"/>
      <c r="L21" s="796">
        <f t="shared" si="1"/>
        <v>0</v>
      </c>
    </row>
    <row r="22" spans="1:12" x14ac:dyDescent="0.2">
      <c r="A22" s="828">
        <v>1820</v>
      </c>
      <c r="B22" s="783" t="s">
        <v>306</v>
      </c>
      <c r="C22" s="204"/>
      <c r="D22" s="204"/>
      <c r="E22" s="796"/>
      <c r="F22" s="204"/>
      <c r="G22" s="796"/>
      <c r="H22" s="282"/>
      <c r="I22" s="586">
        <f t="shared" si="0"/>
        <v>0</v>
      </c>
      <c r="J22" s="796">
        <f t="shared" si="2"/>
        <v>0</v>
      </c>
      <c r="K22" s="204"/>
      <c r="L22" s="796">
        <f t="shared" si="1"/>
        <v>0</v>
      </c>
    </row>
    <row r="23" spans="1:12" x14ac:dyDescent="0.2">
      <c r="A23" s="828">
        <v>1825</v>
      </c>
      <c r="B23" s="787" t="s">
        <v>386</v>
      </c>
      <c r="C23" s="204"/>
      <c r="D23" s="204"/>
      <c r="E23" s="796"/>
      <c r="F23" s="204"/>
      <c r="G23" s="796"/>
      <c r="H23" s="282"/>
      <c r="I23" s="586">
        <f t="shared" si="0"/>
        <v>0</v>
      </c>
      <c r="J23" s="796">
        <f t="shared" si="2"/>
        <v>0</v>
      </c>
      <c r="K23" s="204"/>
      <c r="L23" s="796">
        <f t="shared" si="1"/>
        <v>0</v>
      </c>
    </row>
    <row r="24" spans="1:12" x14ac:dyDescent="0.2">
      <c r="A24" s="828">
        <v>1830</v>
      </c>
      <c r="B24" s="787" t="s">
        <v>387</v>
      </c>
      <c r="C24" s="204"/>
      <c r="D24" s="204"/>
      <c r="E24" s="796"/>
      <c r="F24" s="204"/>
      <c r="G24" s="796"/>
      <c r="H24" s="282"/>
      <c r="I24" s="586">
        <f t="shared" si="0"/>
        <v>0</v>
      </c>
      <c r="J24" s="796">
        <f t="shared" si="2"/>
        <v>0</v>
      </c>
      <c r="K24" s="204"/>
      <c r="L24" s="796">
        <f t="shared" si="1"/>
        <v>0</v>
      </c>
    </row>
    <row r="25" spans="1:12" x14ac:dyDescent="0.2">
      <c r="A25" s="828">
        <v>1835</v>
      </c>
      <c r="B25" s="787" t="s">
        <v>307</v>
      </c>
      <c r="C25" s="204"/>
      <c r="D25" s="204"/>
      <c r="E25" s="796"/>
      <c r="F25" s="204"/>
      <c r="G25" s="796"/>
      <c r="H25" s="282"/>
      <c r="I25" s="586">
        <f t="shared" si="0"/>
        <v>0</v>
      </c>
      <c r="J25" s="796">
        <f t="shared" si="2"/>
        <v>0</v>
      </c>
      <c r="K25" s="204"/>
      <c r="L25" s="796">
        <f t="shared" si="1"/>
        <v>0</v>
      </c>
    </row>
    <row r="26" spans="1:12" x14ac:dyDescent="0.2">
      <c r="A26" s="828">
        <v>1840</v>
      </c>
      <c r="B26" s="787" t="s">
        <v>308</v>
      </c>
      <c r="C26" s="204"/>
      <c r="D26" s="204"/>
      <c r="E26" s="796"/>
      <c r="F26" s="204"/>
      <c r="G26" s="796"/>
      <c r="H26" s="282"/>
      <c r="I26" s="586">
        <f t="shared" si="0"/>
        <v>0</v>
      </c>
      <c r="J26" s="796">
        <f t="shared" si="2"/>
        <v>0</v>
      </c>
      <c r="K26" s="204"/>
      <c r="L26" s="796">
        <f t="shared" si="1"/>
        <v>0</v>
      </c>
    </row>
    <row r="27" spans="1:12" x14ac:dyDescent="0.2">
      <c r="A27" s="828">
        <v>1845</v>
      </c>
      <c r="B27" s="787" t="s">
        <v>309</v>
      </c>
      <c r="C27" s="204"/>
      <c r="D27" s="204"/>
      <c r="E27" s="796"/>
      <c r="F27" s="204"/>
      <c r="G27" s="796"/>
      <c r="H27" s="282"/>
      <c r="I27" s="586">
        <f t="shared" si="0"/>
        <v>0</v>
      </c>
      <c r="J27" s="796">
        <f t="shared" si="2"/>
        <v>0</v>
      </c>
      <c r="K27" s="204"/>
      <c r="L27" s="796">
        <f t="shared" si="1"/>
        <v>0</v>
      </c>
    </row>
    <row r="28" spans="1:12" x14ac:dyDescent="0.2">
      <c r="A28" s="828">
        <v>1850</v>
      </c>
      <c r="B28" s="787" t="s">
        <v>388</v>
      </c>
      <c r="C28" s="204"/>
      <c r="D28" s="204"/>
      <c r="E28" s="796"/>
      <c r="F28" s="204"/>
      <c r="G28" s="796"/>
      <c r="H28" s="282"/>
      <c r="I28" s="586">
        <f t="shared" si="0"/>
        <v>0</v>
      </c>
      <c r="J28" s="796">
        <f t="shared" si="2"/>
        <v>0</v>
      </c>
      <c r="K28" s="204"/>
      <c r="L28" s="796">
        <f t="shared" si="1"/>
        <v>0</v>
      </c>
    </row>
    <row r="29" spans="1:12" x14ac:dyDescent="0.2">
      <c r="A29" s="828">
        <v>1855</v>
      </c>
      <c r="B29" s="787" t="s">
        <v>310</v>
      </c>
      <c r="C29" s="204"/>
      <c r="D29" s="204"/>
      <c r="E29" s="796"/>
      <c r="F29" s="204"/>
      <c r="G29" s="796"/>
      <c r="H29" s="282"/>
      <c r="I29" s="586">
        <f t="shared" si="0"/>
        <v>0</v>
      </c>
      <c r="J29" s="796">
        <f t="shared" si="2"/>
        <v>0</v>
      </c>
      <c r="K29" s="204"/>
      <c r="L29" s="796">
        <f t="shared" si="1"/>
        <v>0</v>
      </c>
    </row>
    <row r="30" spans="1:12" x14ac:dyDescent="0.2">
      <c r="A30" s="828">
        <v>1860</v>
      </c>
      <c r="B30" s="787" t="s">
        <v>389</v>
      </c>
      <c r="C30" s="204"/>
      <c r="D30" s="204"/>
      <c r="E30" s="796"/>
      <c r="F30" s="204"/>
      <c r="G30" s="796"/>
      <c r="H30" s="282"/>
      <c r="I30" s="586">
        <f t="shared" si="0"/>
        <v>0</v>
      </c>
      <c r="J30" s="796">
        <f t="shared" si="2"/>
        <v>0</v>
      </c>
      <c r="K30" s="204"/>
      <c r="L30" s="796">
        <f t="shared" si="1"/>
        <v>0</v>
      </c>
    </row>
    <row r="31" spans="1:12" x14ac:dyDescent="0.2">
      <c r="A31" s="829">
        <v>1860</v>
      </c>
      <c r="B31" s="786" t="s">
        <v>311</v>
      </c>
      <c r="C31" s="204"/>
      <c r="D31" s="204"/>
      <c r="E31" s="796"/>
      <c r="F31" s="204"/>
      <c r="G31" s="796"/>
      <c r="H31" s="282"/>
      <c r="I31" s="586">
        <f t="shared" si="0"/>
        <v>0</v>
      </c>
      <c r="J31" s="796">
        <f t="shared" si="2"/>
        <v>0</v>
      </c>
      <c r="K31" s="204"/>
      <c r="L31" s="796">
        <f t="shared" si="1"/>
        <v>0</v>
      </c>
    </row>
    <row r="32" spans="1:12" x14ac:dyDescent="0.2">
      <c r="A32" s="829">
        <v>1905</v>
      </c>
      <c r="B32" s="786" t="s">
        <v>383</v>
      </c>
      <c r="C32" s="204"/>
      <c r="D32" s="204"/>
      <c r="E32" s="796"/>
      <c r="F32" s="204"/>
      <c r="G32" s="796"/>
      <c r="H32" s="282"/>
      <c r="I32" s="586">
        <f t="shared" si="0"/>
        <v>0</v>
      </c>
      <c r="J32" s="796">
        <f t="shared" si="2"/>
        <v>0</v>
      </c>
      <c r="K32" s="204"/>
      <c r="L32" s="796">
        <f t="shared" si="1"/>
        <v>0</v>
      </c>
    </row>
    <row r="33" spans="1:12" x14ac:dyDescent="0.2">
      <c r="A33" s="828">
        <v>1908</v>
      </c>
      <c r="B33" s="787" t="s">
        <v>391</v>
      </c>
      <c r="C33" s="204"/>
      <c r="D33" s="204"/>
      <c r="E33" s="796"/>
      <c r="F33" s="204"/>
      <c r="G33" s="796"/>
      <c r="H33" s="282"/>
      <c r="I33" s="586">
        <f t="shared" si="0"/>
        <v>0</v>
      </c>
      <c r="J33" s="796">
        <f t="shared" si="2"/>
        <v>0</v>
      </c>
      <c r="K33" s="204"/>
      <c r="L33" s="796">
        <f t="shared" si="1"/>
        <v>0</v>
      </c>
    </row>
    <row r="34" spans="1:12" x14ac:dyDescent="0.2">
      <c r="A34" s="828">
        <v>1910</v>
      </c>
      <c r="B34" s="787" t="s">
        <v>417</v>
      </c>
      <c r="C34" s="204"/>
      <c r="D34" s="204"/>
      <c r="E34" s="796"/>
      <c r="F34" s="204"/>
      <c r="G34" s="796"/>
      <c r="H34" s="282"/>
      <c r="I34" s="586">
        <f t="shared" si="0"/>
        <v>0</v>
      </c>
      <c r="J34" s="796">
        <f t="shared" si="2"/>
        <v>0</v>
      </c>
      <c r="K34" s="204"/>
      <c r="L34" s="796">
        <f t="shared" si="1"/>
        <v>0</v>
      </c>
    </row>
    <row r="35" spans="1:12" x14ac:dyDescent="0.2">
      <c r="A35" s="828">
        <v>1915</v>
      </c>
      <c r="B35" s="787" t="s">
        <v>312</v>
      </c>
      <c r="C35" s="204"/>
      <c r="D35" s="204"/>
      <c r="E35" s="796"/>
      <c r="F35" s="204"/>
      <c r="G35" s="796"/>
      <c r="H35" s="282"/>
      <c r="I35" s="586">
        <f t="shared" si="0"/>
        <v>0</v>
      </c>
      <c r="J35" s="796">
        <f t="shared" si="2"/>
        <v>0</v>
      </c>
      <c r="K35" s="204"/>
      <c r="L35" s="796">
        <f t="shared" si="1"/>
        <v>0</v>
      </c>
    </row>
    <row r="36" spans="1:12" x14ac:dyDescent="0.2">
      <c r="A36" s="828">
        <v>1915</v>
      </c>
      <c r="B36" s="787" t="s">
        <v>313</v>
      </c>
      <c r="C36" s="204"/>
      <c r="D36" s="204"/>
      <c r="E36" s="796"/>
      <c r="F36" s="204"/>
      <c r="G36" s="796"/>
      <c r="H36" s="282"/>
      <c r="I36" s="586">
        <f t="shared" si="0"/>
        <v>0</v>
      </c>
      <c r="J36" s="796">
        <f t="shared" si="2"/>
        <v>0</v>
      </c>
      <c r="K36" s="204"/>
      <c r="L36" s="796">
        <f t="shared" si="1"/>
        <v>0</v>
      </c>
    </row>
    <row r="37" spans="1:12" x14ac:dyDescent="0.2">
      <c r="A37" s="828">
        <v>1920</v>
      </c>
      <c r="B37" s="787" t="s">
        <v>314</v>
      </c>
      <c r="C37" s="204"/>
      <c r="D37" s="204"/>
      <c r="E37" s="796"/>
      <c r="F37" s="204"/>
      <c r="G37" s="796"/>
      <c r="H37" s="282"/>
      <c r="I37" s="586">
        <f t="shared" si="0"/>
        <v>0</v>
      </c>
      <c r="J37" s="796">
        <f t="shared" si="2"/>
        <v>0</v>
      </c>
      <c r="K37" s="204"/>
      <c r="L37" s="796">
        <f t="shared" si="1"/>
        <v>0</v>
      </c>
    </row>
    <row r="38" spans="1:12" x14ac:dyDescent="0.2">
      <c r="A38" s="830">
        <v>1920</v>
      </c>
      <c r="B38" s="783" t="s">
        <v>316</v>
      </c>
      <c r="C38" s="204"/>
      <c r="D38" s="204"/>
      <c r="E38" s="796"/>
      <c r="F38" s="204"/>
      <c r="G38" s="796"/>
      <c r="H38" s="282"/>
      <c r="I38" s="586">
        <f t="shared" si="0"/>
        <v>0</v>
      </c>
      <c r="J38" s="796">
        <f t="shared" si="2"/>
        <v>0</v>
      </c>
      <c r="K38" s="204"/>
      <c r="L38" s="796">
        <f t="shared" si="1"/>
        <v>0</v>
      </c>
    </row>
    <row r="39" spans="1:12" x14ac:dyDescent="0.2">
      <c r="A39" s="830">
        <v>1920</v>
      </c>
      <c r="B39" s="783" t="s">
        <v>315</v>
      </c>
      <c r="C39" s="204"/>
      <c r="D39" s="204"/>
      <c r="E39" s="796"/>
      <c r="F39" s="204"/>
      <c r="G39" s="796"/>
      <c r="H39" s="282"/>
      <c r="I39" s="586">
        <f t="shared" si="0"/>
        <v>0</v>
      </c>
      <c r="J39" s="796">
        <f t="shared" si="2"/>
        <v>0</v>
      </c>
      <c r="K39" s="204"/>
      <c r="L39" s="796">
        <f t="shared" si="1"/>
        <v>0</v>
      </c>
    </row>
    <row r="40" spans="1:12" x14ac:dyDescent="0.2">
      <c r="A40" s="828">
        <v>1930</v>
      </c>
      <c r="B40" s="787" t="s">
        <v>404</v>
      </c>
      <c r="C40" s="204"/>
      <c r="D40" s="204"/>
      <c r="E40" s="796"/>
      <c r="F40" s="204"/>
      <c r="G40" s="796"/>
      <c r="H40" s="282"/>
      <c r="I40" s="586">
        <f t="shared" si="0"/>
        <v>0</v>
      </c>
      <c r="J40" s="796">
        <f t="shared" si="2"/>
        <v>0</v>
      </c>
      <c r="K40" s="204"/>
      <c r="L40" s="796">
        <f t="shared" si="1"/>
        <v>0</v>
      </c>
    </row>
    <row r="41" spans="1:12" x14ac:dyDescent="0.2">
      <c r="A41" s="828">
        <v>1935</v>
      </c>
      <c r="B41" s="787" t="s">
        <v>405</v>
      </c>
      <c r="C41" s="204"/>
      <c r="D41" s="204"/>
      <c r="E41" s="796"/>
      <c r="F41" s="204"/>
      <c r="G41" s="796"/>
      <c r="H41" s="282"/>
      <c r="I41" s="586">
        <f t="shared" si="0"/>
        <v>0</v>
      </c>
      <c r="J41" s="796">
        <f t="shared" si="2"/>
        <v>0</v>
      </c>
      <c r="K41" s="204"/>
      <c r="L41" s="796">
        <f t="shared" si="1"/>
        <v>0</v>
      </c>
    </row>
    <row r="42" spans="1:12" x14ac:dyDescent="0.2">
      <c r="A42" s="828">
        <v>1940</v>
      </c>
      <c r="B42" s="787" t="s">
        <v>406</v>
      </c>
      <c r="C42" s="204"/>
      <c r="D42" s="204"/>
      <c r="E42" s="796"/>
      <c r="F42" s="204"/>
      <c r="G42" s="796"/>
      <c r="H42" s="282"/>
      <c r="I42" s="586">
        <f t="shared" si="0"/>
        <v>0</v>
      </c>
      <c r="J42" s="796">
        <f t="shared" si="2"/>
        <v>0</v>
      </c>
      <c r="K42" s="204"/>
      <c r="L42" s="796">
        <f t="shared" si="1"/>
        <v>0</v>
      </c>
    </row>
    <row r="43" spans="1:12" x14ac:dyDescent="0.2">
      <c r="A43" s="828">
        <v>1945</v>
      </c>
      <c r="B43" s="787" t="s">
        <v>407</v>
      </c>
      <c r="C43" s="204"/>
      <c r="D43" s="204"/>
      <c r="E43" s="796"/>
      <c r="F43" s="204"/>
      <c r="G43" s="796"/>
      <c r="H43" s="282"/>
      <c r="I43" s="586">
        <f t="shared" si="0"/>
        <v>0</v>
      </c>
      <c r="J43" s="796">
        <f t="shared" si="2"/>
        <v>0</v>
      </c>
      <c r="K43" s="204"/>
      <c r="L43" s="796">
        <f t="shared" si="1"/>
        <v>0</v>
      </c>
    </row>
    <row r="44" spans="1:12" x14ac:dyDescent="0.2">
      <c r="A44" s="828">
        <v>1950</v>
      </c>
      <c r="B44" s="787" t="s">
        <v>317</v>
      </c>
      <c r="C44" s="204"/>
      <c r="D44" s="204"/>
      <c r="E44" s="796"/>
      <c r="F44" s="204"/>
      <c r="G44" s="796"/>
      <c r="H44" s="282"/>
      <c r="I44" s="586">
        <f t="shared" si="0"/>
        <v>0</v>
      </c>
      <c r="J44" s="796">
        <f t="shared" si="2"/>
        <v>0</v>
      </c>
      <c r="K44" s="204"/>
      <c r="L44" s="796">
        <f t="shared" si="1"/>
        <v>0</v>
      </c>
    </row>
    <row r="45" spans="1:12" x14ac:dyDescent="0.2">
      <c r="A45" s="828">
        <v>1955</v>
      </c>
      <c r="B45" s="787" t="s">
        <v>408</v>
      </c>
      <c r="C45" s="204"/>
      <c r="D45" s="204"/>
      <c r="E45" s="796"/>
      <c r="F45" s="204"/>
      <c r="G45" s="796"/>
      <c r="H45" s="282"/>
      <c r="I45" s="586">
        <f t="shared" si="0"/>
        <v>0</v>
      </c>
      <c r="J45" s="796">
        <f t="shared" si="2"/>
        <v>0</v>
      </c>
      <c r="K45" s="204"/>
      <c r="L45" s="796">
        <f t="shared" si="1"/>
        <v>0</v>
      </c>
    </row>
    <row r="46" spans="1:12" x14ac:dyDescent="0.2">
      <c r="A46" s="831">
        <v>1955</v>
      </c>
      <c r="B46" s="790" t="s">
        <v>318</v>
      </c>
      <c r="C46" s="204"/>
      <c r="D46" s="204"/>
      <c r="E46" s="796"/>
      <c r="F46" s="204"/>
      <c r="G46" s="796"/>
      <c r="H46" s="282"/>
      <c r="I46" s="586">
        <f t="shared" si="0"/>
        <v>0</v>
      </c>
      <c r="J46" s="796">
        <f t="shared" si="2"/>
        <v>0</v>
      </c>
      <c r="K46" s="204"/>
      <c r="L46" s="796">
        <f t="shared" si="1"/>
        <v>0</v>
      </c>
    </row>
    <row r="47" spans="1:12" x14ac:dyDescent="0.2">
      <c r="A47" s="830">
        <v>1960</v>
      </c>
      <c r="B47" s="783" t="s">
        <v>319</v>
      </c>
      <c r="C47" s="204"/>
      <c r="D47" s="204"/>
      <c r="E47" s="796"/>
      <c r="F47" s="204"/>
      <c r="G47" s="796"/>
      <c r="H47" s="282"/>
      <c r="I47" s="586">
        <f t="shared" si="0"/>
        <v>0</v>
      </c>
      <c r="J47" s="796">
        <f t="shared" si="2"/>
        <v>0</v>
      </c>
      <c r="K47" s="204"/>
      <c r="L47" s="796">
        <f t="shared" si="1"/>
        <v>0</v>
      </c>
    </row>
    <row r="48" spans="1:12" x14ac:dyDescent="0.2">
      <c r="A48" s="831">
        <v>1970</v>
      </c>
      <c r="B48" s="832" t="s">
        <v>773</v>
      </c>
      <c r="C48" s="204"/>
      <c r="D48" s="204"/>
      <c r="E48" s="796"/>
      <c r="F48" s="204"/>
      <c r="G48" s="796"/>
      <c r="H48" s="282"/>
      <c r="I48" s="586">
        <f t="shared" si="0"/>
        <v>0</v>
      </c>
      <c r="J48" s="796">
        <f t="shared" si="2"/>
        <v>0</v>
      </c>
      <c r="K48" s="204"/>
      <c r="L48" s="796">
        <f t="shared" si="1"/>
        <v>0</v>
      </c>
    </row>
    <row r="49" spans="1:14" x14ac:dyDescent="0.2">
      <c r="A49" s="828">
        <v>1975</v>
      </c>
      <c r="B49" s="787" t="s">
        <v>409</v>
      </c>
      <c r="C49" s="204"/>
      <c r="D49" s="204"/>
      <c r="E49" s="796"/>
      <c r="F49" s="204"/>
      <c r="G49" s="796"/>
      <c r="H49" s="282"/>
      <c r="I49" s="586">
        <f t="shared" si="0"/>
        <v>0</v>
      </c>
      <c r="J49" s="796">
        <f t="shared" si="2"/>
        <v>0</v>
      </c>
      <c r="K49" s="204"/>
      <c r="L49" s="796">
        <f t="shared" si="1"/>
        <v>0</v>
      </c>
    </row>
    <row r="50" spans="1:14" x14ac:dyDescent="0.2">
      <c r="A50" s="828">
        <v>1980</v>
      </c>
      <c r="B50" s="787" t="s">
        <v>410</v>
      </c>
      <c r="C50" s="204"/>
      <c r="D50" s="204"/>
      <c r="E50" s="796"/>
      <c r="F50" s="204"/>
      <c r="G50" s="796"/>
      <c r="H50" s="282"/>
      <c r="I50" s="586">
        <f t="shared" si="0"/>
        <v>0</v>
      </c>
      <c r="J50" s="796">
        <f t="shared" si="2"/>
        <v>0</v>
      </c>
      <c r="K50" s="204"/>
      <c r="L50" s="796">
        <f t="shared" si="1"/>
        <v>0</v>
      </c>
    </row>
    <row r="51" spans="1:14" x14ac:dyDescent="0.2">
      <c r="A51" s="828">
        <v>1985</v>
      </c>
      <c r="B51" s="787" t="s">
        <v>411</v>
      </c>
      <c r="C51" s="204"/>
      <c r="D51" s="204"/>
      <c r="E51" s="796"/>
      <c r="F51" s="204"/>
      <c r="G51" s="796"/>
      <c r="H51" s="282"/>
      <c r="I51" s="586">
        <f t="shared" si="0"/>
        <v>0</v>
      </c>
      <c r="J51" s="796">
        <f t="shared" si="2"/>
        <v>0</v>
      </c>
      <c r="K51" s="204"/>
      <c r="L51" s="796">
        <f t="shared" si="1"/>
        <v>0</v>
      </c>
    </row>
    <row r="52" spans="1:14" x14ac:dyDescent="0.2">
      <c r="A52" s="828">
        <v>1990</v>
      </c>
      <c r="B52" s="791" t="s">
        <v>774</v>
      </c>
      <c r="C52" s="204"/>
      <c r="D52" s="204"/>
      <c r="E52" s="796"/>
      <c r="F52" s="204"/>
      <c r="G52" s="796"/>
      <c r="H52" s="282"/>
      <c r="I52" s="586">
        <f t="shared" si="0"/>
        <v>0</v>
      </c>
      <c r="J52" s="796">
        <f t="shared" si="2"/>
        <v>0</v>
      </c>
      <c r="K52" s="204"/>
      <c r="L52" s="796">
        <f t="shared" si="1"/>
        <v>0</v>
      </c>
    </row>
    <row r="53" spans="1:14" x14ac:dyDescent="0.2">
      <c r="A53" s="828">
        <v>1995</v>
      </c>
      <c r="B53" s="787" t="s">
        <v>412</v>
      </c>
      <c r="C53" s="204"/>
      <c r="D53" s="204"/>
      <c r="E53" s="796"/>
      <c r="F53" s="204"/>
      <c r="G53" s="796"/>
      <c r="H53" s="282"/>
      <c r="I53" s="586">
        <f t="shared" si="0"/>
        <v>0</v>
      </c>
      <c r="J53" s="796">
        <f t="shared" si="2"/>
        <v>0</v>
      </c>
      <c r="K53" s="204"/>
      <c r="L53" s="796">
        <f t="shared" si="1"/>
        <v>0</v>
      </c>
    </row>
    <row r="54" spans="1:14" x14ac:dyDescent="0.2">
      <c r="A54" s="227" t="s">
        <v>13</v>
      </c>
      <c r="B54" s="228"/>
      <c r="C54" s="204"/>
      <c r="D54" s="204"/>
      <c r="E54" s="796"/>
      <c r="F54" s="204"/>
      <c r="G54" s="796"/>
      <c r="H54" s="282"/>
      <c r="I54" s="586">
        <f t="shared" si="0"/>
        <v>0</v>
      </c>
      <c r="J54" s="796">
        <f t="shared" si="2"/>
        <v>0</v>
      </c>
      <c r="K54" s="204"/>
      <c r="L54" s="796">
        <f t="shared" si="1"/>
        <v>0</v>
      </c>
    </row>
    <row r="55" spans="1:14" ht="13.5" thickBot="1" x14ac:dyDescent="0.25">
      <c r="A55" s="229"/>
      <c r="B55" s="230"/>
      <c r="C55" s="204"/>
      <c r="D55" s="204"/>
      <c r="E55" s="796"/>
      <c r="F55" s="204"/>
      <c r="G55" s="796"/>
      <c r="H55" s="282"/>
      <c r="I55" s="587">
        <f t="shared" si="0"/>
        <v>0</v>
      </c>
      <c r="J55" s="796">
        <f t="shared" si="2"/>
        <v>0</v>
      </c>
      <c r="K55" s="204"/>
      <c r="L55" s="796">
        <f t="shared" si="1"/>
        <v>0</v>
      </c>
    </row>
    <row r="56" spans="1:14" ht="14.25" thickTop="1" thickBot="1" x14ac:dyDescent="0.25">
      <c r="A56" s="231"/>
      <c r="B56" s="232" t="s">
        <v>413</v>
      </c>
      <c r="C56" s="796"/>
      <c r="D56" s="796"/>
      <c r="E56" s="796"/>
      <c r="F56" s="796"/>
      <c r="G56" s="796"/>
      <c r="H56" s="796"/>
      <c r="I56" s="796"/>
      <c r="J56" s="796">
        <f>SUM(J16:J55)</f>
        <v>0</v>
      </c>
      <c r="K56" s="796">
        <f>SUM(K16:K55)</f>
        <v>0</v>
      </c>
      <c r="L56" s="796">
        <f>SUM(L16:L55)</f>
        <v>0</v>
      </c>
    </row>
    <row r="57" spans="1:14" ht="7.5" customHeight="1" x14ac:dyDescent="0.2"/>
    <row r="58" spans="1:14" x14ac:dyDescent="0.2">
      <c r="A58" s="670" t="s">
        <v>15</v>
      </c>
      <c r="B58" s="236"/>
      <c r="C58" s="236"/>
      <c r="D58" s="236"/>
      <c r="E58" s="236"/>
      <c r="F58" s="236"/>
      <c r="G58" s="236"/>
      <c r="H58" s="236"/>
      <c r="I58" s="236"/>
      <c r="J58" s="236"/>
    </row>
    <row r="59" spans="1:14" x14ac:dyDescent="0.2">
      <c r="A59" s="236"/>
      <c r="B59" s="236"/>
      <c r="C59" s="236"/>
      <c r="D59" s="236"/>
      <c r="E59" s="236"/>
      <c r="F59" s="236"/>
      <c r="G59" s="236"/>
      <c r="H59" s="236"/>
      <c r="I59" s="236"/>
      <c r="J59" s="236"/>
    </row>
    <row r="60" spans="1:14" ht="24.75" customHeight="1" x14ac:dyDescent="0.2">
      <c r="A60" s="284">
        <v>1</v>
      </c>
      <c r="B60" s="1790" t="s">
        <v>607</v>
      </c>
      <c r="C60" s="1790"/>
      <c r="D60" s="1790"/>
      <c r="E60" s="1790"/>
      <c r="F60" s="1790"/>
      <c r="G60" s="1790"/>
      <c r="H60" s="1790"/>
      <c r="I60" s="1790"/>
      <c r="J60" s="1790"/>
      <c r="K60" s="1790"/>
      <c r="L60" s="1790"/>
    </row>
    <row r="61" spans="1:14" x14ac:dyDescent="0.2">
      <c r="A61" s="679">
        <v>2</v>
      </c>
      <c r="B61" s="1868" t="s">
        <v>1934</v>
      </c>
      <c r="C61" s="1868"/>
      <c r="D61" s="1868"/>
      <c r="E61" s="1868"/>
      <c r="F61" s="1868"/>
      <c r="G61" s="1868"/>
      <c r="H61" s="1868"/>
      <c r="I61" s="1868"/>
      <c r="J61" s="1868"/>
      <c r="K61" s="236"/>
    </row>
    <row r="62" spans="1:14" x14ac:dyDescent="0.2">
      <c r="A62" s="679"/>
      <c r="B62" s="1868"/>
      <c r="C62" s="1868"/>
      <c r="D62" s="1868"/>
      <c r="E62" s="1868"/>
      <c r="F62" s="1868"/>
      <c r="G62" s="1868"/>
      <c r="H62" s="1868"/>
      <c r="I62" s="1868"/>
      <c r="J62" s="1868"/>
      <c r="K62" s="236"/>
    </row>
    <row r="63" spans="1:14" ht="12.75" customHeight="1" x14ac:dyDescent="0.2">
      <c r="A63" s="217" t="s">
        <v>605</v>
      </c>
      <c r="B63" s="1869" t="s">
        <v>270</v>
      </c>
      <c r="C63" s="1869"/>
      <c r="D63" s="1869"/>
      <c r="E63" s="1869"/>
      <c r="F63" s="1869"/>
      <c r="G63" s="1869"/>
      <c r="H63" s="1869"/>
      <c r="I63" s="1869"/>
      <c r="J63" s="1869"/>
      <c r="K63" s="1869"/>
      <c r="L63" s="1869"/>
      <c r="M63" s="675"/>
      <c r="N63" s="675"/>
    </row>
    <row r="64" spans="1:14" x14ac:dyDescent="0.2">
      <c r="B64" s="1869"/>
      <c r="C64" s="1869"/>
      <c r="D64" s="1869"/>
      <c r="E64" s="1869"/>
      <c r="F64" s="1869"/>
      <c r="G64" s="1869"/>
      <c r="H64" s="1869"/>
      <c r="I64" s="1869"/>
      <c r="J64" s="1869"/>
      <c r="K64" s="1869"/>
      <c r="L64" s="1869"/>
      <c r="M64" s="675"/>
      <c r="N64" s="675"/>
    </row>
    <row r="65" spans="2:14" x14ac:dyDescent="0.2">
      <c r="B65" s="675"/>
      <c r="C65" s="675"/>
      <c r="D65" s="675"/>
      <c r="E65" s="675"/>
      <c r="F65" s="675"/>
      <c r="G65" s="675"/>
      <c r="H65" s="675"/>
      <c r="I65" s="675"/>
      <c r="J65" s="675"/>
      <c r="K65" s="675"/>
      <c r="L65" s="675"/>
      <c r="M65" s="675"/>
      <c r="N65" s="675"/>
    </row>
  </sheetData>
  <mergeCells count="9">
    <mergeCell ref="B60:L60"/>
    <mergeCell ref="B61:J62"/>
    <mergeCell ref="B63:L64"/>
    <mergeCell ref="A9:L9"/>
    <mergeCell ref="A10:L10"/>
    <mergeCell ref="A11:L11"/>
    <mergeCell ref="A14:A15"/>
    <mergeCell ref="B14:B15"/>
    <mergeCell ref="K14:K15"/>
  </mergeCells>
  <dataValidations disablePrompts="1" count="2">
    <dataValidation allowBlank="1" showErrorMessage="1" promptTitle="Date Format" prompt="E.g:  &quot;August 1, 2011&quot;" sqref="J7"/>
    <dataValidation allowBlank="1" showInputMessage="1" showErrorMessage="1" promptTitle="Date Format" prompt="E.g:  &quot;August 1, 2011&quot;" sqref="WVR983048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dataValidations>
  <printOptions horizontalCentered="1"/>
  <pageMargins left="0.74803149606299213" right="0.74803149606299213" top="0.70866141732283472" bottom="0.39370078740157483" header="0.39370078740157483" footer="0.27559055118110237"/>
  <pageSetup scale="5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P73"/>
  <sheetViews>
    <sheetView showGridLines="0" topLeftCell="A14" zoomScaleNormal="100" workbookViewId="0">
      <selection activeCell="E22" sqref="E22:F54"/>
    </sheetView>
  </sheetViews>
  <sheetFormatPr defaultRowHeight="12.75" x14ac:dyDescent="0.2"/>
  <cols>
    <col min="1" max="1" width="9.140625" style="216"/>
    <col min="2" max="2" width="40.28515625" style="216" bestFit="1" customWidth="1"/>
    <col min="3" max="3" width="12" style="216" customWidth="1"/>
    <col min="4" max="4" width="11.28515625" style="216" bestFit="1" customWidth="1"/>
    <col min="5" max="5" width="14.85546875" style="216" customWidth="1"/>
    <col min="6" max="6" width="9.5703125" style="216" customWidth="1"/>
    <col min="7" max="7" width="14" style="216" customWidth="1"/>
    <col min="8" max="8" width="13.140625" style="216" customWidth="1"/>
    <col min="9" max="9" width="13.7109375" style="216" customWidth="1"/>
    <col min="10" max="10" width="12.85546875" style="216" customWidth="1"/>
    <col min="11" max="11" width="17.7109375" style="216" customWidth="1"/>
    <col min="12" max="12" width="12.7109375" style="216" customWidth="1"/>
    <col min="13" max="13" width="13.42578125" style="216" customWidth="1"/>
    <col min="14" max="14" width="19" style="216" customWidth="1"/>
    <col min="15" max="15" width="18.5703125" style="216" customWidth="1"/>
    <col min="16" max="256" width="9.140625" style="216"/>
    <col min="257" max="257" width="2.7109375" style="216" customWidth="1"/>
    <col min="258" max="258" width="9.140625" style="216"/>
    <col min="259" max="259" width="40.28515625" style="216" bestFit="1" customWidth="1"/>
    <col min="260" max="260" width="12" style="216" customWidth="1"/>
    <col min="261" max="261" width="10" style="216" customWidth="1"/>
    <col min="262" max="262" width="14.85546875" style="216" customWidth="1"/>
    <col min="263" max="263" width="9.5703125" style="216" customWidth="1"/>
    <col min="264" max="265" width="12.28515625" style="216" customWidth="1"/>
    <col min="266" max="268" width="12.85546875" style="216" customWidth="1"/>
    <col min="269" max="269" width="12.7109375" style="216" customWidth="1"/>
    <col min="270" max="270" width="12.28515625" style="216" bestFit="1" customWidth="1"/>
    <col min="271" max="271" width="13.140625" style="216" customWidth="1"/>
    <col min="272" max="512" width="9.140625" style="216"/>
    <col min="513" max="513" width="2.7109375" style="216" customWidth="1"/>
    <col min="514" max="514" width="9.140625" style="216"/>
    <col min="515" max="515" width="40.28515625" style="216" bestFit="1" customWidth="1"/>
    <col min="516" max="516" width="12" style="216" customWidth="1"/>
    <col min="517" max="517" width="10" style="216" customWidth="1"/>
    <col min="518" max="518" width="14.85546875" style="216" customWidth="1"/>
    <col min="519" max="519" width="9.5703125" style="216" customWidth="1"/>
    <col min="520" max="521" width="12.28515625" style="216" customWidth="1"/>
    <col min="522" max="524" width="12.85546875" style="216" customWidth="1"/>
    <col min="525" max="525" width="12.7109375" style="216" customWidth="1"/>
    <col min="526" max="526" width="12.28515625" style="216" bestFit="1" customWidth="1"/>
    <col min="527" max="527" width="13.140625" style="216" customWidth="1"/>
    <col min="528" max="768" width="9.140625" style="216"/>
    <col min="769" max="769" width="2.7109375" style="216" customWidth="1"/>
    <col min="770" max="770" width="9.140625" style="216"/>
    <col min="771" max="771" width="40.28515625" style="216" bestFit="1" customWidth="1"/>
    <col min="772" max="772" width="12" style="216" customWidth="1"/>
    <col min="773" max="773" width="10" style="216" customWidth="1"/>
    <col min="774" max="774" width="14.85546875" style="216" customWidth="1"/>
    <col min="775" max="775" width="9.5703125" style="216" customWidth="1"/>
    <col min="776" max="777" width="12.28515625" style="216" customWidth="1"/>
    <col min="778" max="780" width="12.85546875" style="216" customWidth="1"/>
    <col min="781" max="781" width="12.7109375" style="216" customWidth="1"/>
    <col min="782" max="782" width="12.28515625" style="216" bestFit="1" customWidth="1"/>
    <col min="783" max="783" width="13.140625" style="216" customWidth="1"/>
    <col min="784" max="1024" width="9.140625" style="216"/>
    <col min="1025" max="1025" width="2.7109375" style="216" customWidth="1"/>
    <col min="1026" max="1026" width="9.140625" style="216"/>
    <col min="1027" max="1027" width="40.28515625" style="216" bestFit="1" customWidth="1"/>
    <col min="1028" max="1028" width="12" style="216" customWidth="1"/>
    <col min="1029" max="1029" width="10" style="216" customWidth="1"/>
    <col min="1030" max="1030" width="14.85546875" style="216" customWidth="1"/>
    <col min="1031" max="1031" width="9.5703125" style="216" customWidth="1"/>
    <col min="1032" max="1033" width="12.28515625" style="216" customWidth="1"/>
    <col min="1034" max="1036" width="12.85546875" style="216" customWidth="1"/>
    <col min="1037" max="1037" width="12.7109375" style="216" customWidth="1"/>
    <col min="1038" max="1038" width="12.28515625" style="216" bestFit="1" customWidth="1"/>
    <col min="1039" max="1039" width="13.140625" style="216" customWidth="1"/>
    <col min="1040" max="1280" width="9.140625" style="216"/>
    <col min="1281" max="1281" width="2.7109375" style="216" customWidth="1"/>
    <col min="1282" max="1282" width="9.140625" style="216"/>
    <col min="1283" max="1283" width="40.28515625" style="216" bestFit="1" customWidth="1"/>
    <col min="1284" max="1284" width="12" style="216" customWidth="1"/>
    <col min="1285" max="1285" width="10" style="216" customWidth="1"/>
    <col min="1286" max="1286" width="14.85546875" style="216" customWidth="1"/>
    <col min="1287" max="1287" width="9.5703125" style="216" customWidth="1"/>
    <col min="1288" max="1289" width="12.28515625" style="216" customWidth="1"/>
    <col min="1290" max="1292" width="12.85546875" style="216" customWidth="1"/>
    <col min="1293" max="1293" width="12.7109375" style="216" customWidth="1"/>
    <col min="1294" max="1294" width="12.28515625" style="216" bestFit="1" customWidth="1"/>
    <col min="1295" max="1295" width="13.140625" style="216" customWidth="1"/>
    <col min="1296" max="1536" width="9.140625" style="216"/>
    <col min="1537" max="1537" width="2.7109375" style="216" customWidth="1"/>
    <col min="1538" max="1538" width="9.140625" style="216"/>
    <col min="1539" max="1539" width="40.28515625" style="216" bestFit="1" customWidth="1"/>
    <col min="1540" max="1540" width="12" style="216" customWidth="1"/>
    <col min="1541" max="1541" width="10" style="216" customWidth="1"/>
    <col min="1542" max="1542" width="14.85546875" style="216" customWidth="1"/>
    <col min="1543" max="1543" width="9.5703125" style="216" customWidth="1"/>
    <col min="1544" max="1545" width="12.28515625" style="216" customWidth="1"/>
    <col min="1546" max="1548" width="12.85546875" style="216" customWidth="1"/>
    <col min="1549" max="1549" width="12.7109375" style="216" customWidth="1"/>
    <col min="1550" max="1550" width="12.28515625" style="216" bestFit="1" customWidth="1"/>
    <col min="1551" max="1551" width="13.140625" style="216" customWidth="1"/>
    <col min="1552" max="1792" width="9.140625" style="216"/>
    <col min="1793" max="1793" width="2.7109375" style="216" customWidth="1"/>
    <col min="1794" max="1794" width="9.140625" style="216"/>
    <col min="1795" max="1795" width="40.28515625" style="216" bestFit="1" customWidth="1"/>
    <col min="1796" max="1796" width="12" style="216" customWidth="1"/>
    <col min="1797" max="1797" width="10" style="216" customWidth="1"/>
    <col min="1798" max="1798" width="14.85546875" style="216" customWidth="1"/>
    <col min="1799" max="1799" width="9.5703125" style="216" customWidth="1"/>
    <col min="1800" max="1801" width="12.28515625" style="216" customWidth="1"/>
    <col min="1802" max="1804" width="12.85546875" style="216" customWidth="1"/>
    <col min="1805" max="1805" width="12.7109375" style="216" customWidth="1"/>
    <col min="1806" max="1806" width="12.28515625" style="216" bestFit="1" customWidth="1"/>
    <col min="1807" max="1807" width="13.140625" style="216" customWidth="1"/>
    <col min="1808" max="2048" width="9.140625" style="216"/>
    <col min="2049" max="2049" width="2.7109375" style="216" customWidth="1"/>
    <col min="2050" max="2050" width="9.140625" style="216"/>
    <col min="2051" max="2051" width="40.28515625" style="216" bestFit="1" customWidth="1"/>
    <col min="2052" max="2052" width="12" style="216" customWidth="1"/>
    <col min="2053" max="2053" width="10" style="216" customWidth="1"/>
    <col min="2054" max="2054" width="14.85546875" style="216" customWidth="1"/>
    <col min="2055" max="2055" width="9.5703125" style="216" customWidth="1"/>
    <col min="2056" max="2057" width="12.28515625" style="216" customWidth="1"/>
    <col min="2058" max="2060" width="12.85546875" style="216" customWidth="1"/>
    <col min="2061" max="2061" width="12.7109375" style="216" customWidth="1"/>
    <col min="2062" max="2062" width="12.28515625" style="216" bestFit="1" customWidth="1"/>
    <col min="2063" max="2063" width="13.140625" style="216" customWidth="1"/>
    <col min="2064" max="2304" width="9.140625" style="216"/>
    <col min="2305" max="2305" width="2.7109375" style="216" customWidth="1"/>
    <col min="2306" max="2306" width="9.140625" style="216"/>
    <col min="2307" max="2307" width="40.28515625" style="216" bestFit="1" customWidth="1"/>
    <col min="2308" max="2308" width="12" style="216" customWidth="1"/>
    <col min="2309" max="2309" width="10" style="216" customWidth="1"/>
    <col min="2310" max="2310" width="14.85546875" style="216" customWidth="1"/>
    <col min="2311" max="2311" width="9.5703125" style="216" customWidth="1"/>
    <col min="2312" max="2313" width="12.28515625" style="216" customWidth="1"/>
    <col min="2314" max="2316" width="12.85546875" style="216" customWidth="1"/>
    <col min="2317" max="2317" width="12.7109375" style="216" customWidth="1"/>
    <col min="2318" max="2318" width="12.28515625" style="216" bestFit="1" customWidth="1"/>
    <col min="2319" max="2319" width="13.140625" style="216" customWidth="1"/>
    <col min="2320" max="2560" width="9.140625" style="216"/>
    <col min="2561" max="2561" width="2.7109375" style="216" customWidth="1"/>
    <col min="2562" max="2562" width="9.140625" style="216"/>
    <col min="2563" max="2563" width="40.28515625" style="216" bestFit="1" customWidth="1"/>
    <col min="2564" max="2564" width="12" style="216" customWidth="1"/>
    <col min="2565" max="2565" width="10" style="216" customWidth="1"/>
    <col min="2566" max="2566" width="14.85546875" style="216" customWidth="1"/>
    <col min="2567" max="2567" width="9.5703125" style="216" customWidth="1"/>
    <col min="2568" max="2569" width="12.28515625" style="216" customWidth="1"/>
    <col min="2570" max="2572" width="12.85546875" style="216" customWidth="1"/>
    <col min="2573" max="2573" width="12.7109375" style="216" customWidth="1"/>
    <col min="2574" max="2574" width="12.28515625" style="216" bestFit="1" customWidth="1"/>
    <col min="2575" max="2575" width="13.140625" style="216" customWidth="1"/>
    <col min="2576" max="2816" width="9.140625" style="216"/>
    <col min="2817" max="2817" width="2.7109375" style="216" customWidth="1"/>
    <col min="2818" max="2818" width="9.140625" style="216"/>
    <col min="2819" max="2819" width="40.28515625" style="216" bestFit="1" customWidth="1"/>
    <col min="2820" max="2820" width="12" style="216" customWidth="1"/>
    <col min="2821" max="2821" width="10" style="216" customWidth="1"/>
    <col min="2822" max="2822" width="14.85546875" style="216" customWidth="1"/>
    <col min="2823" max="2823" width="9.5703125" style="216" customWidth="1"/>
    <col min="2824" max="2825" width="12.28515625" style="216" customWidth="1"/>
    <col min="2826" max="2828" width="12.85546875" style="216" customWidth="1"/>
    <col min="2829" max="2829" width="12.7109375" style="216" customWidth="1"/>
    <col min="2830" max="2830" width="12.28515625" style="216" bestFit="1" customWidth="1"/>
    <col min="2831" max="2831" width="13.140625" style="216" customWidth="1"/>
    <col min="2832" max="3072" width="9.140625" style="216"/>
    <col min="3073" max="3073" width="2.7109375" style="216" customWidth="1"/>
    <col min="3074" max="3074" width="9.140625" style="216"/>
    <col min="3075" max="3075" width="40.28515625" style="216" bestFit="1" customWidth="1"/>
    <col min="3076" max="3076" width="12" style="216" customWidth="1"/>
    <col min="3077" max="3077" width="10" style="216" customWidth="1"/>
    <col min="3078" max="3078" width="14.85546875" style="216" customWidth="1"/>
    <col min="3079" max="3079" width="9.5703125" style="216" customWidth="1"/>
    <col min="3080" max="3081" width="12.28515625" style="216" customWidth="1"/>
    <col min="3082" max="3084" width="12.85546875" style="216" customWidth="1"/>
    <col min="3085" max="3085" width="12.7109375" style="216" customWidth="1"/>
    <col min="3086" max="3086" width="12.28515625" style="216" bestFit="1" customWidth="1"/>
    <col min="3087" max="3087" width="13.140625" style="216" customWidth="1"/>
    <col min="3088" max="3328" width="9.140625" style="216"/>
    <col min="3329" max="3329" width="2.7109375" style="216" customWidth="1"/>
    <col min="3330" max="3330" width="9.140625" style="216"/>
    <col min="3331" max="3331" width="40.28515625" style="216" bestFit="1" customWidth="1"/>
    <col min="3332" max="3332" width="12" style="216" customWidth="1"/>
    <col min="3333" max="3333" width="10" style="216" customWidth="1"/>
    <col min="3334" max="3334" width="14.85546875" style="216" customWidth="1"/>
    <col min="3335" max="3335" width="9.5703125" style="216" customWidth="1"/>
    <col min="3336" max="3337" width="12.28515625" style="216" customWidth="1"/>
    <col min="3338" max="3340" width="12.85546875" style="216" customWidth="1"/>
    <col min="3341" max="3341" width="12.7109375" style="216" customWidth="1"/>
    <col min="3342" max="3342" width="12.28515625" style="216" bestFit="1" customWidth="1"/>
    <col min="3343" max="3343" width="13.140625" style="216" customWidth="1"/>
    <col min="3344" max="3584" width="9.140625" style="216"/>
    <col min="3585" max="3585" width="2.7109375" style="216" customWidth="1"/>
    <col min="3586" max="3586" width="9.140625" style="216"/>
    <col min="3587" max="3587" width="40.28515625" style="216" bestFit="1" customWidth="1"/>
    <col min="3588" max="3588" width="12" style="216" customWidth="1"/>
    <col min="3589" max="3589" width="10" style="216" customWidth="1"/>
    <col min="3590" max="3590" width="14.85546875" style="216" customWidth="1"/>
    <col min="3591" max="3591" width="9.5703125" style="216" customWidth="1"/>
    <col min="3592" max="3593" width="12.28515625" style="216" customWidth="1"/>
    <col min="3594" max="3596" width="12.85546875" style="216" customWidth="1"/>
    <col min="3597" max="3597" width="12.7109375" style="216" customWidth="1"/>
    <col min="3598" max="3598" width="12.28515625" style="216" bestFit="1" customWidth="1"/>
    <col min="3599" max="3599" width="13.140625" style="216" customWidth="1"/>
    <col min="3600" max="3840" width="9.140625" style="216"/>
    <col min="3841" max="3841" width="2.7109375" style="216" customWidth="1"/>
    <col min="3842" max="3842" width="9.140625" style="216"/>
    <col min="3843" max="3843" width="40.28515625" style="216" bestFit="1" customWidth="1"/>
    <col min="3844" max="3844" width="12" style="216" customWidth="1"/>
    <col min="3845" max="3845" width="10" style="216" customWidth="1"/>
    <col min="3846" max="3846" width="14.85546875" style="216" customWidth="1"/>
    <col min="3847" max="3847" width="9.5703125" style="216" customWidth="1"/>
    <col min="3848" max="3849" width="12.28515625" style="216" customWidth="1"/>
    <col min="3850" max="3852" width="12.85546875" style="216" customWidth="1"/>
    <col min="3853" max="3853" width="12.7109375" style="216" customWidth="1"/>
    <col min="3854" max="3854" width="12.28515625" style="216" bestFit="1" customWidth="1"/>
    <col min="3855" max="3855" width="13.140625" style="216" customWidth="1"/>
    <col min="3856" max="4096" width="9.140625" style="216"/>
    <col min="4097" max="4097" width="2.7109375" style="216" customWidth="1"/>
    <col min="4098" max="4098" width="9.140625" style="216"/>
    <col min="4099" max="4099" width="40.28515625" style="216" bestFit="1" customWidth="1"/>
    <col min="4100" max="4100" width="12" style="216" customWidth="1"/>
    <col min="4101" max="4101" width="10" style="216" customWidth="1"/>
    <col min="4102" max="4102" width="14.85546875" style="216" customWidth="1"/>
    <col min="4103" max="4103" width="9.5703125" style="216" customWidth="1"/>
    <col min="4104" max="4105" width="12.28515625" style="216" customWidth="1"/>
    <col min="4106" max="4108" width="12.85546875" style="216" customWidth="1"/>
    <col min="4109" max="4109" width="12.7109375" style="216" customWidth="1"/>
    <col min="4110" max="4110" width="12.28515625" style="216" bestFit="1" customWidth="1"/>
    <col min="4111" max="4111" width="13.140625" style="216" customWidth="1"/>
    <col min="4112" max="4352" width="9.140625" style="216"/>
    <col min="4353" max="4353" width="2.7109375" style="216" customWidth="1"/>
    <col min="4354" max="4354" width="9.140625" style="216"/>
    <col min="4355" max="4355" width="40.28515625" style="216" bestFit="1" customWidth="1"/>
    <col min="4356" max="4356" width="12" style="216" customWidth="1"/>
    <col min="4357" max="4357" width="10" style="216" customWidth="1"/>
    <col min="4358" max="4358" width="14.85546875" style="216" customWidth="1"/>
    <col min="4359" max="4359" width="9.5703125" style="216" customWidth="1"/>
    <col min="4360" max="4361" width="12.28515625" style="216" customWidth="1"/>
    <col min="4362" max="4364" width="12.85546875" style="216" customWidth="1"/>
    <col min="4365" max="4365" width="12.7109375" style="216" customWidth="1"/>
    <col min="4366" max="4366" width="12.28515625" style="216" bestFit="1" customWidth="1"/>
    <col min="4367" max="4367" width="13.140625" style="216" customWidth="1"/>
    <col min="4368" max="4608" width="9.140625" style="216"/>
    <col min="4609" max="4609" width="2.7109375" style="216" customWidth="1"/>
    <col min="4610" max="4610" width="9.140625" style="216"/>
    <col min="4611" max="4611" width="40.28515625" style="216" bestFit="1" customWidth="1"/>
    <col min="4612" max="4612" width="12" style="216" customWidth="1"/>
    <col min="4613" max="4613" width="10" style="216" customWidth="1"/>
    <col min="4614" max="4614" width="14.85546875" style="216" customWidth="1"/>
    <col min="4615" max="4615" width="9.5703125" style="216" customWidth="1"/>
    <col min="4616" max="4617" width="12.28515625" style="216" customWidth="1"/>
    <col min="4618" max="4620" width="12.85546875" style="216" customWidth="1"/>
    <col min="4621" max="4621" width="12.7109375" style="216" customWidth="1"/>
    <col min="4622" max="4622" width="12.28515625" style="216" bestFit="1" customWidth="1"/>
    <col min="4623" max="4623" width="13.140625" style="216" customWidth="1"/>
    <col min="4624" max="4864" width="9.140625" style="216"/>
    <col min="4865" max="4865" width="2.7109375" style="216" customWidth="1"/>
    <col min="4866" max="4866" width="9.140625" style="216"/>
    <col min="4867" max="4867" width="40.28515625" style="216" bestFit="1" customWidth="1"/>
    <col min="4868" max="4868" width="12" style="216" customWidth="1"/>
    <col min="4869" max="4869" width="10" style="216" customWidth="1"/>
    <col min="4870" max="4870" width="14.85546875" style="216" customWidth="1"/>
    <col min="4871" max="4871" width="9.5703125" style="216" customWidth="1"/>
    <col min="4872" max="4873" width="12.28515625" style="216" customWidth="1"/>
    <col min="4874" max="4876" width="12.85546875" style="216" customWidth="1"/>
    <col min="4877" max="4877" width="12.7109375" style="216" customWidth="1"/>
    <col min="4878" max="4878" width="12.28515625" style="216" bestFit="1" customWidth="1"/>
    <col min="4879" max="4879" width="13.140625" style="216" customWidth="1"/>
    <col min="4880" max="5120" width="9.140625" style="216"/>
    <col min="5121" max="5121" width="2.7109375" style="216" customWidth="1"/>
    <col min="5122" max="5122" width="9.140625" style="216"/>
    <col min="5123" max="5123" width="40.28515625" style="216" bestFit="1" customWidth="1"/>
    <col min="5124" max="5124" width="12" style="216" customWidth="1"/>
    <col min="5125" max="5125" width="10" style="216" customWidth="1"/>
    <col min="5126" max="5126" width="14.85546875" style="216" customWidth="1"/>
    <col min="5127" max="5127" width="9.5703125" style="216" customWidth="1"/>
    <col min="5128" max="5129" width="12.28515625" style="216" customWidth="1"/>
    <col min="5130" max="5132" width="12.85546875" style="216" customWidth="1"/>
    <col min="5133" max="5133" width="12.7109375" style="216" customWidth="1"/>
    <col min="5134" max="5134" width="12.28515625" style="216" bestFit="1" customWidth="1"/>
    <col min="5135" max="5135" width="13.140625" style="216" customWidth="1"/>
    <col min="5136" max="5376" width="9.140625" style="216"/>
    <col min="5377" max="5377" width="2.7109375" style="216" customWidth="1"/>
    <col min="5378" max="5378" width="9.140625" style="216"/>
    <col min="5379" max="5379" width="40.28515625" style="216" bestFit="1" customWidth="1"/>
    <col min="5380" max="5380" width="12" style="216" customWidth="1"/>
    <col min="5381" max="5381" width="10" style="216" customWidth="1"/>
    <col min="5382" max="5382" width="14.85546875" style="216" customWidth="1"/>
    <col min="5383" max="5383" width="9.5703125" style="216" customWidth="1"/>
    <col min="5384" max="5385" width="12.28515625" style="216" customWidth="1"/>
    <col min="5386" max="5388" width="12.85546875" style="216" customWidth="1"/>
    <col min="5389" max="5389" width="12.7109375" style="216" customWidth="1"/>
    <col min="5390" max="5390" width="12.28515625" style="216" bestFit="1" customWidth="1"/>
    <col min="5391" max="5391" width="13.140625" style="216" customWidth="1"/>
    <col min="5392" max="5632" width="9.140625" style="216"/>
    <col min="5633" max="5633" width="2.7109375" style="216" customWidth="1"/>
    <col min="5634" max="5634" width="9.140625" style="216"/>
    <col min="5635" max="5635" width="40.28515625" style="216" bestFit="1" customWidth="1"/>
    <col min="5636" max="5636" width="12" style="216" customWidth="1"/>
    <col min="5637" max="5637" width="10" style="216" customWidth="1"/>
    <col min="5638" max="5638" width="14.85546875" style="216" customWidth="1"/>
    <col min="5639" max="5639" width="9.5703125" style="216" customWidth="1"/>
    <col min="5640" max="5641" width="12.28515625" style="216" customWidth="1"/>
    <col min="5642" max="5644" width="12.85546875" style="216" customWidth="1"/>
    <col min="5645" max="5645" width="12.7109375" style="216" customWidth="1"/>
    <col min="5646" max="5646" width="12.28515625" style="216" bestFit="1" customWidth="1"/>
    <col min="5647" max="5647" width="13.140625" style="216" customWidth="1"/>
    <col min="5648" max="5888" width="9.140625" style="216"/>
    <col min="5889" max="5889" width="2.7109375" style="216" customWidth="1"/>
    <col min="5890" max="5890" width="9.140625" style="216"/>
    <col min="5891" max="5891" width="40.28515625" style="216" bestFit="1" customWidth="1"/>
    <col min="5892" max="5892" width="12" style="216" customWidth="1"/>
    <col min="5893" max="5893" width="10" style="216" customWidth="1"/>
    <col min="5894" max="5894" width="14.85546875" style="216" customWidth="1"/>
    <col min="5895" max="5895" width="9.5703125" style="216" customWidth="1"/>
    <col min="5896" max="5897" width="12.28515625" style="216" customWidth="1"/>
    <col min="5898" max="5900" width="12.85546875" style="216" customWidth="1"/>
    <col min="5901" max="5901" width="12.7109375" style="216" customWidth="1"/>
    <col min="5902" max="5902" width="12.28515625" style="216" bestFit="1" customWidth="1"/>
    <col min="5903" max="5903" width="13.140625" style="216" customWidth="1"/>
    <col min="5904" max="6144" width="9.140625" style="216"/>
    <col min="6145" max="6145" width="2.7109375" style="216" customWidth="1"/>
    <col min="6146" max="6146" width="9.140625" style="216"/>
    <col min="6147" max="6147" width="40.28515625" style="216" bestFit="1" customWidth="1"/>
    <col min="6148" max="6148" width="12" style="216" customWidth="1"/>
    <col min="6149" max="6149" width="10" style="216" customWidth="1"/>
    <col min="6150" max="6150" width="14.85546875" style="216" customWidth="1"/>
    <col min="6151" max="6151" width="9.5703125" style="216" customWidth="1"/>
    <col min="6152" max="6153" width="12.28515625" style="216" customWidth="1"/>
    <col min="6154" max="6156" width="12.85546875" style="216" customWidth="1"/>
    <col min="6157" max="6157" width="12.7109375" style="216" customWidth="1"/>
    <col min="6158" max="6158" width="12.28515625" style="216" bestFit="1" customWidth="1"/>
    <col min="6159" max="6159" width="13.140625" style="216" customWidth="1"/>
    <col min="6160" max="6400" width="9.140625" style="216"/>
    <col min="6401" max="6401" width="2.7109375" style="216" customWidth="1"/>
    <col min="6402" max="6402" width="9.140625" style="216"/>
    <col min="6403" max="6403" width="40.28515625" style="216" bestFit="1" customWidth="1"/>
    <col min="6404" max="6404" width="12" style="216" customWidth="1"/>
    <col min="6405" max="6405" width="10" style="216" customWidth="1"/>
    <col min="6406" max="6406" width="14.85546875" style="216" customWidth="1"/>
    <col min="6407" max="6407" width="9.5703125" style="216" customWidth="1"/>
    <col min="6408" max="6409" width="12.28515625" style="216" customWidth="1"/>
    <col min="6410" max="6412" width="12.85546875" style="216" customWidth="1"/>
    <col min="6413" max="6413" width="12.7109375" style="216" customWidth="1"/>
    <col min="6414" max="6414" width="12.28515625" style="216" bestFit="1" customWidth="1"/>
    <col min="6415" max="6415" width="13.140625" style="216" customWidth="1"/>
    <col min="6416" max="6656" width="9.140625" style="216"/>
    <col min="6657" max="6657" width="2.7109375" style="216" customWidth="1"/>
    <col min="6658" max="6658" width="9.140625" style="216"/>
    <col min="6659" max="6659" width="40.28515625" style="216" bestFit="1" customWidth="1"/>
    <col min="6660" max="6660" width="12" style="216" customWidth="1"/>
    <col min="6661" max="6661" width="10" style="216" customWidth="1"/>
    <col min="6662" max="6662" width="14.85546875" style="216" customWidth="1"/>
    <col min="6663" max="6663" width="9.5703125" style="216" customWidth="1"/>
    <col min="6664" max="6665" width="12.28515625" style="216" customWidth="1"/>
    <col min="6666" max="6668" width="12.85546875" style="216" customWidth="1"/>
    <col min="6669" max="6669" width="12.7109375" style="216" customWidth="1"/>
    <col min="6670" max="6670" width="12.28515625" style="216" bestFit="1" customWidth="1"/>
    <col min="6671" max="6671" width="13.140625" style="216" customWidth="1"/>
    <col min="6672" max="6912" width="9.140625" style="216"/>
    <col min="6913" max="6913" width="2.7109375" style="216" customWidth="1"/>
    <col min="6914" max="6914" width="9.140625" style="216"/>
    <col min="6915" max="6915" width="40.28515625" style="216" bestFit="1" customWidth="1"/>
    <col min="6916" max="6916" width="12" style="216" customWidth="1"/>
    <col min="6917" max="6917" width="10" style="216" customWidth="1"/>
    <col min="6918" max="6918" width="14.85546875" style="216" customWidth="1"/>
    <col min="6919" max="6919" width="9.5703125" style="216" customWidth="1"/>
    <col min="6920" max="6921" width="12.28515625" style="216" customWidth="1"/>
    <col min="6922" max="6924" width="12.85546875" style="216" customWidth="1"/>
    <col min="6925" max="6925" width="12.7109375" style="216" customWidth="1"/>
    <col min="6926" max="6926" width="12.28515625" style="216" bestFit="1" customWidth="1"/>
    <col min="6927" max="6927" width="13.140625" style="216" customWidth="1"/>
    <col min="6928" max="7168" width="9.140625" style="216"/>
    <col min="7169" max="7169" width="2.7109375" style="216" customWidth="1"/>
    <col min="7170" max="7170" width="9.140625" style="216"/>
    <col min="7171" max="7171" width="40.28515625" style="216" bestFit="1" customWidth="1"/>
    <col min="7172" max="7172" width="12" style="216" customWidth="1"/>
    <col min="7173" max="7173" width="10" style="216" customWidth="1"/>
    <col min="7174" max="7174" width="14.85546875" style="216" customWidth="1"/>
    <col min="7175" max="7175" width="9.5703125" style="216" customWidth="1"/>
    <col min="7176" max="7177" width="12.28515625" style="216" customWidth="1"/>
    <col min="7178" max="7180" width="12.85546875" style="216" customWidth="1"/>
    <col min="7181" max="7181" width="12.7109375" style="216" customWidth="1"/>
    <col min="7182" max="7182" width="12.28515625" style="216" bestFit="1" customWidth="1"/>
    <col min="7183" max="7183" width="13.140625" style="216" customWidth="1"/>
    <col min="7184" max="7424" width="9.140625" style="216"/>
    <col min="7425" max="7425" width="2.7109375" style="216" customWidth="1"/>
    <col min="7426" max="7426" width="9.140625" style="216"/>
    <col min="7427" max="7427" width="40.28515625" style="216" bestFit="1" customWidth="1"/>
    <col min="7428" max="7428" width="12" style="216" customWidth="1"/>
    <col min="7429" max="7429" width="10" style="216" customWidth="1"/>
    <col min="7430" max="7430" width="14.85546875" style="216" customWidth="1"/>
    <col min="7431" max="7431" width="9.5703125" style="216" customWidth="1"/>
    <col min="7432" max="7433" width="12.28515625" style="216" customWidth="1"/>
    <col min="7434" max="7436" width="12.85546875" style="216" customWidth="1"/>
    <col min="7437" max="7437" width="12.7109375" style="216" customWidth="1"/>
    <col min="7438" max="7438" width="12.28515625" style="216" bestFit="1" customWidth="1"/>
    <col min="7439" max="7439" width="13.140625" style="216" customWidth="1"/>
    <col min="7440" max="7680" width="9.140625" style="216"/>
    <col min="7681" max="7681" width="2.7109375" style="216" customWidth="1"/>
    <col min="7682" max="7682" width="9.140625" style="216"/>
    <col min="7683" max="7683" width="40.28515625" style="216" bestFit="1" customWidth="1"/>
    <col min="7684" max="7684" width="12" style="216" customWidth="1"/>
    <col min="7685" max="7685" width="10" style="216" customWidth="1"/>
    <col min="7686" max="7686" width="14.85546875" style="216" customWidth="1"/>
    <col min="7687" max="7687" width="9.5703125" style="216" customWidth="1"/>
    <col min="7688" max="7689" width="12.28515625" style="216" customWidth="1"/>
    <col min="7690" max="7692" width="12.85546875" style="216" customWidth="1"/>
    <col min="7693" max="7693" width="12.7109375" style="216" customWidth="1"/>
    <col min="7694" max="7694" width="12.28515625" style="216" bestFit="1" customWidth="1"/>
    <col min="7695" max="7695" width="13.140625" style="216" customWidth="1"/>
    <col min="7696" max="7936" width="9.140625" style="216"/>
    <col min="7937" max="7937" width="2.7109375" style="216" customWidth="1"/>
    <col min="7938" max="7938" width="9.140625" style="216"/>
    <col min="7939" max="7939" width="40.28515625" style="216" bestFit="1" customWidth="1"/>
    <col min="7940" max="7940" width="12" style="216" customWidth="1"/>
    <col min="7941" max="7941" width="10" style="216" customWidth="1"/>
    <col min="7942" max="7942" width="14.85546875" style="216" customWidth="1"/>
    <col min="7943" max="7943" width="9.5703125" style="216" customWidth="1"/>
    <col min="7944" max="7945" width="12.28515625" style="216" customWidth="1"/>
    <col min="7946" max="7948" width="12.85546875" style="216" customWidth="1"/>
    <col min="7949" max="7949" width="12.7109375" style="216" customWidth="1"/>
    <col min="7950" max="7950" width="12.28515625" style="216" bestFit="1" customWidth="1"/>
    <col min="7951" max="7951" width="13.140625" style="216" customWidth="1"/>
    <col min="7952" max="8192" width="9.140625" style="216"/>
    <col min="8193" max="8193" width="2.7109375" style="216" customWidth="1"/>
    <col min="8194" max="8194" width="9.140625" style="216"/>
    <col min="8195" max="8195" width="40.28515625" style="216" bestFit="1" customWidth="1"/>
    <col min="8196" max="8196" width="12" style="216" customWidth="1"/>
    <col min="8197" max="8197" width="10" style="216" customWidth="1"/>
    <col min="8198" max="8198" width="14.85546875" style="216" customWidth="1"/>
    <col min="8199" max="8199" width="9.5703125" style="216" customWidth="1"/>
    <col min="8200" max="8201" width="12.28515625" style="216" customWidth="1"/>
    <col min="8202" max="8204" width="12.85546875" style="216" customWidth="1"/>
    <col min="8205" max="8205" width="12.7109375" style="216" customWidth="1"/>
    <col min="8206" max="8206" width="12.28515625" style="216" bestFit="1" customWidth="1"/>
    <col min="8207" max="8207" width="13.140625" style="216" customWidth="1"/>
    <col min="8208" max="8448" width="9.140625" style="216"/>
    <col min="8449" max="8449" width="2.7109375" style="216" customWidth="1"/>
    <col min="8450" max="8450" width="9.140625" style="216"/>
    <col min="8451" max="8451" width="40.28515625" style="216" bestFit="1" customWidth="1"/>
    <col min="8452" max="8452" width="12" style="216" customWidth="1"/>
    <col min="8453" max="8453" width="10" style="216" customWidth="1"/>
    <col min="8454" max="8454" width="14.85546875" style="216" customWidth="1"/>
    <col min="8455" max="8455" width="9.5703125" style="216" customWidth="1"/>
    <col min="8456" max="8457" width="12.28515625" style="216" customWidth="1"/>
    <col min="8458" max="8460" width="12.85546875" style="216" customWidth="1"/>
    <col min="8461" max="8461" width="12.7109375" style="216" customWidth="1"/>
    <col min="8462" max="8462" width="12.28515625" style="216" bestFit="1" customWidth="1"/>
    <col min="8463" max="8463" width="13.140625" style="216" customWidth="1"/>
    <col min="8464" max="8704" width="9.140625" style="216"/>
    <col min="8705" max="8705" width="2.7109375" style="216" customWidth="1"/>
    <col min="8706" max="8706" width="9.140625" style="216"/>
    <col min="8707" max="8707" width="40.28515625" style="216" bestFit="1" customWidth="1"/>
    <col min="8708" max="8708" width="12" style="216" customWidth="1"/>
    <col min="8709" max="8709" width="10" style="216" customWidth="1"/>
    <col min="8710" max="8710" width="14.85546875" style="216" customWidth="1"/>
    <col min="8711" max="8711" width="9.5703125" style="216" customWidth="1"/>
    <col min="8712" max="8713" width="12.28515625" style="216" customWidth="1"/>
    <col min="8714" max="8716" width="12.85546875" style="216" customWidth="1"/>
    <col min="8717" max="8717" width="12.7109375" style="216" customWidth="1"/>
    <col min="8718" max="8718" width="12.28515625" style="216" bestFit="1" customWidth="1"/>
    <col min="8719" max="8719" width="13.140625" style="216" customWidth="1"/>
    <col min="8720" max="8960" width="9.140625" style="216"/>
    <col min="8961" max="8961" width="2.7109375" style="216" customWidth="1"/>
    <col min="8962" max="8962" width="9.140625" style="216"/>
    <col min="8963" max="8963" width="40.28515625" style="216" bestFit="1" customWidth="1"/>
    <col min="8964" max="8964" width="12" style="216" customWidth="1"/>
    <col min="8965" max="8965" width="10" style="216" customWidth="1"/>
    <col min="8966" max="8966" width="14.85546875" style="216" customWidth="1"/>
    <col min="8967" max="8967" width="9.5703125" style="216" customWidth="1"/>
    <col min="8968" max="8969" width="12.28515625" style="216" customWidth="1"/>
    <col min="8970" max="8972" width="12.85546875" style="216" customWidth="1"/>
    <col min="8973" max="8973" width="12.7109375" style="216" customWidth="1"/>
    <col min="8974" max="8974" width="12.28515625" style="216" bestFit="1" customWidth="1"/>
    <col min="8975" max="8975" width="13.140625" style="216" customWidth="1"/>
    <col min="8976" max="9216" width="9.140625" style="216"/>
    <col min="9217" max="9217" width="2.7109375" style="216" customWidth="1"/>
    <col min="9218" max="9218" width="9.140625" style="216"/>
    <col min="9219" max="9219" width="40.28515625" style="216" bestFit="1" customWidth="1"/>
    <col min="9220" max="9220" width="12" style="216" customWidth="1"/>
    <col min="9221" max="9221" width="10" style="216" customWidth="1"/>
    <col min="9222" max="9222" width="14.85546875" style="216" customWidth="1"/>
    <col min="9223" max="9223" width="9.5703125" style="216" customWidth="1"/>
    <col min="9224" max="9225" width="12.28515625" style="216" customWidth="1"/>
    <col min="9226" max="9228" width="12.85546875" style="216" customWidth="1"/>
    <col min="9229" max="9229" width="12.7109375" style="216" customWidth="1"/>
    <col min="9230" max="9230" width="12.28515625" style="216" bestFit="1" customWidth="1"/>
    <col min="9231" max="9231" width="13.140625" style="216" customWidth="1"/>
    <col min="9232" max="9472" width="9.140625" style="216"/>
    <col min="9473" max="9473" width="2.7109375" style="216" customWidth="1"/>
    <col min="9474" max="9474" width="9.140625" style="216"/>
    <col min="9475" max="9475" width="40.28515625" style="216" bestFit="1" customWidth="1"/>
    <col min="9476" max="9476" width="12" style="216" customWidth="1"/>
    <col min="9477" max="9477" width="10" style="216" customWidth="1"/>
    <col min="9478" max="9478" width="14.85546875" style="216" customWidth="1"/>
    <col min="9479" max="9479" width="9.5703125" style="216" customWidth="1"/>
    <col min="9480" max="9481" width="12.28515625" style="216" customWidth="1"/>
    <col min="9482" max="9484" width="12.85546875" style="216" customWidth="1"/>
    <col min="9485" max="9485" width="12.7109375" style="216" customWidth="1"/>
    <col min="9486" max="9486" width="12.28515625" style="216" bestFit="1" customWidth="1"/>
    <col min="9487" max="9487" width="13.140625" style="216" customWidth="1"/>
    <col min="9488" max="9728" width="9.140625" style="216"/>
    <col min="9729" max="9729" width="2.7109375" style="216" customWidth="1"/>
    <col min="9730" max="9730" width="9.140625" style="216"/>
    <col min="9731" max="9731" width="40.28515625" style="216" bestFit="1" customWidth="1"/>
    <col min="9732" max="9732" width="12" style="216" customWidth="1"/>
    <col min="9733" max="9733" width="10" style="216" customWidth="1"/>
    <col min="9734" max="9734" width="14.85546875" style="216" customWidth="1"/>
    <col min="9735" max="9735" width="9.5703125" style="216" customWidth="1"/>
    <col min="9736" max="9737" width="12.28515625" style="216" customWidth="1"/>
    <col min="9738" max="9740" width="12.85546875" style="216" customWidth="1"/>
    <col min="9741" max="9741" width="12.7109375" style="216" customWidth="1"/>
    <col min="9742" max="9742" width="12.28515625" style="216" bestFit="1" customWidth="1"/>
    <col min="9743" max="9743" width="13.140625" style="216" customWidth="1"/>
    <col min="9744" max="9984" width="9.140625" style="216"/>
    <col min="9985" max="9985" width="2.7109375" style="216" customWidth="1"/>
    <col min="9986" max="9986" width="9.140625" style="216"/>
    <col min="9987" max="9987" width="40.28515625" style="216" bestFit="1" customWidth="1"/>
    <col min="9988" max="9988" width="12" style="216" customWidth="1"/>
    <col min="9989" max="9989" width="10" style="216" customWidth="1"/>
    <col min="9990" max="9990" width="14.85546875" style="216" customWidth="1"/>
    <col min="9991" max="9991" width="9.5703125" style="216" customWidth="1"/>
    <col min="9992" max="9993" width="12.28515625" style="216" customWidth="1"/>
    <col min="9994" max="9996" width="12.85546875" style="216" customWidth="1"/>
    <col min="9997" max="9997" width="12.7109375" style="216" customWidth="1"/>
    <col min="9998" max="9998" width="12.28515625" style="216" bestFit="1" customWidth="1"/>
    <col min="9999" max="9999" width="13.140625" style="216" customWidth="1"/>
    <col min="10000" max="10240" width="9.140625" style="216"/>
    <col min="10241" max="10241" width="2.7109375" style="216" customWidth="1"/>
    <col min="10242" max="10242" width="9.140625" style="216"/>
    <col min="10243" max="10243" width="40.28515625" style="216" bestFit="1" customWidth="1"/>
    <col min="10244" max="10244" width="12" style="216" customWidth="1"/>
    <col min="10245" max="10245" width="10" style="216" customWidth="1"/>
    <col min="10246" max="10246" width="14.85546875" style="216" customWidth="1"/>
    <col min="10247" max="10247" width="9.5703125" style="216" customWidth="1"/>
    <col min="10248" max="10249" width="12.28515625" style="216" customWidth="1"/>
    <col min="10250" max="10252" width="12.85546875" style="216" customWidth="1"/>
    <col min="10253" max="10253" width="12.7109375" style="216" customWidth="1"/>
    <col min="10254" max="10254" width="12.28515625" style="216" bestFit="1" customWidth="1"/>
    <col min="10255" max="10255" width="13.140625" style="216" customWidth="1"/>
    <col min="10256" max="10496" width="9.140625" style="216"/>
    <col min="10497" max="10497" width="2.7109375" style="216" customWidth="1"/>
    <col min="10498" max="10498" width="9.140625" style="216"/>
    <col min="10499" max="10499" width="40.28515625" style="216" bestFit="1" customWidth="1"/>
    <col min="10500" max="10500" width="12" style="216" customWidth="1"/>
    <col min="10501" max="10501" width="10" style="216" customWidth="1"/>
    <col min="10502" max="10502" width="14.85546875" style="216" customWidth="1"/>
    <col min="10503" max="10503" width="9.5703125" style="216" customWidth="1"/>
    <col min="10504" max="10505" width="12.28515625" style="216" customWidth="1"/>
    <col min="10506" max="10508" width="12.85546875" style="216" customWidth="1"/>
    <col min="10509" max="10509" width="12.7109375" style="216" customWidth="1"/>
    <col min="10510" max="10510" width="12.28515625" style="216" bestFit="1" customWidth="1"/>
    <col min="10511" max="10511" width="13.140625" style="216" customWidth="1"/>
    <col min="10512" max="10752" width="9.140625" style="216"/>
    <col min="10753" max="10753" width="2.7109375" style="216" customWidth="1"/>
    <col min="10754" max="10754" width="9.140625" style="216"/>
    <col min="10755" max="10755" width="40.28515625" style="216" bestFit="1" customWidth="1"/>
    <col min="10756" max="10756" width="12" style="216" customWidth="1"/>
    <col min="10757" max="10757" width="10" style="216" customWidth="1"/>
    <col min="10758" max="10758" width="14.85546875" style="216" customWidth="1"/>
    <col min="10759" max="10759" width="9.5703125" style="216" customWidth="1"/>
    <col min="10760" max="10761" width="12.28515625" style="216" customWidth="1"/>
    <col min="10762" max="10764" width="12.85546875" style="216" customWidth="1"/>
    <col min="10765" max="10765" width="12.7109375" style="216" customWidth="1"/>
    <col min="10766" max="10766" width="12.28515625" style="216" bestFit="1" customWidth="1"/>
    <col min="10767" max="10767" width="13.140625" style="216" customWidth="1"/>
    <col min="10768" max="11008" width="9.140625" style="216"/>
    <col min="11009" max="11009" width="2.7109375" style="216" customWidth="1"/>
    <col min="11010" max="11010" width="9.140625" style="216"/>
    <col min="11011" max="11011" width="40.28515625" style="216" bestFit="1" customWidth="1"/>
    <col min="11012" max="11012" width="12" style="216" customWidth="1"/>
    <col min="11013" max="11013" width="10" style="216" customWidth="1"/>
    <col min="11014" max="11014" width="14.85546875" style="216" customWidth="1"/>
    <col min="11015" max="11015" width="9.5703125" style="216" customWidth="1"/>
    <col min="11016" max="11017" width="12.28515625" style="216" customWidth="1"/>
    <col min="11018" max="11020" width="12.85546875" style="216" customWidth="1"/>
    <col min="11021" max="11021" width="12.7109375" style="216" customWidth="1"/>
    <col min="11022" max="11022" width="12.28515625" style="216" bestFit="1" customWidth="1"/>
    <col min="11023" max="11023" width="13.140625" style="216" customWidth="1"/>
    <col min="11024" max="11264" width="9.140625" style="216"/>
    <col min="11265" max="11265" width="2.7109375" style="216" customWidth="1"/>
    <col min="11266" max="11266" width="9.140625" style="216"/>
    <col min="11267" max="11267" width="40.28515625" style="216" bestFit="1" customWidth="1"/>
    <col min="11268" max="11268" width="12" style="216" customWidth="1"/>
    <col min="11269" max="11269" width="10" style="216" customWidth="1"/>
    <col min="11270" max="11270" width="14.85546875" style="216" customWidth="1"/>
    <col min="11271" max="11271" width="9.5703125" style="216" customWidth="1"/>
    <col min="11272" max="11273" width="12.28515625" style="216" customWidth="1"/>
    <col min="11274" max="11276" width="12.85546875" style="216" customWidth="1"/>
    <col min="11277" max="11277" width="12.7109375" style="216" customWidth="1"/>
    <col min="11278" max="11278" width="12.28515625" style="216" bestFit="1" customWidth="1"/>
    <col min="11279" max="11279" width="13.140625" style="216" customWidth="1"/>
    <col min="11280" max="11520" width="9.140625" style="216"/>
    <col min="11521" max="11521" width="2.7109375" style="216" customWidth="1"/>
    <col min="11522" max="11522" width="9.140625" style="216"/>
    <col min="11523" max="11523" width="40.28515625" style="216" bestFit="1" customWidth="1"/>
    <col min="11524" max="11524" width="12" style="216" customWidth="1"/>
    <col min="11525" max="11525" width="10" style="216" customWidth="1"/>
    <col min="11526" max="11526" width="14.85546875" style="216" customWidth="1"/>
    <col min="11527" max="11527" width="9.5703125" style="216" customWidth="1"/>
    <col min="11528" max="11529" width="12.28515625" style="216" customWidth="1"/>
    <col min="11530" max="11532" width="12.85546875" style="216" customWidth="1"/>
    <col min="11533" max="11533" width="12.7109375" style="216" customWidth="1"/>
    <col min="11534" max="11534" width="12.28515625" style="216" bestFit="1" customWidth="1"/>
    <col min="11535" max="11535" width="13.140625" style="216" customWidth="1"/>
    <col min="11536" max="11776" width="9.140625" style="216"/>
    <col min="11777" max="11777" width="2.7109375" style="216" customWidth="1"/>
    <col min="11778" max="11778" width="9.140625" style="216"/>
    <col min="11779" max="11779" width="40.28515625" style="216" bestFit="1" customWidth="1"/>
    <col min="11780" max="11780" width="12" style="216" customWidth="1"/>
    <col min="11781" max="11781" width="10" style="216" customWidth="1"/>
    <col min="11782" max="11782" width="14.85546875" style="216" customWidth="1"/>
    <col min="11783" max="11783" width="9.5703125" style="216" customWidth="1"/>
    <col min="11784" max="11785" width="12.28515625" style="216" customWidth="1"/>
    <col min="11786" max="11788" width="12.85546875" style="216" customWidth="1"/>
    <col min="11789" max="11789" width="12.7109375" style="216" customWidth="1"/>
    <col min="11790" max="11790" width="12.28515625" style="216" bestFit="1" customWidth="1"/>
    <col min="11791" max="11791" width="13.140625" style="216" customWidth="1"/>
    <col min="11792" max="12032" width="9.140625" style="216"/>
    <col min="12033" max="12033" width="2.7109375" style="216" customWidth="1"/>
    <col min="12034" max="12034" width="9.140625" style="216"/>
    <col min="12035" max="12035" width="40.28515625" style="216" bestFit="1" customWidth="1"/>
    <col min="12036" max="12036" width="12" style="216" customWidth="1"/>
    <col min="12037" max="12037" width="10" style="216" customWidth="1"/>
    <col min="12038" max="12038" width="14.85546875" style="216" customWidth="1"/>
    <col min="12039" max="12039" width="9.5703125" style="216" customWidth="1"/>
    <col min="12040" max="12041" width="12.28515625" style="216" customWidth="1"/>
    <col min="12042" max="12044" width="12.85546875" style="216" customWidth="1"/>
    <col min="12045" max="12045" width="12.7109375" style="216" customWidth="1"/>
    <col min="12046" max="12046" width="12.28515625" style="216" bestFit="1" customWidth="1"/>
    <col min="12047" max="12047" width="13.140625" style="216" customWidth="1"/>
    <col min="12048" max="12288" width="9.140625" style="216"/>
    <col min="12289" max="12289" width="2.7109375" style="216" customWidth="1"/>
    <col min="12290" max="12290" width="9.140625" style="216"/>
    <col min="12291" max="12291" width="40.28515625" style="216" bestFit="1" customWidth="1"/>
    <col min="12292" max="12292" width="12" style="216" customWidth="1"/>
    <col min="12293" max="12293" width="10" style="216" customWidth="1"/>
    <col min="12294" max="12294" width="14.85546875" style="216" customWidth="1"/>
    <col min="12295" max="12295" width="9.5703125" style="216" customWidth="1"/>
    <col min="12296" max="12297" width="12.28515625" style="216" customWidth="1"/>
    <col min="12298" max="12300" width="12.85546875" style="216" customWidth="1"/>
    <col min="12301" max="12301" width="12.7109375" style="216" customWidth="1"/>
    <col min="12302" max="12302" width="12.28515625" style="216" bestFit="1" customWidth="1"/>
    <col min="12303" max="12303" width="13.140625" style="216" customWidth="1"/>
    <col min="12304" max="12544" width="9.140625" style="216"/>
    <col min="12545" max="12545" width="2.7109375" style="216" customWidth="1"/>
    <col min="12546" max="12546" width="9.140625" style="216"/>
    <col min="12547" max="12547" width="40.28515625" style="216" bestFit="1" customWidth="1"/>
    <col min="12548" max="12548" width="12" style="216" customWidth="1"/>
    <col min="12549" max="12549" width="10" style="216" customWidth="1"/>
    <col min="12550" max="12550" width="14.85546875" style="216" customWidth="1"/>
    <col min="12551" max="12551" width="9.5703125" style="216" customWidth="1"/>
    <col min="12552" max="12553" width="12.28515625" style="216" customWidth="1"/>
    <col min="12554" max="12556" width="12.85546875" style="216" customWidth="1"/>
    <col min="12557" max="12557" width="12.7109375" style="216" customWidth="1"/>
    <col min="12558" max="12558" width="12.28515625" style="216" bestFit="1" customWidth="1"/>
    <col min="12559" max="12559" width="13.140625" style="216" customWidth="1"/>
    <col min="12560" max="12800" width="9.140625" style="216"/>
    <col min="12801" max="12801" width="2.7109375" style="216" customWidth="1"/>
    <col min="12802" max="12802" width="9.140625" style="216"/>
    <col min="12803" max="12803" width="40.28515625" style="216" bestFit="1" customWidth="1"/>
    <col min="12804" max="12804" width="12" style="216" customWidth="1"/>
    <col min="12805" max="12805" width="10" style="216" customWidth="1"/>
    <col min="12806" max="12806" width="14.85546875" style="216" customWidth="1"/>
    <col min="12807" max="12807" width="9.5703125" style="216" customWidth="1"/>
    <col min="12808" max="12809" width="12.28515625" style="216" customWidth="1"/>
    <col min="12810" max="12812" width="12.85546875" style="216" customWidth="1"/>
    <col min="12813" max="12813" width="12.7109375" style="216" customWidth="1"/>
    <col min="12814" max="12814" width="12.28515625" style="216" bestFit="1" customWidth="1"/>
    <col min="12815" max="12815" width="13.140625" style="216" customWidth="1"/>
    <col min="12816" max="13056" width="9.140625" style="216"/>
    <col min="13057" max="13057" width="2.7109375" style="216" customWidth="1"/>
    <col min="13058" max="13058" width="9.140625" style="216"/>
    <col min="13059" max="13059" width="40.28515625" style="216" bestFit="1" customWidth="1"/>
    <col min="13060" max="13060" width="12" style="216" customWidth="1"/>
    <col min="13061" max="13061" width="10" style="216" customWidth="1"/>
    <col min="13062" max="13062" width="14.85546875" style="216" customWidth="1"/>
    <col min="13063" max="13063" width="9.5703125" style="216" customWidth="1"/>
    <col min="13064" max="13065" width="12.28515625" style="216" customWidth="1"/>
    <col min="13066" max="13068" width="12.85546875" style="216" customWidth="1"/>
    <col min="13069" max="13069" width="12.7109375" style="216" customWidth="1"/>
    <col min="13070" max="13070" width="12.28515625" style="216" bestFit="1" customWidth="1"/>
    <col min="13071" max="13071" width="13.140625" style="216" customWidth="1"/>
    <col min="13072" max="13312" width="9.140625" style="216"/>
    <col min="13313" max="13313" width="2.7109375" style="216" customWidth="1"/>
    <col min="13314" max="13314" width="9.140625" style="216"/>
    <col min="13315" max="13315" width="40.28515625" style="216" bestFit="1" customWidth="1"/>
    <col min="13316" max="13316" width="12" style="216" customWidth="1"/>
    <col min="13317" max="13317" width="10" style="216" customWidth="1"/>
    <col min="13318" max="13318" width="14.85546875" style="216" customWidth="1"/>
    <col min="13319" max="13319" width="9.5703125" style="216" customWidth="1"/>
    <col min="13320" max="13321" width="12.28515625" style="216" customWidth="1"/>
    <col min="13322" max="13324" width="12.85546875" style="216" customWidth="1"/>
    <col min="13325" max="13325" width="12.7109375" style="216" customWidth="1"/>
    <col min="13326" max="13326" width="12.28515625" style="216" bestFit="1" customWidth="1"/>
    <col min="13327" max="13327" width="13.140625" style="216" customWidth="1"/>
    <col min="13328" max="13568" width="9.140625" style="216"/>
    <col min="13569" max="13569" width="2.7109375" style="216" customWidth="1"/>
    <col min="13570" max="13570" width="9.140625" style="216"/>
    <col min="13571" max="13571" width="40.28515625" style="216" bestFit="1" customWidth="1"/>
    <col min="13572" max="13572" width="12" style="216" customWidth="1"/>
    <col min="13573" max="13573" width="10" style="216" customWidth="1"/>
    <col min="13574" max="13574" width="14.85546875" style="216" customWidth="1"/>
    <col min="13575" max="13575" width="9.5703125" style="216" customWidth="1"/>
    <col min="13576" max="13577" width="12.28515625" style="216" customWidth="1"/>
    <col min="13578" max="13580" width="12.85546875" style="216" customWidth="1"/>
    <col min="13581" max="13581" width="12.7109375" style="216" customWidth="1"/>
    <col min="13582" max="13582" width="12.28515625" style="216" bestFit="1" customWidth="1"/>
    <col min="13583" max="13583" width="13.140625" style="216" customWidth="1"/>
    <col min="13584" max="13824" width="9.140625" style="216"/>
    <col min="13825" max="13825" width="2.7109375" style="216" customWidth="1"/>
    <col min="13826" max="13826" width="9.140625" style="216"/>
    <col min="13827" max="13827" width="40.28515625" style="216" bestFit="1" customWidth="1"/>
    <col min="13828" max="13828" width="12" style="216" customWidth="1"/>
    <col min="13829" max="13829" width="10" style="216" customWidth="1"/>
    <col min="13830" max="13830" width="14.85546875" style="216" customWidth="1"/>
    <col min="13831" max="13831" width="9.5703125" style="216" customWidth="1"/>
    <col min="13832" max="13833" width="12.28515625" style="216" customWidth="1"/>
    <col min="13834" max="13836" width="12.85546875" style="216" customWidth="1"/>
    <col min="13837" max="13837" width="12.7109375" style="216" customWidth="1"/>
    <col min="13838" max="13838" width="12.28515625" style="216" bestFit="1" customWidth="1"/>
    <col min="13839" max="13839" width="13.140625" style="216" customWidth="1"/>
    <col min="13840" max="14080" width="9.140625" style="216"/>
    <col min="14081" max="14081" width="2.7109375" style="216" customWidth="1"/>
    <col min="14082" max="14082" width="9.140625" style="216"/>
    <col min="14083" max="14083" width="40.28515625" style="216" bestFit="1" customWidth="1"/>
    <col min="14084" max="14084" width="12" style="216" customWidth="1"/>
    <col min="14085" max="14085" width="10" style="216" customWidth="1"/>
    <col min="14086" max="14086" width="14.85546875" style="216" customWidth="1"/>
    <col min="14087" max="14087" width="9.5703125" style="216" customWidth="1"/>
    <col min="14088" max="14089" width="12.28515625" style="216" customWidth="1"/>
    <col min="14090" max="14092" width="12.85546875" style="216" customWidth="1"/>
    <col min="14093" max="14093" width="12.7109375" style="216" customWidth="1"/>
    <col min="14094" max="14094" width="12.28515625" style="216" bestFit="1" customWidth="1"/>
    <col min="14095" max="14095" width="13.140625" style="216" customWidth="1"/>
    <col min="14096" max="14336" width="9.140625" style="216"/>
    <col min="14337" max="14337" width="2.7109375" style="216" customWidth="1"/>
    <col min="14338" max="14338" width="9.140625" style="216"/>
    <col min="14339" max="14339" width="40.28515625" style="216" bestFit="1" customWidth="1"/>
    <col min="14340" max="14340" width="12" style="216" customWidth="1"/>
    <col min="14341" max="14341" width="10" style="216" customWidth="1"/>
    <col min="14342" max="14342" width="14.85546875" style="216" customWidth="1"/>
    <col min="14343" max="14343" width="9.5703125" style="216" customWidth="1"/>
    <col min="14344" max="14345" width="12.28515625" style="216" customWidth="1"/>
    <col min="14346" max="14348" width="12.85546875" style="216" customWidth="1"/>
    <col min="14349" max="14349" width="12.7109375" style="216" customWidth="1"/>
    <col min="14350" max="14350" width="12.28515625" style="216" bestFit="1" customWidth="1"/>
    <col min="14351" max="14351" width="13.140625" style="216" customWidth="1"/>
    <col min="14352" max="14592" width="9.140625" style="216"/>
    <col min="14593" max="14593" width="2.7109375" style="216" customWidth="1"/>
    <col min="14594" max="14594" width="9.140625" style="216"/>
    <col min="14595" max="14595" width="40.28515625" style="216" bestFit="1" customWidth="1"/>
    <col min="14596" max="14596" width="12" style="216" customWidth="1"/>
    <col min="14597" max="14597" width="10" style="216" customWidth="1"/>
    <col min="14598" max="14598" width="14.85546875" style="216" customWidth="1"/>
    <col min="14599" max="14599" width="9.5703125" style="216" customWidth="1"/>
    <col min="14600" max="14601" width="12.28515625" style="216" customWidth="1"/>
    <col min="14602" max="14604" width="12.85546875" style="216" customWidth="1"/>
    <col min="14605" max="14605" width="12.7109375" style="216" customWidth="1"/>
    <col min="14606" max="14606" width="12.28515625" style="216" bestFit="1" customWidth="1"/>
    <col min="14607" max="14607" width="13.140625" style="216" customWidth="1"/>
    <col min="14608" max="14848" width="9.140625" style="216"/>
    <col min="14849" max="14849" width="2.7109375" style="216" customWidth="1"/>
    <col min="14850" max="14850" width="9.140625" style="216"/>
    <col min="14851" max="14851" width="40.28515625" style="216" bestFit="1" customWidth="1"/>
    <col min="14852" max="14852" width="12" style="216" customWidth="1"/>
    <col min="14853" max="14853" width="10" style="216" customWidth="1"/>
    <col min="14854" max="14854" width="14.85546875" style="216" customWidth="1"/>
    <col min="14855" max="14855" width="9.5703125" style="216" customWidth="1"/>
    <col min="14856" max="14857" width="12.28515625" style="216" customWidth="1"/>
    <col min="14858" max="14860" width="12.85546875" style="216" customWidth="1"/>
    <col min="14861" max="14861" width="12.7109375" style="216" customWidth="1"/>
    <col min="14862" max="14862" width="12.28515625" style="216" bestFit="1" customWidth="1"/>
    <col min="14863" max="14863" width="13.140625" style="216" customWidth="1"/>
    <col min="14864" max="15104" width="9.140625" style="216"/>
    <col min="15105" max="15105" width="2.7109375" style="216" customWidth="1"/>
    <col min="15106" max="15106" width="9.140625" style="216"/>
    <col min="15107" max="15107" width="40.28515625" style="216" bestFit="1" customWidth="1"/>
    <col min="15108" max="15108" width="12" style="216" customWidth="1"/>
    <col min="15109" max="15109" width="10" style="216" customWidth="1"/>
    <col min="15110" max="15110" width="14.85546875" style="216" customWidth="1"/>
    <col min="15111" max="15111" width="9.5703125" style="216" customWidth="1"/>
    <col min="15112" max="15113" width="12.28515625" style="216" customWidth="1"/>
    <col min="15114" max="15116" width="12.85546875" style="216" customWidth="1"/>
    <col min="15117" max="15117" width="12.7109375" style="216" customWidth="1"/>
    <col min="15118" max="15118" width="12.28515625" style="216" bestFit="1" customWidth="1"/>
    <col min="15119" max="15119" width="13.140625" style="216" customWidth="1"/>
    <col min="15120" max="15360" width="9.140625" style="216"/>
    <col min="15361" max="15361" width="2.7109375" style="216" customWidth="1"/>
    <col min="15362" max="15362" width="9.140625" style="216"/>
    <col min="15363" max="15363" width="40.28515625" style="216" bestFit="1" customWidth="1"/>
    <col min="15364" max="15364" width="12" style="216" customWidth="1"/>
    <col min="15365" max="15365" width="10" style="216" customWidth="1"/>
    <col min="15366" max="15366" width="14.85546875" style="216" customWidth="1"/>
    <col min="15367" max="15367" width="9.5703125" style="216" customWidth="1"/>
    <col min="15368" max="15369" width="12.28515625" style="216" customWidth="1"/>
    <col min="15370" max="15372" width="12.85546875" style="216" customWidth="1"/>
    <col min="15373" max="15373" width="12.7109375" style="216" customWidth="1"/>
    <col min="15374" max="15374" width="12.28515625" style="216" bestFit="1" customWidth="1"/>
    <col min="15375" max="15375" width="13.140625" style="216" customWidth="1"/>
    <col min="15376" max="15616" width="9.140625" style="216"/>
    <col min="15617" max="15617" width="2.7109375" style="216" customWidth="1"/>
    <col min="15618" max="15618" width="9.140625" style="216"/>
    <col min="15619" max="15619" width="40.28515625" style="216" bestFit="1" customWidth="1"/>
    <col min="15620" max="15620" width="12" style="216" customWidth="1"/>
    <col min="15621" max="15621" width="10" style="216" customWidth="1"/>
    <col min="15622" max="15622" width="14.85546875" style="216" customWidth="1"/>
    <col min="15623" max="15623" width="9.5703125" style="216" customWidth="1"/>
    <col min="15624" max="15625" width="12.28515625" style="216" customWidth="1"/>
    <col min="15626" max="15628" width="12.85546875" style="216" customWidth="1"/>
    <col min="15629" max="15629" width="12.7109375" style="216" customWidth="1"/>
    <col min="15630" max="15630" width="12.28515625" style="216" bestFit="1" customWidth="1"/>
    <col min="15631" max="15631" width="13.140625" style="216" customWidth="1"/>
    <col min="15632" max="15872" width="9.140625" style="216"/>
    <col min="15873" max="15873" width="2.7109375" style="216" customWidth="1"/>
    <col min="15874" max="15874" width="9.140625" style="216"/>
    <col min="15875" max="15875" width="40.28515625" style="216" bestFit="1" customWidth="1"/>
    <col min="15876" max="15876" width="12" style="216" customWidth="1"/>
    <col min="15877" max="15877" width="10" style="216" customWidth="1"/>
    <col min="15878" max="15878" width="14.85546875" style="216" customWidth="1"/>
    <col min="15879" max="15879" width="9.5703125" style="216" customWidth="1"/>
    <col min="15880" max="15881" width="12.28515625" style="216" customWidth="1"/>
    <col min="15882" max="15884" width="12.85546875" style="216" customWidth="1"/>
    <col min="15885" max="15885" width="12.7109375" style="216" customWidth="1"/>
    <col min="15886" max="15886" width="12.28515625" style="216" bestFit="1" customWidth="1"/>
    <col min="15887" max="15887" width="13.140625" style="216" customWidth="1"/>
    <col min="15888" max="16128" width="9.140625" style="216"/>
    <col min="16129" max="16129" width="2.7109375" style="216" customWidth="1"/>
    <col min="16130" max="16130" width="9.140625" style="216"/>
    <col min="16131" max="16131" width="40.28515625" style="216" bestFit="1" customWidth="1"/>
    <col min="16132" max="16132" width="12" style="216" customWidth="1"/>
    <col min="16133" max="16133" width="10" style="216" customWidth="1"/>
    <col min="16134" max="16134" width="14.85546875" style="216" customWidth="1"/>
    <col min="16135" max="16135" width="9.5703125" style="216" customWidth="1"/>
    <col min="16136" max="16137" width="12.28515625" style="216" customWidth="1"/>
    <col min="16138" max="16140" width="12.85546875" style="216" customWidth="1"/>
    <col min="16141" max="16141" width="12.7109375" style="216" customWidth="1"/>
    <col min="16142" max="16142" width="12.28515625" style="216" bestFit="1" customWidth="1"/>
    <col min="16143" max="16143" width="13.140625" style="216" customWidth="1"/>
    <col min="16144" max="16384" width="9.140625" style="216"/>
  </cols>
  <sheetData>
    <row r="1" spans="1:16" x14ac:dyDescent="0.2">
      <c r="F1" s="218"/>
      <c r="G1" s="219"/>
      <c r="H1" s="219"/>
      <c r="I1" s="219"/>
      <c r="J1" s="219"/>
      <c r="K1" s="219"/>
      <c r="L1" s="219"/>
      <c r="N1" s="217" t="s">
        <v>419</v>
      </c>
      <c r="O1" s="766" t="str">
        <f>EBNUMBER</f>
        <v>EB-2014-0113</v>
      </c>
      <c r="P1" s="219"/>
    </row>
    <row r="2" spans="1:16" x14ac:dyDescent="0.2">
      <c r="F2" s="218"/>
      <c r="G2" s="219"/>
      <c r="H2" s="219"/>
      <c r="I2" s="219"/>
      <c r="J2" s="219"/>
      <c r="K2" s="219"/>
      <c r="L2" s="219"/>
      <c r="N2" s="217" t="s">
        <v>420</v>
      </c>
      <c r="O2" s="767">
        <v>2</v>
      </c>
      <c r="P2" s="219"/>
    </row>
    <row r="3" spans="1:16" x14ac:dyDescent="0.2">
      <c r="F3" s="218"/>
      <c r="G3" s="219"/>
      <c r="H3" s="219"/>
      <c r="I3" s="219"/>
      <c r="J3" s="219"/>
      <c r="K3" s="219"/>
      <c r="L3" s="219"/>
      <c r="N3" s="217" t="s">
        <v>421</v>
      </c>
      <c r="O3" s="767">
        <v>2</v>
      </c>
      <c r="P3" s="219"/>
    </row>
    <row r="4" spans="1:16" x14ac:dyDescent="0.2">
      <c r="F4" s="218"/>
      <c r="G4" s="219"/>
      <c r="H4" s="219"/>
      <c r="I4" s="219"/>
      <c r="J4" s="219"/>
      <c r="K4" s="219"/>
      <c r="L4" s="219"/>
      <c r="N4" s="217" t="s">
        <v>422</v>
      </c>
      <c r="O4" s="767">
        <v>2</v>
      </c>
      <c r="P4" s="219"/>
    </row>
    <row r="5" spans="1:16" x14ac:dyDescent="0.2">
      <c r="F5" s="218"/>
      <c r="G5" s="219"/>
      <c r="H5" s="219"/>
      <c r="I5" s="219"/>
      <c r="J5" s="219"/>
      <c r="K5" s="219"/>
      <c r="L5" s="219"/>
      <c r="N5" s="217" t="s">
        <v>423</v>
      </c>
      <c r="O5" s="768"/>
      <c r="P5" s="219"/>
    </row>
    <row r="6" spans="1:16" x14ac:dyDescent="0.2">
      <c r="F6" s="218"/>
      <c r="G6" s="219"/>
      <c r="H6" s="219"/>
      <c r="I6" s="219"/>
      <c r="J6" s="219"/>
      <c r="K6" s="219"/>
      <c r="L6" s="219"/>
      <c r="N6" s="217"/>
      <c r="O6" s="766"/>
      <c r="P6" s="219"/>
    </row>
    <row r="7" spans="1:16" x14ac:dyDescent="0.2">
      <c r="F7" s="218"/>
      <c r="G7" s="219"/>
      <c r="H7" s="219"/>
      <c r="I7" s="219"/>
      <c r="J7" s="219"/>
      <c r="K7" s="219"/>
      <c r="L7" s="220"/>
      <c r="N7" s="217" t="s">
        <v>424</v>
      </c>
      <c r="O7" s="1467">
        <v>42119</v>
      </c>
      <c r="P7" s="220"/>
    </row>
    <row r="9" spans="1:16" ht="18" x14ac:dyDescent="0.25">
      <c r="A9" s="1856" t="s">
        <v>2146</v>
      </c>
      <c r="B9" s="1856"/>
      <c r="C9" s="1856"/>
      <c r="D9" s="1856"/>
      <c r="E9" s="1856"/>
      <c r="F9" s="1856"/>
      <c r="G9" s="1856"/>
      <c r="H9" s="1856"/>
      <c r="I9" s="1856"/>
      <c r="J9" s="1856"/>
      <c r="K9" s="1856"/>
      <c r="L9" s="1856"/>
      <c r="M9" s="1856"/>
      <c r="N9" s="1856"/>
      <c r="O9" s="1856"/>
    </row>
    <row r="10" spans="1:16" ht="18" x14ac:dyDescent="0.25">
      <c r="A10" s="1856" t="s">
        <v>3</v>
      </c>
      <c r="B10" s="1856"/>
      <c r="C10" s="1856"/>
      <c r="D10" s="1856"/>
      <c r="E10" s="1856"/>
      <c r="F10" s="1856"/>
      <c r="G10" s="1856"/>
      <c r="H10" s="1856"/>
      <c r="I10" s="1856"/>
      <c r="J10" s="1856"/>
      <c r="K10" s="1856"/>
      <c r="L10" s="1856"/>
      <c r="M10" s="1856"/>
      <c r="N10" s="1856"/>
      <c r="O10" s="1856"/>
    </row>
    <row r="11" spans="1:16" ht="23.25" customHeight="1" x14ac:dyDescent="0.2">
      <c r="A11" s="1877" t="s">
        <v>535</v>
      </c>
      <c r="B11" s="1877"/>
      <c r="C11" s="1877"/>
      <c r="D11" s="1877"/>
      <c r="E11" s="1877"/>
      <c r="F11" s="1877"/>
      <c r="G11" s="1877"/>
      <c r="H11" s="1877"/>
      <c r="I11" s="1877"/>
      <c r="J11" s="1877"/>
      <c r="K11" s="1877"/>
      <c r="L11" s="1877"/>
      <c r="M11" s="1877"/>
      <c r="N11" s="1877"/>
      <c r="O11" s="1877"/>
    </row>
    <row r="12" spans="1:16" ht="13.5" customHeight="1" x14ac:dyDescent="0.25">
      <c r="A12" s="671"/>
      <c r="B12" s="671"/>
      <c r="C12" s="676" t="s">
        <v>40</v>
      </c>
      <c r="D12" s="665">
        <v>2012</v>
      </c>
      <c r="E12" s="676" t="s">
        <v>162</v>
      </c>
      <c r="F12" s="671"/>
      <c r="G12" s="671"/>
      <c r="H12" s="671"/>
      <c r="I12" s="671"/>
      <c r="J12" s="671"/>
      <c r="K12" s="671"/>
      <c r="L12" s="671"/>
    </row>
    <row r="13" spans="1:16" ht="13.5" thickBot="1" x14ac:dyDescent="0.25"/>
    <row r="14" spans="1:16" ht="61.5" customHeight="1" x14ac:dyDescent="0.2">
      <c r="A14" s="1871" t="s">
        <v>4</v>
      </c>
      <c r="B14" s="1873" t="s">
        <v>346</v>
      </c>
      <c r="C14" s="221" t="s">
        <v>537</v>
      </c>
      <c r="D14" s="221" t="s">
        <v>348</v>
      </c>
      <c r="E14" s="221" t="s">
        <v>518</v>
      </c>
      <c r="F14" s="221" t="s">
        <v>519</v>
      </c>
      <c r="G14" s="221" t="s">
        <v>520</v>
      </c>
      <c r="H14" s="237" t="s">
        <v>521</v>
      </c>
      <c r="I14" s="222" t="s">
        <v>522</v>
      </c>
      <c r="J14" s="222" t="s">
        <v>536</v>
      </c>
      <c r="K14" s="1880" t="s">
        <v>794</v>
      </c>
      <c r="L14" s="222" t="s">
        <v>523</v>
      </c>
      <c r="M14" s="222" t="s">
        <v>531</v>
      </c>
      <c r="N14" s="1880" t="s">
        <v>720</v>
      </c>
      <c r="O14" s="222" t="s">
        <v>719</v>
      </c>
    </row>
    <row r="15" spans="1:16" ht="19.5" customHeight="1" thickBot="1" x14ac:dyDescent="0.25">
      <c r="A15" s="1878"/>
      <c r="B15" s="1879"/>
      <c r="C15" s="294" t="s">
        <v>5</v>
      </c>
      <c r="D15" s="294" t="s">
        <v>6</v>
      </c>
      <c r="E15" s="308" t="s">
        <v>524</v>
      </c>
      <c r="F15" s="294" t="s">
        <v>9</v>
      </c>
      <c r="G15" s="294" t="s">
        <v>10</v>
      </c>
      <c r="H15" s="309" t="s">
        <v>525</v>
      </c>
      <c r="I15" s="296" t="s">
        <v>526</v>
      </c>
      <c r="J15" s="310" t="s">
        <v>527</v>
      </c>
      <c r="K15" s="1881"/>
      <c r="L15" s="296" t="s">
        <v>528</v>
      </c>
      <c r="M15" s="296" t="s">
        <v>529</v>
      </c>
      <c r="N15" s="1882"/>
      <c r="O15" s="310" t="s">
        <v>714</v>
      </c>
    </row>
    <row r="16" spans="1:16" ht="25.5" x14ac:dyDescent="0.2">
      <c r="A16" s="838">
        <v>1611</v>
      </c>
      <c r="B16" s="839" t="s">
        <v>515</v>
      </c>
      <c r="C16" s="204">
        <f>+'App.2-CF_CGAAP_DepExp_2012'!C16</f>
        <v>0</v>
      </c>
      <c r="D16" s="204">
        <f>+'App.2-CF_CGAAP_DepExp_2012'!F16</f>
        <v>0</v>
      </c>
      <c r="E16" s="282">
        <f>+'App.2-CB_MIFRS_DepExp_2011'!F16</f>
        <v>9</v>
      </c>
      <c r="F16" s="293">
        <f>+'App.2-CC_MIFRS_DepExp_2012'!E16</f>
        <v>5</v>
      </c>
      <c r="G16" s="594">
        <f t="shared" ref="G16:G55" si="0">IF(F16=0,0,1/F16)</f>
        <v>0.2</v>
      </c>
      <c r="H16" s="796">
        <f t="shared" ref="H16:H55" si="1">IF(E16=0,0,+C16/E16)</f>
        <v>0</v>
      </c>
      <c r="I16" s="796">
        <f t="shared" ref="I16:I55" si="2">IF(F16=0,0,+(D16*0.5)/F16)</f>
        <v>0</v>
      </c>
      <c r="J16" s="796">
        <f t="shared" ref="J16:J55" si="3">IF(ISERROR(+H16+I16), 0, +H16+I16)</f>
        <v>0</v>
      </c>
      <c r="K16" s="204"/>
      <c r="L16" s="796">
        <f t="shared" ref="L16:L55" si="4">IF(ISERROR(+J16-K16), 0, +J16-K16)</f>
        <v>0</v>
      </c>
      <c r="M16" s="796">
        <f t="shared" ref="M16:M55" si="5">IF(F16=0,0,+(D16)/F16)</f>
        <v>0</v>
      </c>
      <c r="N16" s="204"/>
      <c r="O16" s="796">
        <f>IF(ISERROR(+M16+H16-N16), 0, +M16+H16-N16)</f>
        <v>0</v>
      </c>
    </row>
    <row r="17" spans="1:15" ht="25.5" x14ac:dyDescent="0.2">
      <c r="A17" s="782">
        <v>1612</v>
      </c>
      <c r="B17" s="783" t="s">
        <v>650</v>
      </c>
      <c r="C17" s="204">
        <f>+'App.2-CF_CGAAP_DepExp_2012'!C17</f>
        <v>0</v>
      </c>
      <c r="D17" s="204">
        <f>+'App.2-CF_CGAAP_DepExp_2012'!F17</f>
        <v>0</v>
      </c>
      <c r="E17" s="282">
        <f>+'App.2-CB_MIFRS_DepExp_2011'!F17</f>
        <v>0</v>
      </c>
      <c r="F17" s="293">
        <f>+'App.2-CC_MIFRS_DepExp_2012'!E17</f>
        <v>0</v>
      </c>
      <c r="G17" s="586">
        <f t="shared" si="0"/>
        <v>0</v>
      </c>
      <c r="H17" s="796">
        <f t="shared" si="1"/>
        <v>0</v>
      </c>
      <c r="I17" s="796">
        <f t="shared" si="2"/>
        <v>0</v>
      </c>
      <c r="J17" s="796">
        <f t="shared" si="3"/>
        <v>0</v>
      </c>
      <c r="K17" s="204"/>
      <c r="L17" s="796">
        <f t="shared" si="4"/>
        <v>0</v>
      </c>
      <c r="M17" s="796">
        <f t="shared" si="5"/>
        <v>0</v>
      </c>
      <c r="N17" s="204"/>
      <c r="O17" s="796">
        <f t="shared" ref="O17:O55" si="6">IF(ISERROR(+M17+H17-N17), 0, +M17+H17-N17)</f>
        <v>0</v>
      </c>
    </row>
    <row r="18" spans="1:15" x14ac:dyDescent="0.2">
      <c r="A18" s="785">
        <v>1805</v>
      </c>
      <c r="B18" s="786" t="s">
        <v>383</v>
      </c>
      <c r="C18" s="204">
        <f>+'App.2-CF_CGAAP_DepExp_2012'!C18</f>
        <v>0</v>
      </c>
      <c r="D18" s="204">
        <f>+'App.2-CF_CGAAP_DepExp_2012'!F18</f>
        <v>0</v>
      </c>
      <c r="E18" s="282">
        <f>+'App.2-CB_MIFRS_DepExp_2011'!F18</f>
        <v>0</v>
      </c>
      <c r="F18" s="293">
        <f>+'App.2-CC_MIFRS_DepExp_2012'!E18</f>
        <v>0</v>
      </c>
      <c r="G18" s="586">
        <f t="shared" si="0"/>
        <v>0</v>
      </c>
      <c r="H18" s="796">
        <f t="shared" si="1"/>
        <v>0</v>
      </c>
      <c r="I18" s="796">
        <f t="shared" si="2"/>
        <v>0</v>
      </c>
      <c r="J18" s="796">
        <f t="shared" si="3"/>
        <v>0</v>
      </c>
      <c r="K18" s="204"/>
      <c r="L18" s="796">
        <f t="shared" si="4"/>
        <v>0</v>
      </c>
      <c r="M18" s="796">
        <f t="shared" si="5"/>
        <v>0</v>
      </c>
      <c r="N18" s="204"/>
      <c r="O18" s="796">
        <f t="shared" si="6"/>
        <v>0</v>
      </c>
    </row>
    <row r="19" spans="1:15" x14ac:dyDescent="0.2">
      <c r="A19" s="782">
        <v>1808</v>
      </c>
      <c r="B19" s="787" t="s">
        <v>384</v>
      </c>
      <c r="C19" s="204">
        <f>+'App.2-CF_CGAAP_DepExp_2012'!C19</f>
        <v>0</v>
      </c>
      <c r="D19" s="204">
        <f>+'App.2-CF_CGAAP_DepExp_2012'!F19</f>
        <v>0</v>
      </c>
      <c r="E19" s="282">
        <f>+'App.2-CB_MIFRS_DepExp_2011'!F19</f>
        <v>0</v>
      </c>
      <c r="F19" s="293">
        <f>+'App.2-CC_MIFRS_DepExp_2012'!E19</f>
        <v>0</v>
      </c>
      <c r="G19" s="586">
        <f t="shared" si="0"/>
        <v>0</v>
      </c>
      <c r="H19" s="796">
        <f t="shared" si="1"/>
        <v>0</v>
      </c>
      <c r="I19" s="796">
        <f t="shared" si="2"/>
        <v>0</v>
      </c>
      <c r="J19" s="796">
        <f t="shared" si="3"/>
        <v>0</v>
      </c>
      <c r="K19" s="204"/>
      <c r="L19" s="796">
        <f t="shared" si="4"/>
        <v>0</v>
      </c>
      <c r="M19" s="796">
        <f t="shared" si="5"/>
        <v>0</v>
      </c>
      <c r="N19" s="204"/>
      <c r="O19" s="796">
        <f t="shared" si="6"/>
        <v>0</v>
      </c>
    </row>
    <row r="20" spans="1:15" x14ac:dyDescent="0.2">
      <c r="A20" s="782">
        <v>1810</v>
      </c>
      <c r="B20" s="787" t="s">
        <v>417</v>
      </c>
      <c r="C20" s="204">
        <f>+'App.2-CF_CGAAP_DepExp_2012'!C20</f>
        <v>0</v>
      </c>
      <c r="D20" s="204">
        <f>+'App.2-CF_CGAAP_DepExp_2012'!F20</f>
        <v>0</v>
      </c>
      <c r="E20" s="282">
        <f>+'App.2-CB_MIFRS_DepExp_2011'!F20</f>
        <v>0</v>
      </c>
      <c r="F20" s="293">
        <f>+'App.2-CC_MIFRS_DepExp_2012'!E20</f>
        <v>0</v>
      </c>
      <c r="G20" s="586">
        <f t="shared" si="0"/>
        <v>0</v>
      </c>
      <c r="H20" s="796">
        <f t="shared" si="1"/>
        <v>0</v>
      </c>
      <c r="I20" s="796">
        <f t="shared" si="2"/>
        <v>0</v>
      </c>
      <c r="J20" s="796">
        <f t="shared" si="3"/>
        <v>0</v>
      </c>
      <c r="K20" s="204"/>
      <c r="L20" s="796">
        <f t="shared" si="4"/>
        <v>0</v>
      </c>
      <c r="M20" s="796">
        <f t="shared" si="5"/>
        <v>0</v>
      </c>
      <c r="N20" s="204"/>
      <c r="O20" s="796">
        <f t="shared" si="6"/>
        <v>0</v>
      </c>
    </row>
    <row r="21" spans="1:15" x14ac:dyDescent="0.2">
      <c r="A21" s="782">
        <v>1815</v>
      </c>
      <c r="B21" s="787" t="s">
        <v>385</v>
      </c>
      <c r="C21" s="204">
        <f>+'App.2-CF_CGAAP_DepExp_2012'!C21</f>
        <v>0</v>
      </c>
      <c r="D21" s="204">
        <f>+'App.2-CF_CGAAP_DepExp_2012'!F21</f>
        <v>0</v>
      </c>
      <c r="E21" s="282">
        <f>+'App.2-CB_MIFRS_DepExp_2011'!F21</f>
        <v>0</v>
      </c>
      <c r="F21" s="293">
        <f>+'App.2-CC_MIFRS_DepExp_2012'!E21</f>
        <v>0</v>
      </c>
      <c r="G21" s="586">
        <f t="shared" si="0"/>
        <v>0</v>
      </c>
      <c r="H21" s="796">
        <f t="shared" si="1"/>
        <v>0</v>
      </c>
      <c r="I21" s="796">
        <f t="shared" si="2"/>
        <v>0</v>
      </c>
      <c r="J21" s="796">
        <f t="shared" si="3"/>
        <v>0</v>
      </c>
      <c r="K21" s="204"/>
      <c r="L21" s="796">
        <f t="shared" si="4"/>
        <v>0</v>
      </c>
      <c r="M21" s="796">
        <f t="shared" si="5"/>
        <v>0</v>
      </c>
      <c r="N21" s="204"/>
      <c r="O21" s="796">
        <f t="shared" si="6"/>
        <v>0</v>
      </c>
    </row>
    <row r="22" spans="1:15" x14ac:dyDescent="0.2">
      <c r="A22" s="782">
        <v>1820</v>
      </c>
      <c r="B22" s="783" t="s">
        <v>306</v>
      </c>
      <c r="C22" s="204">
        <f>+'App.2-CF_CGAAP_DepExp_2012'!C22</f>
        <v>0</v>
      </c>
      <c r="D22" s="204">
        <f>+'App.2-CF_CGAAP_DepExp_2012'!F22</f>
        <v>0</v>
      </c>
      <c r="E22" s="282"/>
      <c r="F22" s="293"/>
      <c r="G22" s="586">
        <f t="shared" si="0"/>
        <v>0</v>
      </c>
      <c r="H22" s="796">
        <f t="shared" si="1"/>
        <v>0</v>
      </c>
      <c r="I22" s="796">
        <f t="shared" si="2"/>
        <v>0</v>
      </c>
      <c r="J22" s="796">
        <f t="shared" si="3"/>
        <v>0</v>
      </c>
      <c r="K22" s="204"/>
      <c r="L22" s="796">
        <f t="shared" si="4"/>
        <v>0</v>
      </c>
      <c r="M22" s="796">
        <f t="shared" si="5"/>
        <v>0</v>
      </c>
      <c r="N22" s="204"/>
      <c r="O22" s="796">
        <f t="shared" si="6"/>
        <v>0</v>
      </c>
    </row>
    <row r="23" spans="1:15" x14ac:dyDescent="0.2">
      <c r="A23" s="782">
        <v>1825</v>
      </c>
      <c r="B23" s="787" t="s">
        <v>386</v>
      </c>
      <c r="C23" s="204">
        <f>+'App.2-CF_CGAAP_DepExp_2012'!C23</f>
        <v>0</v>
      </c>
      <c r="D23" s="204">
        <f>+'App.2-CF_CGAAP_DepExp_2012'!F23</f>
        <v>0</v>
      </c>
      <c r="E23" s="282"/>
      <c r="F23" s="293"/>
      <c r="G23" s="586">
        <f t="shared" si="0"/>
        <v>0</v>
      </c>
      <c r="H23" s="796">
        <f t="shared" si="1"/>
        <v>0</v>
      </c>
      <c r="I23" s="796">
        <f t="shared" si="2"/>
        <v>0</v>
      </c>
      <c r="J23" s="796">
        <f t="shared" si="3"/>
        <v>0</v>
      </c>
      <c r="K23" s="204"/>
      <c r="L23" s="796">
        <f t="shared" si="4"/>
        <v>0</v>
      </c>
      <c r="M23" s="796">
        <f t="shared" si="5"/>
        <v>0</v>
      </c>
      <c r="N23" s="204"/>
      <c r="O23" s="796">
        <f t="shared" si="6"/>
        <v>0</v>
      </c>
    </row>
    <row r="24" spans="1:15" x14ac:dyDescent="0.2">
      <c r="A24" s="782">
        <v>1830</v>
      </c>
      <c r="B24" s="787" t="s">
        <v>387</v>
      </c>
      <c r="C24" s="204">
        <f>+'App.2-CF_CGAAP_DepExp_2012'!C24</f>
        <v>0</v>
      </c>
      <c r="D24" s="204">
        <f>+'App.2-CF_CGAAP_DepExp_2012'!F24</f>
        <v>0</v>
      </c>
      <c r="E24" s="282"/>
      <c r="F24" s="293"/>
      <c r="G24" s="586">
        <f t="shared" si="0"/>
        <v>0</v>
      </c>
      <c r="H24" s="796">
        <f t="shared" si="1"/>
        <v>0</v>
      </c>
      <c r="I24" s="796">
        <f t="shared" si="2"/>
        <v>0</v>
      </c>
      <c r="J24" s="796">
        <f t="shared" si="3"/>
        <v>0</v>
      </c>
      <c r="K24" s="204"/>
      <c r="L24" s="796">
        <f t="shared" si="4"/>
        <v>0</v>
      </c>
      <c r="M24" s="796">
        <f t="shared" si="5"/>
        <v>0</v>
      </c>
      <c r="N24" s="204"/>
      <c r="O24" s="796">
        <f t="shared" si="6"/>
        <v>0</v>
      </c>
    </row>
    <row r="25" spans="1:15" x14ac:dyDescent="0.2">
      <c r="A25" s="782">
        <v>1835</v>
      </c>
      <c r="B25" s="787" t="s">
        <v>307</v>
      </c>
      <c r="C25" s="204">
        <f>+'App.2-CF_CGAAP_DepExp_2012'!C25</f>
        <v>0</v>
      </c>
      <c r="D25" s="204">
        <f>+'App.2-CF_CGAAP_DepExp_2012'!F25</f>
        <v>0</v>
      </c>
      <c r="E25" s="282"/>
      <c r="F25" s="293"/>
      <c r="G25" s="586">
        <f t="shared" si="0"/>
        <v>0</v>
      </c>
      <c r="H25" s="796">
        <f t="shared" si="1"/>
        <v>0</v>
      </c>
      <c r="I25" s="796">
        <f t="shared" si="2"/>
        <v>0</v>
      </c>
      <c r="J25" s="796">
        <f t="shared" si="3"/>
        <v>0</v>
      </c>
      <c r="K25" s="204"/>
      <c r="L25" s="796">
        <f t="shared" si="4"/>
        <v>0</v>
      </c>
      <c r="M25" s="796">
        <f t="shared" si="5"/>
        <v>0</v>
      </c>
      <c r="N25" s="204"/>
      <c r="O25" s="796">
        <f t="shared" si="6"/>
        <v>0</v>
      </c>
    </row>
    <row r="26" spans="1:15" x14ac:dyDescent="0.2">
      <c r="A26" s="782">
        <v>1840</v>
      </c>
      <c r="B26" s="787" t="s">
        <v>308</v>
      </c>
      <c r="C26" s="204">
        <f>+'App.2-CF_CGAAP_DepExp_2012'!C26</f>
        <v>0</v>
      </c>
      <c r="D26" s="204">
        <f>+'App.2-CF_CGAAP_DepExp_2012'!F26</f>
        <v>0</v>
      </c>
      <c r="E26" s="282"/>
      <c r="F26" s="293"/>
      <c r="G26" s="586">
        <f t="shared" si="0"/>
        <v>0</v>
      </c>
      <c r="H26" s="796">
        <f t="shared" si="1"/>
        <v>0</v>
      </c>
      <c r="I26" s="796">
        <f t="shared" si="2"/>
        <v>0</v>
      </c>
      <c r="J26" s="796">
        <f t="shared" si="3"/>
        <v>0</v>
      </c>
      <c r="K26" s="204"/>
      <c r="L26" s="796">
        <f t="shared" si="4"/>
        <v>0</v>
      </c>
      <c r="M26" s="796">
        <f t="shared" si="5"/>
        <v>0</v>
      </c>
      <c r="N26" s="204"/>
      <c r="O26" s="796">
        <f t="shared" si="6"/>
        <v>0</v>
      </c>
    </row>
    <row r="27" spans="1:15" x14ac:dyDescent="0.2">
      <c r="A27" s="782">
        <v>1845</v>
      </c>
      <c r="B27" s="787" t="s">
        <v>309</v>
      </c>
      <c r="C27" s="204">
        <f>+'App.2-CF_CGAAP_DepExp_2012'!C27</f>
        <v>0</v>
      </c>
      <c r="D27" s="204">
        <f>+'App.2-CF_CGAAP_DepExp_2012'!F27</f>
        <v>0</v>
      </c>
      <c r="E27" s="282"/>
      <c r="F27" s="293"/>
      <c r="G27" s="586">
        <f t="shared" si="0"/>
        <v>0</v>
      </c>
      <c r="H27" s="796">
        <f t="shared" si="1"/>
        <v>0</v>
      </c>
      <c r="I27" s="796">
        <f t="shared" si="2"/>
        <v>0</v>
      </c>
      <c r="J27" s="796">
        <f t="shared" si="3"/>
        <v>0</v>
      </c>
      <c r="K27" s="204"/>
      <c r="L27" s="796">
        <f t="shared" si="4"/>
        <v>0</v>
      </c>
      <c r="M27" s="796">
        <f t="shared" si="5"/>
        <v>0</v>
      </c>
      <c r="N27" s="204"/>
      <c r="O27" s="796">
        <f t="shared" si="6"/>
        <v>0</v>
      </c>
    </row>
    <row r="28" spans="1:15" x14ac:dyDescent="0.2">
      <c r="A28" s="782">
        <v>1850</v>
      </c>
      <c r="B28" s="787" t="s">
        <v>388</v>
      </c>
      <c r="C28" s="204">
        <f>+'App.2-CF_CGAAP_DepExp_2012'!C28</f>
        <v>0</v>
      </c>
      <c r="D28" s="204">
        <f>+'App.2-CF_CGAAP_DepExp_2012'!F28</f>
        <v>0</v>
      </c>
      <c r="E28" s="282"/>
      <c r="F28" s="293"/>
      <c r="G28" s="586">
        <f t="shared" si="0"/>
        <v>0</v>
      </c>
      <c r="H28" s="796">
        <f t="shared" si="1"/>
        <v>0</v>
      </c>
      <c r="I28" s="796">
        <f t="shared" si="2"/>
        <v>0</v>
      </c>
      <c r="J28" s="796">
        <f t="shared" si="3"/>
        <v>0</v>
      </c>
      <c r="K28" s="204"/>
      <c r="L28" s="796">
        <f t="shared" si="4"/>
        <v>0</v>
      </c>
      <c r="M28" s="796">
        <f t="shared" si="5"/>
        <v>0</v>
      </c>
      <c r="N28" s="204"/>
      <c r="O28" s="796">
        <f t="shared" si="6"/>
        <v>0</v>
      </c>
    </row>
    <row r="29" spans="1:15" x14ac:dyDescent="0.2">
      <c r="A29" s="782">
        <v>1855</v>
      </c>
      <c r="B29" s="787" t="s">
        <v>310</v>
      </c>
      <c r="C29" s="204">
        <f>+'App.2-CF_CGAAP_DepExp_2012'!C29</f>
        <v>0</v>
      </c>
      <c r="D29" s="204">
        <f>+'App.2-CF_CGAAP_DepExp_2012'!F29</f>
        <v>0</v>
      </c>
      <c r="E29" s="282"/>
      <c r="F29" s="293"/>
      <c r="G29" s="586">
        <f t="shared" si="0"/>
        <v>0</v>
      </c>
      <c r="H29" s="796">
        <f t="shared" si="1"/>
        <v>0</v>
      </c>
      <c r="I29" s="796">
        <f t="shared" si="2"/>
        <v>0</v>
      </c>
      <c r="J29" s="796">
        <f t="shared" si="3"/>
        <v>0</v>
      </c>
      <c r="K29" s="204"/>
      <c r="L29" s="796">
        <f t="shared" si="4"/>
        <v>0</v>
      </c>
      <c r="M29" s="796">
        <f t="shared" si="5"/>
        <v>0</v>
      </c>
      <c r="N29" s="204"/>
      <c r="O29" s="796">
        <f t="shared" si="6"/>
        <v>0</v>
      </c>
    </row>
    <row r="30" spans="1:15" x14ac:dyDescent="0.2">
      <c r="A30" s="782">
        <v>1860</v>
      </c>
      <c r="B30" s="787" t="s">
        <v>389</v>
      </c>
      <c r="C30" s="204">
        <f>+'App.2-CF_CGAAP_DepExp_2012'!C30</f>
        <v>0</v>
      </c>
      <c r="D30" s="204">
        <f>+'App.2-CF_CGAAP_DepExp_2012'!F30</f>
        <v>0</v>
      </c>
      <c r="E30" s="282"/>
      <c r="F30" s="293"/>
      <c r="G30" s="586">
        <f t="shared" si="0"/>
        <v>0</v>
      </c>
      <c r="H30" s="796">
        <f t="shared" si="1"/>
        <v>0</v>
      </c>
      <c r="I30" s="796">
        <f t="shared" si="2"/>
        <v>0</v>
      </c>
      <c r="J30" s="796">
        <f t="shared" si="3"/>
        <v>0</v>
      </c>
      <c r="K30" s="204"/>
      <c r="L30" s="796">
        <f t="shared" si="4"/>
        <v>0</v>
      </c>
      <c r="M30" s="796">
        <f t="shared" si="5"/>
        <v>0</v>
      </c>
      <c r="N30" s="204"/>
      <c r="O30" s="796">
        <f t="shared" si="6"/>
        <v>0</v>
      </c>
    </row>
    <row r="31" spans="1:15" x14ac:dyDescent="0.2">
      <c r="A31" s="785">
        <v>1860</v>
      </c>
      <c r="B31" s="786" t="s">
        <v>311</v>
      </c>
      <c r="C31" s="204">
        <f>+'App.2-CF_CGAAP_DepExp_2012'!C31</f>
        <v>0</v>
      </c>
      <c r="D31" s="204">
        <f>+'App.2-CF_CGAAP_DepExp_2012'!F31</f>
        <v>0</v>
      </c>
      <c r="E31" s="282"/>
      <c r="F31" s="293"/>
      <c r="G31" s="586">
        <f t="shared" si="0"/>
        <v>0</v>
      </c>
      <c r="H31" s="796">
        <f t="shared" si="1"/>
        <v>0</v>
      </c>
      <c r="I31" s="796">
        <f t="shared" si="2"/>
        <v>0</v>
      </c>
      <c r="J31" s="796">
        <f t="shared" si="3"/>
        <v>0</v>
      </c>
      <c r="K31" s="204"/>
      <c r="L31" s="796">
        <f t="shared" si="4"/>
        <v>0</v>
      </c>
      <c r="M31" s="796">
        <f t="shared" si="5"/>
        <v>0</v>
      </c>
      <c r="N31" s="204"/>
      <c r="O31" s="796">
        <f t="shared" si="6"/>
        <v>0</v>
      </c>
    </row>
    <row r="32" spans="1:15" x14ac:dyDescent="0.2">
      <c r="A32" s="785">
        <v>1905</v>
      </c>
      <c r="B32" s="786" t="s">
        <v>383</v>
      </c>
      <c r="C32" s="204">
        <f>+'App.2-CF_CGAAP_DepExp_2012'!C32</f>
        <v>0</v>
      </c>
      <c r="D32" s="204">
        <f>+'App.2-CF_CGAAP_DepExp_2012'!F32</f>
        <v>0</v>
      </c>
      <c r="E32" s="282"/>
      <c r="F32" s="293"/>
      <c r="G32" s="586">
        <f t="shared" si="0"/>
        <v>0</v>
      </c>
      <c r="H32" s="796">
        <f t="shared" si="1"/>
        <v>0</v>
      </c>
      <c r="I32" s="796">
        <f t="shared" si="2"/>
        <v>0</v>
      </c>
      <c r="J32" s="796">
        <f t="shared" si="3"/>
        <v>0</v>
      </c>
      <c r="K32" s="204"/>
      <c r="L32" s="796">
        <f t="shared" si="4"/>
        <v>0</v>
      </c>
      <c r="M32" s="796">
        <f t="shared" si="5"/>
        <v>0</v>
      </c>
      <c r="N32" s="204"/>
      <c r="O32" s="796">
        <f t="shared" si="6"/>
        <v>0</v>
      </c>
    </row>
    <row r="33" spans="1:15" x14ac:dyDescent="0.2">
      <c r="A33" s="782">
        <v>1908</v>
      </c>
      <c r="B33" s="787" t="s">
        <v>391</v>
      </c>
      <c r="C33" s="204">
        <f>+'App.2-CF_CGAAP_DepExp_2012'!C33</f>
        <v>0</v>
      </c>
      <c r="D33" s="204">
        <f>+'App.2-CF_CGAAP_DepExp_2012'!F33</f>
        <v>0</v>
      </c>
      <c r="E33" s="282"/>
      <c r="F33" s="293"/>
      <c r="G33" s="586">
        <f t="shared" si="0"/>
        <v>0</v>
      </c>
      <c r="H33" s="796">
        <f t="shared" si="1"/>
        <v>0</v>
      </c>
      <c r="I33" s="796">
        <f t="shared" si="2"/>
        <v>0</v>
      </c>
      <c r="J33" s="796">
        <f t="shared" si="3"/>
        <v>0</v>
      </c>
      <c r="K33" s="204"/>
      <c r="L33" s="796">
        <f t="shared" si="4"/>
        <v>0</v>
      </c>
      <c r="M33" s="796">
        <f t="shared" si="5"/>
        <v>0</v>
      </c>
      <c r="N33" s="204"/>
      <c r="O33" s="796">
        <f t="shared" si="6"/>
        <v>0</v>
      </c>
    </row>
    <row r="34" spans="1:15" x14ac:dyDescent="0.2">
      <c r="A34" s="782">
        <v>1910</v>
      </c>
      <c r="B34" s="787" t="s">
        <v>417</v>
      </c>
      <c r="C34" s="204">
        <f>+'App.2-CF_CGAAP_DepExp_2012'!C34</f>
        <v>0</v>
      </c>
      <c r="D34" s="204">
        <f>+'App.2-CF_CGAAP_DepExp_2012'!F34</f>
        <v>0</v>
      </c>
      <c r="E34" s="282"/>
      <c r="F34" s="293"/>
      <c r="G34" s="586">
        <f t="shared" si="0"/>
        <v>0</v>
      </c>
      <c r="H34" s="796">
        <f t="shared" si="1"/>
        <v>0</v>
      </c>
      <c r="I34" s="796">
        <f t="shared" si="2"/>
        <v>0</v>
      </c>
      <c r="J34" s="796">
        <f t="shared" si="3"/>
        <v>0</v>
      </c>
      <c r="K34" s="204"/>
      <c r="L34" s="796">
        <f t="shared" si="4"/>
        <v>0</v>
      </c>
      <c r="M34" s="796">
        <f t="shared" si="5"/>
        <v>0</v>
      </c>
      <c r="N34" s="204"/>
      <c r="O34" s="796">
        <f t="shared" si="6"/>
        <v>0</v>
      </c>
    </row>
    <row r="35" spans="1:15" x14ac:dyDescent="0.2">
      <c r="A35" s="782">
        <v>1915</v>
      </c>
      <c r="B35" s="787" t="s">
        <v>312</v>
      </c>
      <c r="C35" s="204">
        <f>+'App.2-CF_CGAAP_DepExp_2012'!C35</f>
        <v>0</v>
      </c>
      <c r="D35" s="204">
        <f>+'App.2-CF_CGAAP_DepExp_2012'!F35</f>
        <v>0</v>
      </c>
      <c r="E35" s="282"/>
      <c r="F35" s="293"/>
      <c r="G35" s="586">
        <f t="shared" si="0"/>
        <v>0</v>
      </c>
      <c r="H35" s="796">
        <f t="shared" si="1"/>
        <v>0</v>
      </c>
      <c r="I35" s="796">
        <f t="shared" si="2"/>
        <v>0</v>
      </c>
      <c r="J35" s="796">
        <f t="shared" si="3"/>
        <v>0</v>
      </c>
      <c r="K35" s="204"/>
      <c r="L35" s="796">
        <f t="shared" si="4"/>
        <v>0</v>
      </c>
      <c r="M35" s="796">
        <f t="shared" si="5"/>
        <v>0</v>
      </c>
      <c r="N35" s="204"/>
      <c r="O35" s="796">
        <f t="shared" si="6"/>
        <v>0</v>
      </c>
    </row>
    <row r="36" spans="1:15" x14ac:dyDescent="0.2">
      <c r="A36" s="782">
        <v>1915</v>
      </c>
      <c r="B36" s="787" t="s">
        <v>313</v>
      </c>
      <c r="C36" s="204">
        <f>+'App.2-CF_CGAAP_DepExp_2012'!C36</f>
        <v>0</v>
      </c>
      <c r="D36" s="204">
        <f>+'App.2-CF_CGAAP_DepExp_2012'!F36</f>
        <v>0</v>
      </c>
      <c r="E36" s="282"/>
      <c r="F36" s="293"/>
      <c r="G36" s="586">
        <f t="shared" si="0"/>
        <v>0</v>
      </c>
      <c r="H36" s="796">
        <f t="shared" si="1"/>
        <v>0</v>
      </c>
      <c r="I36" s="796">
        <f t="shared" si="2"/>
        <v>0</v>
      </c>
      <c r="J36" s="796">
        <f t="shared" si="3"/>
        <v>0</v>
      </c>
      <c r="K36" s="204"/>
      <c r="L36" s="796">
        <f t="shared" si="4"/>
        <v>0</v>
      </c>
      <c r="M36" s="796">
        <f t="shared" si="5"/>
        <v>0</v>
      </c>
      <c r="N36" s="204"/>
      <c r="O36" s="796">
        <f t="shared" si="6"/>
        <v>0</v>
      </c>
    </row>
    <row r="37" spans="1:15" x14ac:dyDescent="0.2">
      <c r="A37" s="782">
        <v>1920</v>
      </c>
      <c r="B37" s="787" t="s">
        <v>314</v>
      </c>
      <c r="C37" s="204">
        <f>+'App.2-CF_CGAAP_DepExp_2012'!C37</f>
        <v>0</v>
      </c>
      <c r="D37" s="204">
        <f>+'App.2-CF_CGAAP_DepExp_2012'!F37</f>
        <v>0</v>
      </c>
      <c r="E37" s="282"/>
      <c r="F37" s="293"/>
      <c r="G37" s="586">
        <f t="shared" si="0"/>
        <v>0</v>
      </c>
      <c r="H37" s="796">
        <f t="shared" si="1"/>
        <v>0</v>
      </c>
      <c r="I37" s="796">
        <f t="shared" si="2"/>
        <v>0</v>
      </c>
      <c r="J37" s="796">
        <f t="shared" si="3"/>
        <v>0</v>
      </c>
      <c r="K37" s="204"/>
      <c r="L37" s="796">
        <f t="shared" si="4"/>
        <v>0</v>
      </c>
      <c r="M37" s="796">
        <f t="shared" si="5"/>
        <v>0</v>
      </c>
      <c r="N37" s="204"/>
      <c r="O37" s="796">
        <f t="shared" si="6"/>
        <v>0</v>
      </c>
    </row>
    <row r="38" spans="1:15" x14ac:dyDescent="0.2">
      <c r="A38" s="788">
        <v>1920</v>
      </c>
      <c r="B38" s="783" t="s">
        <v>316</v>
      </c>
      <c r="C38" s="204">
        <f>+'App.2-CF_CGAAP_DepExp_2012'!C38</f>
        <v>0</v>
      </c>
      <c r="D38" s="204">
        <f>+'App.2-CF_CGAAP_DepExp_2012'!F38</f>
        <v>0</v>
      </c>
      <c r="E38" s="282"/>
      <c r="F38" s="293"/>
      <c r="G38" s="586">
        <f t="shared" si="0"/>
        <v>0</v>
      </c>
      <c r="H38" s="796">
        <f t="shared" si="1"/>
        <v>0</v>
      </c>
      <c r="I38" s="796">
        <f t="shared" si="2"/>
        <v>0</v>
      </c>
      <c r="J38" s="796">
        <f t="shared" si="3"/>
        <v>0</v>
      </c>
      <c r="K38" s="204"/>
      <c r="L38" s="796">
        <f t="shared" si="4"/>
        <v>0</v>
      </c>
      <c r="M38" s="796">
        <f t="shared" si="5"/>
        <v>0</v>
      </c>
      <c r="N38" s="204"/>
      <c r="O38" s="796">
        <f t="shared" si="6"/>
        <v>0</v>
      </c>
    </row>
    <row r="39" spans="1:15" x14ac:dyDescent="0.2">
      <c r="A39" s="788">
        <v>1920</v>
      </c>
      <c r="B39" s="783" t="s">
        <v>315</v>
      </c>
      <c r="C39" s="204">
        <f>+'App.2-CF_CGAAP_DepExp_2012'!C39</f>
        <v>0</v>
      </c>
      <c r="D39" s="204">
        <f>+'App.2-CF_CGAAP_DepExp_2012'!F39</f>
        <v>0</v>
      </c>
      <c r="E39" s="282"/>
      <c r="F39" s="293"/>
      <c r="G39" s="586">
        <f t="shared" si="0"/>
        <v>0</v>
      </c>
      <c r="H39" s="796">
        <f t="shared" si="1"/>
        <v>0</v>
      </c>
      <c r="I39" s="796">
        <f t="shared" si="2"/>
        <v>0</v>
      </c>
      <c r="J39" s="796">
        <f t="shared" si="3"/>
        <v>0</v>
      </c>
      <c r="K39" s="204"/>
      <c r="L39" s="796">
        <f t="shared" si="4"/>
        <v>0</v>
      </c>
      <c r="M39" s="796">
        <f t="shared" si="5"/>
        <v>0</v>
      </c>
      <c r="N39" s="204"/>
      <c r="O39" s="796">
        <f t="shared" si="6"/>
        <v>0</v>
      </c>
    </row>
    <row r="40" spans="1:15" x14ac:dyDescent="0.2">
      <c r="A40" s="782">
        <v>1930</v>
      </c>
      <c r="B40" s="787" t="s">
        <v>404</v>
      </c>
      <c r="C40" s="204">
        <f>+'App.2-CF_CGAAP_DepExp_2012'!C40</f>
        <v>0</v>
      </c>
      <c r="D40" s="204">
        <f>+'App.2-CF_CGAAP_DepExp_2012'!F40</f>
        <v>0</v>
      </c>
      <c r="E40" s="282"/>
      <c r="F40" s="293"/>
      <c r="G40" s="586">
        <f t="shared" si="0"/>
        <v>0</v>
      </c>
      <c r="H40" s="796">
        <f t="shared" si="1"/>
        <v>0</v>
      </c>
      <c r="I40" s="796">
        <f t="shared" si="2"/>
        <v>0</v>
      </c>
      <c r="J40" s="796">
        <f t="shared" si="3"/>
        <v>0</v>
      </c>
      <c r="K40" s="204"/>
      <c r="L40" s="796">
        <f t="shared" si="4"/>
        <v>0</v>
      </c>
      <c r="M40" s="796">
        <f t="shared" si="5"/>
        <v>0</v>
      </c>
      <c r="N40" s="204"/>
      <c r="O40" s="796">
        <f t="shared" si="6"/>
        <v>0</v>
      </c>
    </row>
    <row r="41" spans="1:15" x14ac:dyDescent="0.2">
      <c r="A41" s="782">
        <v>1935</v>
      </c>
      <c r="B41" s="787" t="s">
        <v>405</v>
      </c>
      <c r="C41" s="204">
        <f>+'App.2-CF_CGAAP_DepExp_2012'!C41</f>
        <v>0</v>
      </c>
      <c r="D41" s="204">
        <f>+'App.2-CF_CGAAP_DepExp_2012'!F41</f>
        <v>0</v>
      </c>
      <c r="E41" s="282"/>
      <c r="F41" s="293"/>
      <c r="G41" s="586">
        <f t="shared" si="0"/>
        <v>0</v>
      </c>
      <c r="H41" s="796">
        <f t="shared" si="1"/>
        <v>0</v>
      </c>
      <c r="I41" s="796">
        <f t="shared" si="2"/>
        <v>0</v>
      </c>
      <c r="J41" s="796">
        <f t="shared" si="3"/>
        <v>0</v>
      </c>
      <c r="K41" s="204"/>
      <c r="L41" s="796">
        <f t="shared" si="4"/>
        <v>0</v>
      </c>
      <c r="M41" s="796">
        <f t="shared" si="5"/>
        <v>0</v>
      </c>
      <c r="N41" s="204"/>
      <c r="O41" s="796">
        <f t="shared" si="6"/>
        <v>0</v>
      </c>
    </row>
    <row r="42" spans="1:15" x14ac:dyDescent="0.2">
      <c r="A42" s="782">
        <v>1940</v>
      </c>
      <c r="B42" s="787" t="s">
        <v>406</v>
      </c>
      <c r="C42" s="204">
        <f>+'App.2-CF_CGAAP_DepExp_2012'!C42</f>
        <v>0</v>
      </c>
      <c r="D42" s="204">
        <f>+'App.2-CF_CGAAP_DepExp_2012'!F42</f>
        <v>0</v>
      </c>
      <c r="E42" s="282"/>
      <c r="F42" s="293"/>
      <c r="G42" s="586">
        <f t="shared" si="0"/>
        <v>0</v>
      </c>
      <c r="H42" s="796">
        <f t="shared" si="1"/>
        <v>0</v>
      </c>
      <c r="I42" s="796">
        <f t="shared" si="2"/>
        <v>0</v>
      </c>
      <c r="J42" s="796">
        <f t="shared" si="3"/>
        <v>0</v>
      </c>
      <c r="K42" s="204"/>
      <c r="L42" s="796">
        <f t="shared" si="4"/>
        <v>0</v>
      </c>
      <c r="M42" s="796">
        <f t="shared" si="5"/>
        <v>0</v>
      </c>
      <c r="N42" s="204"/>
      <c r="O42" s="796">
        <f t="shared" si="6"/>
        <v>0</v>
      </c>
    </row>
    <row r="43" spans="1:15" x14ac:dyDescent="0.2">
      <c r="A43" s="782">
        <v>1945</v>
      </c>
      <c r="B43" s="787" t="s">
        <v>407</v>
      </c>
      <c r="C43" s="204">
        <f>+'App.2-CF_CGAAP_DepExp_2012'!C43</f>
        <v>0</v>
      </c>
      <c r="D43" s="204">
        <f>+'App.2-CF_CGAAP_DepExp_2012'!F43</f>
        <v>0</v>
      </c>
      <c r="E43" s="282"/>
      <c r="F43" s="293"/>
      <c r="G43" s="586">
        <f t="shared" si="0"/>
        <v>0</v>
      </c>
      <c r="H43" s="796">
        <f t="shared" si="1"/>
        <v>0</v>
      </c>
      <c r="I43" s="796">
        <f t="shared" si="2"/>
        <v>0</v>
      </c>
      <c r="J43" s="796">
        <f t="shared" si="3"/>
        <v>0</v>
      </c>
      <c r="K43" s="204"/>
      <c r="L43" s="796">
        <f t="shared" si="4"/>
        <v>0</v>
      </c>
      <c r="M43" s="796">
        <f t="shared" si="5"/>
        <v>0</v>
      </c>
      <c r="N43" s="204"/>
      <c r="O43" s="796">
        <f t="shared" si="6"/>
        <v>0</v>
      </c>
    </row>
    <row r="44" spans="1:15" x14ac:dyDescent="0.2">
      <c r="A44" s="782">
        <v>1950</v>
      </c>
      <c r="B44" s="787" t="s">
        <v>317</v>
      </c>
      <c r="C44" s="204">
        <f>+'App.2-CF_CGAAP_DepExp_2012'!C44</f>
        <v>0</v>
      </c>
      <c r="D44" s="204">
        <f>+'App.2-CF_CGAAP_DepExp_2012'!F44</f>
        <v>0</v>
      </c>
      <c r="E44" s="282"/>
      <c r="F44" s="293"/>
      <c r="G44" s="586">
        <f t="shared" si="0"/>
        <v>0</v>
      </c>
      <c r="H44" s="796">
        <f t="shared" si="1"/>
        <v>0</v>
      </c>
      <c r="I44" s="796">
        <f t="shared" si="2"/>
        <v>0</v>
      </c>
      <c r="J44" s="796">
        <f t="shared" si="3"/>
        <v>0</v>
      </c>
      <c r="K44" s="204"/>
      <c r="L44" s="796">
        <f t="shared" si="4"/>
        <v>0</v>
      </c>
      <c r="M44" s="796">
        <f t="shared" si="5"/>
        <v>0</v>
      </c>
      <c r="N44" s="204"/>
      <c r="O44" s="796">
        <f t="shared" si="6"/>
        <v>0</v>
      </c>
    </row>
    <row r="45" spans="1:15" x14ac:dyDescent="0.2">
      <c r="A45" s="782">
        <v>1955</v>
      </c>
      <c r="B45" s="787" t="s">
        <v>408</v>
      </c>
      <c r="C45" s="204">
        <f>+'App.2-CF_CGAAP_DepExp_2012'!C45</f>
        <v>0</v>
      </c>
      <c r="D45" s="204">
        <f>+'App.2-CF_CGAAP_DepExp_2012'!F45</f>
        <v>0</v>
      </c>
      <c r="E45" s="282"/>
      <c r="F45" s="293"/>
      <c r="G45" s="586">
        <f t="shared" si="0"/>
        <v>0</v>
      </c>
      <c r="H45" s="796">
        <f t="shared" si="1"/>
        <v>0</v>
      </c>
      <c r="I45" s="796">
        <f t="shared" si="2"/>
        <v>0</v>
      </c>
      <c r="J45" s="796">
        <f t="shared" si="3"/>
        <v>0</v>
      </c>
      <c r="K45" s="204"/>
      <c r="L45" s="796">
        <f t="shared" si="4"/>
        <v>0</v>
      </c>
      <c r="M45" s="796">
        <f t="shared" si="5"/>
        <v>0</v>
      </c>
      <c r="N45" s="204"/>
      <c r="O45" s="796">
        <f t="shared" si="6"/>
        <v>0</v>
      </c>
    </row>
    <row r="46" spans="1:15" x14ac:dyDescent="0.2">
      <c r="A46" s="789">
        <v>1955</v>
      </c>
      <c r="B46" s="790" t="s">
        <v>318</v>
      </c>
      <c r="C46" s="204">
        <f>+'App.2-CF_CGAAP_DepExp_2012'!C46</f>
        <v>0</v>
      </c>
      <c r="D46" s="204">
        <f>+'App.2-CF_CGAAP_DepExp_2012'!F46</f>
        <v>0</v>
      </c>
      <c r="E46" s="282"/>
      <c r="F46" s="293"/>
      <c r="G46" s="586">
        <f t="shared" si="0"/>
        <v>0</v>
      </c>
      <c r="H46" s="796">
        <f t="shared" si="1"/>
        <v>0</v>
      </c>
      <c r="I46" s="796">
        <f t="shared" si="2"/>
        <v>0</v>
      </c>
      <c r="J46" s="796">
        <f t="shared" si="3"/>
        <v>0</v>
      </c>
      <c r="K46" s="204"/>
      <c r="L46" s="796">
        <f t="shared" si="4"/>
        <v>0</v>
      </c>
      <c r="M46" s="796">
        <f t="shared" si="5"/>
        <v>0</v>
      </c>
      <c r="N46" s="204"/>
      <c r="O46" s="796">
        <f t="shared" si="6"/>
        <v>0</v>
      </c>
    </row>
    <row r="47" spans="1:15" x14ac:dyDescent="0.2">
      <c r="A47" s="788">
        <v>1960</v>
      </c>
      <c r="B47" s="783" t="s">
        <v>319</v>
      </c>
      <c r="C47" s="204">
        <f>+'App.2-CF_CGAAP_DepExp_2012'!C47</f>
        <v>0</v>
      </c>
      <c r="D47" s="204">
        <f>+'App.2-CF_CGAAP_DepExp_2012'!F47</f>
        <v>0</v>
      </c>
      <c r="E47" s="282"/>
      <c r="F47" s="293"/>
      <c r="G47" s="586">
        <f t="shared" si="0"/>
        <v>0</v>
      </c>
      <c r="H47" s="796">
        <f t="shared" si="1"/>
        <v>0</v>
      </c>
      <c r="I47" s="796">
        <f t="shared" si="2"/>
        <v>0</v>
      </c>
      <c r="J47" s="796">
        <f t="shared" si="3"/>
        <v>0</v>
      </c>
      <c r="K47" s="204"/>
      <c r="L47" s="796">
        <f t="shared" si="4"/>
        <v>0</v>
      </c>
      <c r="M47" s="796">
        <f t="shared" si="5"/>
        <v>0</v>
      </c>
      <c r="N47" s="204"/>
      <c r="O47" s="796">
        <f t="shared" si="6"/>
        <v>0</v>
      </c>
    </row>
    <row r="48" spans="1:15" x14ac:dyDescent="0.2">
      <c r="A48" s="789">
        <v>1970</v>
      </c>
      <c r="B48" s="832" t="s">
        <v>773</v>
      </c>
      <c r="C48" s="204">
        <f>+'App.2-CF_CGAAP_DepExp_2012'!C48</f>
        <v>0</v>
      </c>
      <c r="D48" s="204">
        <f>+'App.2-CF_CGAAP_DepExp_2012'!F48</f>
        <v>0</v>
      </c>
      <c r="E48" s="282"/>
      <c r="F48" s="293"/>
      <c r="G48" s="586">
        <f t="shared" si="0"/>
        <v>0</v>
      </c>
      <c r="H48" s="796">
        <f t="shared" si="1"/>
        <v>0</v>
      </c>
      <c r="I48" s="796">
        <f t="shared" si="2"/>
        <v>0</v>
      </c>
      <c r="J48" s="796">
        <f t="shared" si="3"/>
        <v>0</v>
      </c>
      <c r="K48" s="204"/>
      <c r="L48" s="796">
        <f t="shared" si="4"/>
        <v>0</v>
      </c>
      <c r="M48" s="796">
        <f t="shared" si="5"/>
        <v>0</v>
      </c>
      <c r="N48" s="204"/>
      <c r="O48" s="796">
        <f t="shared" si="6"/>
        <v>0</v>
      </c>
    </row>
    <row r="49" spans="1:15" x14ac:dyDescent="0.2">
      <c r="A49" s="782">
        <v>1975</v>
      </c>
      <c r="B49" s="787" t="s">
        <v>409</v>
      </c>
      <c r="C49" s="204">
        <f>+'App.2-CF_CGAAP_DepExp_2012'!C49</f>
        <v>0</v>
      </c>
      <c r="D49" s="204">
        <f>+'App.2-CF_CGAAP_DepExp_2012'!F49</f>
        <v>0</v>
      </c>
      <c r="E49" s="282"/>
      <c r="F49" s="293"/>
      <c r="G49" s="586">
        <f t="shared" si="0"/>
        <v>0</v>
      </c>
      <c r="H49" s="796">
        <f t="shared" si="1"/>
        <v>0</v>
      </c>
      <c r="I49" s="796">
        <f t="shared" si="2"/>
        <v>0</v>
      </c>
      <c r="J49" s="796">
        <f t="shared" si="3"/>
        <v>0</v>
      </c>
      <c r="K49" s="204"/>
      <c r="L49" s="796">
        <f t="shared" si="4"/>
        <v>0</v>
      </c>
      <c r="M49" s="796">
        <f t="shared" si="5"/>
        <v>0</v>
      </c>
      <c r="N49" s="204"/>
      <c r="O49" s="796">
        <f t="shared" si="6"/>
        <v>0</v>
      </c>
    </row>
    <row r="50" spans="1:15" x14ac:dyDescent="0.2">
      <c r="A50" s="782">
        <v>1980</v>
      </c>
      <c r="B50" s="787" t="s">
        <v>410</v>
      </c>
      <c r="C50" s="204">
        <f>+'App.2-CF_CGAAP_DepExp_2012'!C50</f>
        <v>0</v>
      </c>
      <c r="D50" s="204">
        <f>+'App.2-CF_CGAAP_DepExp_2012'!F50</f>
        <v>0</v>
      </c>
      <c r="E50" s="282"/>
      <c r="F50" s="293"/>
      <c r="G50" s="586">
        <f t="shared" si="0"/>
        <v>0</v>
      </c>
      <c r="H50" s="796">
        <f t="shared" si="1"/>
        <v>0</v>
      </c>
      <c r="I50" s="796">
        <f t="shared" si="2"/>
        <v>0</v>
      </c>
      <c r="J50" s="796">
        <f t="shared" si="3"/>
        <v>0</v>
      </c>
      <c r="K50" s="204"/>
      <c r="L50" s="796">
        <f t="shared" si="4"/>
        <v>0</v>
      </c>
      <c r="M50" s="796">
        <f t="shared" si="5"/>
        <v>0</v>
      </c>
      <c r="N50" s="204"/>
      <c r="O50" s="796">
        <f t="shared" si="6"/>
        <v>0</v>
      </c>
    </row>
    <row r="51" spans="1:15" x14ac:dyDescent="0.2">
      <c r="A51" s="782">
        <v>1985</v>
      </c>
      <c r="B51" s="787" t="s">
        <v>411</v>
      </c>
      <c r="C51" s="204">
        <f>+'App.2-CF_CGAAP_DepExp_2012'!C51</f>
        <v>0</v>
      </c>
      <c r="D51" s="204">
        <f>+'App.2-CF_CGAAP_DepExp_2012'!F51</f>
        <v>0</v>
      </c>
      <c r="E51" s="282"/>
      <c r="F51" s="293"/>
      <c r="G51" s="586">
        <f t="shared" si="0"/>
        <v>0</v>
      </c>
      <c r="H51" s="796">
        <f t="shared" si="1"/>
        <v>0</v>
      </c>
      <c r="I51" s="796">
        <f t="shared" si="2"/>
        <v>0</v>
      </c>
      <c r="J51" s="796">
        <f t="shared" si="3"/>
        <v>0</v>
      </c>
      <c r="K51" s="204"/>
      <c r="L51" s="796">
        <f t="shared" si="4"/>
        <v>0</v>
      </c>
      <c r="M51" s="796">
        <f t="shared" si="5"/>
        <v>0</v>
      </c>
      <c r="N51" s="204"/>
      <c r="O51" s="796">
        <f t="shared" si="6"/>
        <v>0</v>
      </c>
    </row>
    <row r="52" spans="1:15" x14ac:dyDescent="0.2">
      <c r="A52" s="782">
        <v>1990</v>
      </c>
      <c r="B52" s="791" t="s">
        <v>774</v>
      </c>
      <c r="C52" s="204">
        <f>+'App.2-CF_CGAAP_DepExp_2012'!C52</f>
        <v>0</v>
      </c>
      <c r="D52" s="204">
        <f>+'App.2-CF_CGAAP_DepExp_2012'!F52</f>
        <v>0</v>
      </c>
      <c r="E52" s="282"/>
      <c r="F52" s="293"/>
      <c r="G52" s="586">
        <f t="shared" si="0"/>
        <v>0</v>
      </c>
      <c r="H52" s="796">
        <f t="shared" si="1"/>
        <v>0</v>
      </c>
      <c r="I52" s="796">
        <f t="shared" si="2"/>
        <v>0</v>
      </c>
      <c r="J52" s="796">
        <f t="shared" si="3"/>
        <v>0</v>
      </c>
      <c r="K52" s="204"/>
      <c r="L52" s="796">
        <f t="shared" si="4"/>
        <v>0</v>
      </c>
      <c r="M52" s="796">
        <f t="shared" si="5"/>
        <v>0</v>
      </c>
      <c r="N52" s="204"/>
      <c r="O52" s="796">
        <f t="shared" si="6"/>
        <v>0</v>
      </c>
    </row>
    <row r="53" spans="1:15" x14ac:dyDescent="0.2">
      <c r="A53" s="782">
        <v>1995</v>
      </c>
      <c r="B53" s="787" t="s">
        <v>412</v>
      </c>
      <c r="C53" s="204">
        <f>+'App.2-CF_CGAAP_DepExp_2012'!C53</f>
        <v>0</v>
      </c>
      <c r="D53" s="204">
        <f>+'App.2-CF_CGAAP_DepExp_2012'!F53</f>
        <v>0</v>
      </c>
      <c r="E53" s="282"/>
      <c r="F53" s="293"/>
      <c r="G53" s="586">
        <f t="shared" si="0"/>
        <v>0</v>
      </c>
      <c r="H53" s="796">
        <f t="shared" si="1"/>
        <v>0</v>
      </c>
      <c r="I53" s="796">
        <f t="shared" si="2"/>
        <v>0</v>
      </c>
      <c r="J53" s="796">
        <f t="shared" si="3"/>
        <v>0</v>
      </c>
      <c r="K53" s="204"/>
      <c r="L53" s="796">
        <f t="shared" si="4"/>
        <v>0</v>
      </c>
      <c r="M53" s="796">
        <f t="shared" si="5"/>
        <v>0</v>
      </c>
      <c r="N53" s="204"/>
      <c r="O53" s="796">
        <f t="shared" si="6"/>
        <v>0</v>
      </c>
    </row>
    <row r="54" spans="1:15" x14ac:dyDescent="0.2">
      <c r="A54" s="227" t="s">
        <v>13</v>
      </c>
      <c r="B54" s="228"/>
      <c r="C54" s="204"/>
      <c r="D54" s="204"/>
      <c r="E54" s="282"/>
      <c r="F54" s="282"/>
      <c r="G54" s="586">
        <f t="shared" si="0"/>
        <v>0</v>
      </c>
      <c r="H54" s="796">
        <f t="shared" si="1"/>
        <v>0</v>
      </c>
      <c r="I54" s="796">
        <f t="shared" si="2"/>
        <v>0</v>
      </c>
      <c r="J54" s="796">
        <f t="shared" si="3"/>
        <v>0</v>
      </c>
      <c r="K54" s="204"/>
      <c r="L54" s="796">
        <f t="shared" si="4"/>
        <v>0</v>
      </c>
      <c r="M54" s="796">
        <f t="shared" si="5"/>
        <v>0</v>
      </c>
      <c r="N54" s="204"/>
      <c r="O54" s="796">
        <f t="shared" si="6"/>
        <v>0</v>
      </c>
    </row>
    <row r="55" spans="1:15" ht="13.5" thickBot="1" x14ac:dyDescent="0.25">
      <c r="A55" s="229"/>
      <c r="B55" s="230"/>
      <c r="C55" s="204"/>
      <c r="D55" s="204"/>
      <c r="E55" s="282"/>
      <c r="F55" s="283"/>
      <c r="G55" s="593">
        <f t="shared" si="0"/>
        <v>0</v>
      </c>
      <c r="H55" s="796">
        <f t="shared" si="1"/>
        <v>0</v>
      </c>
      <c r="I55" s="796">
        <f t="shared" si="2"/>
        <v>0</v>
      </c>
      <c r="J55" s="796">
        <f t="shared" si="3"/>
        <v>0</v>
      </c>
      <c r="K55" s="204"/>
      <c r="L55" s="796">
        <f t="shared" si="4"/>
        <v>0</v>
      </c>
      <c r="M55" s="796">
        <f t="shared" si="5"/>
        <v>0</v>
      </c>
      <c r="N55" s="204"/>
      <c r="O55" s="796">
        <f t="shared" si="6"/>
        <v>0</v>
      </c>
    </row>
    <row r="56" spans="1:15" ht="14.25" thickTop="1" thickBot="1" x14ac:dyDescent="0.25">
      <c r="A56" s="231"/>
      <c r="B56" s="232" t="s">
        <v>413</v>
      </c>
      <c r="C56" s="796">
        <f>SUM(C16:C55)</f>
        <v>0</v>
      </c>
      <c r="D56" s="796">
        <f>SUM(D16:D55)</f>
        <v>0</v>
      </c>
      <c r="E56" s="796"/>
      <c r="F56" s="234"/>
      <c r="G56" s="588"/>
      <c r="H56" s="796">
        <f t="shared" ref="H56:O56" si="7">SUM(H16:H55)</f>
        <v>0</v>
      </c>
      <c r="I56" s="796">
        <f t="shared" si="7"/>
        <v>0</v>
      </c>
      <c r="J56" s="796">
        <f t="shared" si="7"/>
        <v>0</v>
      </c>
      <c r="K56" s="796">
        <f t="shared" si="7"/>
        <v>0</v>
      </c>
      <c r="L56" s="796">
        <f t="shared" si="7"/>
        <v>0</v>
      </c>
      <c r="M56" s="796">
        <f t="shared" si="7"/>
        <v>0</v>
      </c>
      <c r="N56" s="796">
        <f>SUM(N16:N55)</f>
        <v>0</v>
      </c>
      <c r="O56" s="796">
        <f t="shared" si="7"/>
        <v>0</v>
      </c>
    </row>
    <row r="57" spans="1:15" x14ac:dyDescent="0.2">
      <c r="A57" s="239"/>
      <c r="B57" s="803" t="s">
        <v>778</v>
      </c>
      <c r="C57" s="176"/>
      <c r="D57" s="176"/>
      <c r="E57" s="176"/>
      <c r="G57" s="840"/>
      <c r="H57" s="176"/>
      <c r="I57" s="176"/>
      <c r="J57" s="204">
        <v>0</v>
      </c>
      <c r="K57" s="176"/>
      <c r="L57" s="176"/>
      <c r="M57" s="176"/>
      <c r="N57" s="176"/>
      <c r="O57" s="176"/>
    </row>
    <row r="58" spans="1:15" ht="15.75" customHeight="1" x14ac:dyDescent="0.2">
      <c r="B58" s="803" t="s">
        <v>413</v>
      </c>
      <c r="C58" s="176"/>
      <c r="D58" s="176"/>
      <c r="E58" s="176"/>
      <c r="J58" s="796">
        <f>+J56+J57</f>
        <v>0</v>
      </c>
    </row>
    <row r="59" spans="1:15" x14ac:dyDescent="0.2">
      <c r="A59" s="217" t="s">
        <v>15</v>
      </c>
      <c r="B59" s="236"/>
      <c r="C59" s="236"/>
      <c r="D59" s="236"/>
      <c r="E59" s="236"/>
      <c r="F59" s="236"/>
      <c r="G59" s="236"/>
      <c r="H59" s="236"/>
      <c r="I59" s="236"/>
      <c r="J59" s="236"/>
      <c r="K59" s="236"/>
      <c r="L59" s="236"/>
    </row>
    <row r="60" spans="1:15" ht="7.5" customHeight="1" x14ac:dyDescent="0.2">
      <c r="A60" s="236"/>
      <c r="B60" s="236"/>
      <c r="C60" s="236"/>
      <c r="D60" s="236"/>
      <c r="E60" s="236"/>
      <c r="F60" s="236"/>
      <c r="G60" s="236"/>
      <c r="H60" s="236"/>
      <c r="I60" s="236"/>
      <c r="J60" s="236"/>
      <c r="K60" s="236"/>
      <c r="L60" s="236"/>
    </row>
    <row r="61" spans="1:15" x14ac:dyDescent="0.2">
      <c r="A61" s="284">
        <v>1</v>
      </c>
      <c r="B61" s="1790" t="s">
        <v>607</v>
      </c>
      <c r="C61" s="1790"/>
      <c r="D61" s="1790"/>
      <c r="E61" s="1790"/>
      <c r="F61" s="1790"/>
      <c r="G61" s="1790"/>
      <c r="H61" s="1790"/>
      <c r="I61" s="1790"/>
      <c r="J61" s="1790"/>
      <c r="K61" s="1790"/>
      <c r="L61" s="1790"/>
      <c r="M61" s="1790"/>
      <c r="N61" s="1790"/>
      <c r="O61" s="1790"/>
    </row>
    <row r="62" spans="1:15" x14ac:dyDescent="0.2">
      <c r="A62" s="284">
        <v>2</v>
      </c>
      <c r="B62" s="1790" t="s">
        <v>1934</v>
      </c>
      <c r="C62" s="1790"/>
      <c r="D62" s="1790"/>
      <c r="E62" s="1790"/>
      <c r="F62" s="1790"/>
      <c r="G62" s="1790"/>
      <c r="H62" s="1790"/>
      <c r="I62" s="1790"/>
      <c r="J62" s="1790"/>
      <c r="K62" s="1790"/>
      <c r="L62" s="1790"/>
      <c r="M62" s="1790"/>
      <c r="N62" s="1790"/>
      <c r="O62" s="1790"/>
    </row>
    <row r="63" spans="1:15" ht="12.75" customHeight="1" x14ac:dyDescent="0.2">
      <c r="A63" s="284">
        <v>3</v>
      </c>
      <c r="B63" s="1790" t="s">
        <v>609</v>
      </c>
      <c r="C63" s="1790"/>
      <c r="D63" s="1790"/>
      <c r="E63" s="1790"/>
      <c r="F63" s="1790"/>
      <c r="G63" s="1790"/>
      <c r="H63" s="1790"/>
      <c r="I63" s="1790"/>
      <c r="J63" s="1790"/>
      <c r="K63" s="1790"/>
      <c r="L63" s="1790"/>
      <c r="M63" s="1790"/>
      <c r="N63" s="1790"/>
      <c r="O63" s="1790"/>
    </row>
    <row r="64" spans="1:15" ht="39.75" customHeight="1" x14ac:dyDescent="0.2">
      <c r="A64" s="286">
        <v>4</v>
      </c>
      <c r="B64" s="1790" t="s">
        <v>615</v>
      </c>
      <c r="C64" s="1790"/>
      <c r="D64" s="1790"/>
      <c r="E64" s="1790"/>
      <c r="F64" s="1790"/>
      <c r="G64" s="1790"/>
      <c r="H64" s="1790"/>
      <c r="I64" s="1790"/>
      <c r="J64" s="1790"/>
      <c r="K64" s="1790"/>
      <c r="L64" s="1790"/>
      <c r="M64" s="1790"/>
      <c r="N64" s="1790"/>
      <c r="O64" s="1790"/>
    </row>
    <row r="65" spans="1:15" ht="16.5" customHeight="1" x14ac:dyDescent="0.2">
      <c r="A65" s="286">
        <v>5</v>
      </c>
      <c r="B65" s="1883" t="s">
        <v>611</v>
      </c>
      <c r="C65" s="1883"/>
      <c r="D65" s="1883"/>
      <c r="E65" s="1883"/>
      <c r="F65" s="1883"/>
      <c r="G65" s="1883"/>
      <c r="H65" s="1883"/>
      <c r="I65" s="1883"/>
      <c r="J65" s="1883"/>
      <c r="K65" s="1883"/>
      <c r="L65" s="1883"/>
      <c r="M65" s="1883"/>
      <c r="N65" s="1883"/>
      <c r="O65" s="1883"/>
    </row>
    <row r="66" spans="1:15" ht="14.25" customHeight="1" x14ac:dyDescent="0.2">
      <c r="A66" s="286">
        <v>6</v>
      </c>
      <c r="B66" s="1790" t="s">
        <v>718</v>
      </c>
      <c r="C66" s="1790"/>
      <c r="D66" s="1790"/>
      <c r="E66" s="1790"/>
      <c r="F66" s="1790"/>
      <c r="G66" s="1790"/>
      <c r="H66" s="1790"/>
      <c r="I66" s="1790"/>
      <c r="J66" s="1790"/>
      <c r="K66" s="1790"/>
      <c r="L66" s="1790"/>
      <c r="M66" s="1790"/>
      <c r="N66" s="1790"/>
      <c r="O66" s="1790"/>
    </row>
    <row r="67" spans="1:15" ht="14.25" customHeight="1" x14ac:dyDescent="0.2">
      <c r="A67" s="286"/>
      <c r="B67" s="672"/>
      <c r="C67" s="672"/>
      <c r="D67" s="672"/>
      <c r="E67" s="672"/>
      <c r="F67" s="672"/>
      <c r="G67" s="672"/>
      <c r="H67" s="672"/>
      <c r="I67" s="672"/>
      <c r="J67" s="672"/>
      <c r="K67" s="672"/>
      <c r="L67" s="672"/>
      <c r="M67" s="672"/>
      <c r="N67" s="672"/>
      <c r="O67" s="672"/>
    </row>
    <row r="68" spans="1:15" ht="12.75" customHeight="1" x14ac:dyDescent="0.2">
      <c r="A68" s="217" t="s">
        <v>325</v>
      </c>
      <c r="B68" s="1869" t="s">
        <v>270</v>
      </c>
      <c r="C68" s="1869"/>
      <c r="D68" s="1869"/>
      <c r="E68" s="1869"/>
      <c r="F68" s="1869"/>
      <c r="G68" s="1869"/>
      <c r="H68" s="1869"/>
      <c r="I68" s="1869"/>
      <c r="J68" s="1869"/>
      <c r="K68" s="1869"/>
      <c r="L68" s="1869"/>
      <c r="M68" s="1869"/>
      <c r="N68" s="1869"/>
      <c r="O68" s="1869"/>
    </row>
    <row r="69" spans="1:15" x14ac:dyDescent="0.2">
      <c r="B69" s="1869"/>
      <c r="C69" s="1869"/>
      <c r="D69" s="1869"/>
      <c r="E69" s="1869"/>
      <c r="F69" s="1869"/>
      <c r="G69" s="1869"/>
      <c r="H69" s="1869"/>
      <c r="I69" s="1869"/>
      <c r="J69" s="1869"/>
      <c r="K69" s="1869"/>
      <c r="L69" s="1869"/>
      <c r="M69" s="1869"/>
      <c r="N69" s="1869"/>
      <c r="O69" s="1869"/>
    </row>
    <row r="70" spans="1:15" x14ac:dyDescent="0.2">
      <c r="B70" s="675"/>
      <c r="C70" s="675"/>
      <c r="D70" s="675"/>
      <c r="E70" s="675"/>
      <c r="F70" s="675"/>
      <c r="G70" s="675"/>
      <c r="H70" s="675"/>
      <c r="I70" s="675"/>
      <c r="J70" s="675"/>
      <c r="K70" s="675"/>
      <c r="L70" s="675"/>
      <c r="M70" s="236"/>
      <c r="N70" s="236"/>
    </row>
    <row r="72" spans="1:15" x14ac:dyDescent="0.2">
      <c r="B72" s="236"/>
    </row>
    <row r="73" spans="1:15" x14ac:dyDescent="0.2">
      <c r="B73" s="236"/>
    </row>
  </sheetData>
  <mergeCells count="14">
    <mergeCell ref="B68:O69"/>
    <mergeCell ref="B61:O61"/>
    <mergeCell ref="B62:O62"/>
    <mergeCell ref="B63:O63"/>
    <mergeCell ref="B64:O64"/>
    <mergeCell ref="B65:O65"/>
    <mergeCell ref="B66:O66"/>
    <mergeCell ref="A9:O9"/>
    <mergeCell ref="A10:O10"/>
    <mergeCell ref="A11:O11"/>
    <mergeCell ref="A14:A15"/>
    <mergeCell ref="B14:B15"/>
    <mergeCell ref="K14:K15"/>
    <mergeCell ref="N14:N15"/>
  </mergeCells>
  <dataValidations count="1">
    <dataValidation allowBlank="1" showInputMessage="1" showErrorMessage="1" promptTitle="Date Format" prompt="E.g:  &quot;August 1, 2011&quot;" sqref="L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L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L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L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L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L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L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L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L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L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L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L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L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L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L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L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dataValidations>
  <printOptions horizontalCentered="1"/>
  <pageMargins left="0.74803149606299213" right="0.74803149606299213" top="0.70866141732283472" bottom="0.39370078740157483" header="0.39370078740157483" footer="0.27559055118110237"/>
  <pageSetup scale="5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80"/>
  <sheetViews>
    <sheetView showGridLines="0" zoomScaleNormal="100" workbookViewId="0">
      <selection activeCell="A10" sqref="A10:K10"/>
    </sheetView>
  </sheetViews>
  <sheetFormatPr defaultRowHeight="12.75" x14ac:dyDescent="0.2"/>
  <cols>
    <col min="1" max="1" width="9.140625" style="216"/>
    <col min="2" max="2" width="40.28515625" style="216" bestFit="1" customWidth="1"/>
    <col min="3" max="3" width="10" style="216" customWidth="1"/>
    <col min="4" max="4" width="10.140625" style="216" customWidth="1"/>
    <col min="5" max="5" width="12.28515625" style="216" customWidth="1"/>
    <col min="6" max="6" width="16.28515625" style="216" customWidth="1"/>
    <col min="7" max="7" width="16.140625" style="216" customWidth="1"/>
    <col min="8" max="8" width="12.7109375" style="216" customWidth="1"/>
    <col min="9" max="10" width="14.42578125" style="216" customWidth="1"/>
    <col min="11" max="11" width="13.5703125" style="216" customWidth="1"/>
    <col min="12" max="12" width="9.140625" style="216"/>
    <col min="13" max="13" width="18.5703125" style="216" customWidth="1"/>
    <col min="14" max="256" width="9.140625" style="216"/>
    <col min="257" max="257" width="2.7109375" style="216" customWidth="1"/>
    <col min="258" max="258" width="9.140625" style="216"/>
    <col min="259" max="259" width="40.28515625" style="216" bestFit="1" customWidth="1"/>
    <col min="260" max="260" width="10" style="216" customWidth="1"/>
    <col min="261" max="261" width="10.140625" style="216" customWidth="1"/>
    <col min="262" max="262" width="12.28515625" style="216" customWidth="1"/>
    <col min="263" max="263" width="16.28515625" style="216" customWidth="1"/>
    <col min="264" max="264" width="12.85546875" style="216" customWidth="1"/>
    <col min="265" max="265" width="12.7109375" style="216" customWidth="1"/>
    <col min="266" max="266" width="14.42578125" style="216" customWidth="1"/>
    <col min="267" max="267" width="13.5703125" style="216" customWidth="1"/>
    <col min="268" max="512" width="9.140625" style="216"/>
    <col min="513" max="513" width="2.7109375" style="216" customWidth="1"/>
    <col min="514" max="514" width="9.140625" style="216"/>
    <col min="515" max="515" width="40.28515625" style="216" bestFit="1" customWidth="1"/>
    <col min="516" max="516" width="10" style="216" customWidth="1"/>
    <col min="517" max="517" width="10.140625" style="216" customWidth="1"/>
    <col min="518" max="518" width="12.28515625" style="216" customWidth="1"/>
    <col min="519" max="519" width="16.28515625" style="216" customWidth="1"/>
    <col min="520" max="520" width="12.85546875" style="216" customWidth="1"/>
    <col min="521" max="521" width="12.7109375" style="216" customWidth="1"/>
    <col min="522" max="522" width="14.42578125" style="216" customWidth="1"/>
    <col min="523" max="523" width="13.5703125" style="216" customWidth="1"/>
    <col min="524" max="768" width="9.140625" style="216"/>
    <col min="769" max="769" width="2.7109375" style="216" customWidth="1"/>
    <col min="770" max="770" width="9.140625" style="216"/>
    <col min="771" max="771" width="40.28515625" style="216" bestFit="1" customWidth="1"/>
    <col min="772" max="772" width="10" style="216" customWidth="1"/>
    <col min="773" max="773" width="10.140625" style="216" customWidth="1"/>
    <col min="774" max="774" width="12.28515625" style="216" customWidth="1"/>
    <col min="775" max="775" width="16.28515625" style="216" customWidth="1"/>
    <col min="776" max="776" width="12.85546875" style="216" customWidth="1"/>
    <col min="777" max="777" width="12.7109375" style="216" customWidth="1"/>
    <col min="778" max="778" width="14.42578125" style="216" customWidth="1"/>
    <col min="779" max="779" width="13.5703125" style="216" customWidth="1"/>
    <col min="780" max="1024" width="9.140625" style="216"/>
    <col min="1025" max="1025" width="2.7109375" style="216" customWidth="1"/>
    <col min="1026" max="1026" width="9.140625" style="216"/>
    <col min="1027" max="1027" width="40.28515625" style="216" bestFit="1" customWidth="1"/>
    <col min="1028" max="1028" width="10" style="216" customWidth="1"/>
    <col min="1029" max="1029" width="10.140625" style="216" customWidth="1"/>
    <col min="1030" max="1030" width="12.28515625" style="216" customWidth="1"/>
    <col min="1031" max="1031" width="16.28515625" style="216" customWidth="1"/>
    <col min="1032" max="1032" width="12.85546875" style="216" customWidth="1"/>
    <col min="1033" max="1033" width="12.7109375" style="216" customWidth="1"/>
    <col min="1034" max="1034" width="14.42578125" style="216" customWidth="1"/>
    <col min="1035" max="1035" width="13.5703125" style="216" customWidth="1"/>
    <col min="1036" max="1280" width="9.140625" style="216"/>
    <col min="1281" max="1281" width="2.7109375" style="216" customWidth="1"/>
    <col min="1282" max="1282" width="9.140625" style="216"/>
    <col min="1283" max="1283" width="40.28515625" style="216" bestFit="1" customWidth="1"/>
    <col min="1284" max="1284" width="10" style="216" customWidth="1"/>
    <col min="1285" max="1285" width="10.140625" style="216" customWidth="1"/>
    <col min="1286" max="1286" width="12.28515625" style="216" customWidth="1"/>
    <col min="1287" max="1287" width="16.28515625" style="216" customWidth="1"/>
    <col min="1288" max="1288" width="12.85546875" style="216" customWidth="1"/>
    <col min="1289" max="1289" width="12.7109375" style="216" customWidth="1"/>
    <col min="1290" max="1290" width="14.42578125" style="216" customWidth="1"/>
    <col min="1291" max="1291" width="13.5703125" style="216" customWidth="1"/>
    <col min="1292" max="1536" width="9.140625" style="216"/>
    <col min="1537" max="1537" width="2.7109375" style="216" customWidth="1"/>
    <col min="1538" max="1538" width="9.140625" style="216"/>
    <col min="1539" max="1539" width="40.28515625" style="216" bestFit="1" customWidth="1"/>
    <col min="1540" max="1540" width="10" style="216" customWidth="1"/>
    <col min="1541" max="1541" width="10.140625" style="216" customWidth="1"/>
    <col min="1542" max="1542" width="12.28515625" style="216" customWidth="1"/>
    <col min="1543" max="1543" width="16.28515625" style="216" customWidth="1"/>
    <col min="1544" max="1544" width="12.85546875" style="216" customWidth="1"/>
    <col min="1545" max="1545" width="12.7109375" style="216" customWidth="1"/>
    <col min="1546" max="1546" width="14.42578125" style="216" customWidth="1"/>
    <col min="1547" max="1547" width="13.5703125" style="216" customWidth="1"/>
    <col min="1548" max="1792" width="9.140625" style="216"/>
    <col min="1793" max="1793" width="2.7109375" style="216" customWidth="1"/>
    <col min="1794" max="1794" width="9.140625" style="216"/>
    <col min="1795" max="1795" width="40.28515625" style="216" bestFit="1" customWidth="1"/>
    <col min="1796" max="1796" width="10" style="216" customWidth="1"/>
    <col min="1797" max="1797" width="10.140625" style="216" customWidth="1"/>
    <col min="1798" max="1798" width="12.28515625" style="216" customWidth="1"/>
    <col min="1799" max="1799" width="16.28515625" style="216" customWidth="1"/>
    <col min="1800" max="1800" width="12.85546875" style="216" customWidth="1"/>
    <col min="1801" max="1801" width="12.7109375" style="216" customWidth="1"/>
    <col min="1802" max="1802" width="14.42578125" style="216" customWidth="1"/>
    <col min="1803" max="1803" width="13.5703125" style="216" customWidth="1"/>
    <col min="1804" max="2048" width="9.140625" style="216"/>
    <col min="2049" max="2049" width="2.7109375" style="216" customWidth="1"/>
    <col min="2050" max="2050" width="9.140625" style="216"/>
    <col min="2051" max="2051" width="40.28515625" style="216" bestFit="1" customWidth="1"/>
    <col min="2052" max="2052" width="10" style="216" customWidth="1"/>
    <col min="2053" max="2053" width="10.140625" style="216" customWidth="1"/>
    <col min="2054" max="2054" width="12.28515625" style="216" customWidth="1"/>
    <col min="2055" max="2055" width="16.28515625" style="216" customWidth="1"/>
    <col min="2056" max="2056" width="12.85546875" style="216" customWidth="1"/>
    <col min="2057" max="2057" width="12.7109375" style="216" customWidth="1"/>
    <col min="2058" max="2058" width="14.42578125" style="216" customWidth="1"/>
    <col min="2059" max="2059" width="13.5703125" style="216" customWidth="1"/>
    <col min="2060" max="2304" width="9.140625" style="216"/>
    <col min="2305" max="2305" width="2.7109375" style="216" customWidth="1"/>
    <col min="2306" max="2306" width="9.140625" style="216"/>
    <col min="2307" max="2307" width="40.28515625" style="216" bestFit="1" customWidth="1"/>
    <col min="2308" max="2308" width="10" style="216" customWidth="1"/>
    <col min="2309" max="2309" width="10.140625" style="216" customWidth="1"/>
    <col min="2310" max="2310" width="12.28515625" style="216" customWidth="1"/>
    <col min="2311" max="2311" width="16.28515625" style="216" customWidth="1"/>
    <col min="2312" max="2312" width="12.85546875" style="216" customWidth="1"/>
    <col min="2313" max="2313" width="12.7109375" style="216" customWidth="1"/>
    <col min="2314" max="2314" width="14.42578125" style="216" customWidth="1"/>
    <col min="2315" max="2315" width="13.5703125" style="216" customWidth="1"/>
    <col min="2316" max="2560" width="9.140625" style="216"/>
    <col min="2561" max="2561" width="2.7109375" style="216" customWidth="1"/>
    <col min="2562" max="2562" width="9.140625" style="216"/>
    <col min="2563" max="2563" width="40.28515625" style="216" bestFit="1" customWidth="1"/>
    <col min="2564" max="2564" width="10" style="216" customWidth="1"/>
    <col min="2565" max="2565" width="10.140625" style="216" customWidth="1"/>
    <col min="2566" max="2566" width="12.28515625" style="216" customWidth="1"/>
    <col min="2567" max="2567" width="16.28515625" style="216" customWidth="1"/>
    <col min="2568" max="2568" width="12.85546875" style="216" customWidth="1"/>
    <col min="2569" max="2569" width="12.7109375" style="216" customWidth="1"/>
    <col min="2570" max="2570" width="14.42578125" style="216" customWidth="1"/>
    <col min="2571" max="2571" width="13.5703125" style="216" customWidth="1"/>
    <col min="2572" max="2816" width="9.140625" style="216"/>
    <col min="2817" max="2817" width="2.7109375" style="216" customWidth="1"/>
    <col min="2818" max="2818" width="9.140625" style="216"/>
    <col min="2819" max="2819" width="40.28515625" style="216" bestFit="1" customWidth="1"/>
    <col min="2820" max="2820" width="10" style="216" customWidth="1"/>
    <col min="2821" max="2821" width="10.140625" style="216" customWidth="1"/>
    <col min="2822" max="2822" width="12.28515625" style="216" customWidth="1"/>
    <col min="2823" max="2823" width="16.28515625" style="216" customWidth="1"/>
    <col min="2824" max="2824" width="12.85546875" style="216" customWidth="1"/>
    <col min="2825" max="2825" width="12.7109375" style="216" customWidth="1"/>
    <col min="2826" max="2826" width="14.42578125" style="216" customWidth="1"/>
    <col min="2827" max="2827" width="13.5703125" style="216" customWidth="1"/>
    <col min="2828" max="3072" width="9.140625" style="216"/>
    <col min="3073" max="3073" width="2.7109375" style="216" customWidth="1"/>
    <col min="3074" max="3074" width="9.140625" style="216"/>
    <col min="3075" max="3075" width="40.28515625" style="216" bestFit="1" customWidth="1"/>
    <col min="3076" max="3076" width="10" style="216" customWidth="1"/>
    <col min="3077" max="3077" width="10.140625" style="216" customWidth="1"/>
    <col min="3078" max="3078" width="12.28515625" style="216" customWidth="1"/>
    <col min="3079" max="3079" width="16.28515625" style="216" customWidth="1"/>
    <col min="3080" max="3080" width="12.85546875" style="216" customWidth="1"/>
    <col min="3081" max="3081" width="12.7109375" style="216" customWidth="1"/>
    <col min="3082" max="3082" width="14.42578125" style="216" customWidth="1"/>
    <col min="3083" max="3083" width="13.5703125" style="216" customWidth="1"/>
    <col min="3084" max="3328" width="9.140625" style="216"/>
    <col min="3329" max="3329" width="2.7109375" style="216" customWidth="1"/>
    <col min="3330" max="3330" width="9.140625" style="216"/>
    <col min="3331" max="3331" width="40.28515625" style="216" bestFit="1" customWidth="1"/>
    <col min="3332" max="3332" width="10" style="216" customWidth="1"/>
    <col min="3333" max="3333" width="10.140625" style="216" customWidth="1"/>
    <col min="3334" max="3334" width="12.28515625" style="216" customWidth="1"/>
    <col min="3335" max="3335" width="16.28515625" style="216" customWidth="1"/>
    <col min="3336" max="3336" width="12.85546875" style="216" customWidth="1"/>
    <col min="3337" max="3337" width="12.7109375" style="216" customWidth="1"/>
    <col min="3338" max="3338" width="14.42578125" style="216" customWidth="1"/>
    <col min="3339" max="3339" width="13.5703125" style="216" customWidth="1"/>
    <col min="3340" max="3584" width="9.140625" style="216"/>
    <col min="3585" max="3585" width="2.7109375" style="216" customWidth="1"/>
    <col min="3586" max="3586" width="9.140625" style="216"/>
    <col min="3587" max="3587" width="40.28515625" style="216" bestFit="1" customWidth="1"/>
    <col min="3588" max="3588" width="10" style="216" customWidth="1"/>
    <col min="3589" max="3589" width="10.140625" style="216" customWidth="1"/>
    <col min="3590" max="3590" width="12.28515625" style="216" customWidth="1"/>
    <col min="3591" max="3591" width="16.28515625" style="216" customWidth="1"/>
    <col min="3592" max="3592" width="12.85546875" style="216" customWidth="1"/>
    <col min="3593" max="3593" width="12.7109375" style="216" customWidth="1"/>
    <col min="3594" max="3594" width="14.42578125" style="216" customWidth="1"/>
    <col min="3595" max="3595" width="13.5703125" style="216" customWidth="1"/>
    <col min="3596" max="3840" width="9.140625" style="216"/>
    <col min="3841" max="3841" width="2.7109375" style="216" customWidth="1"/>
    <col min="3842" max="3842" width="9.140625" style="216"/>
    <col min="3843" max="3843" width="40.28515625" style="216" bestFit="1" customWidth="1"/>
    <col min="3844" max="3844" width="10" style="216" customWidth="1"/>
    <col min="3845" max="3845" width="10.140625" style="216" customWidth="1"/>
    <col min="3846" max="3846" width="12.28515625" style="216" customWidth="1"/>
    <col min="3847" max="3847" width="16.28515625" style="216" customWidth="1"/>
    <col min="3848" max="3848" width="12.85546875" style="216" customWidth="1"/>
    <col min="3849" max="3849" width="12.7109375" style="216" customWidth="1"/>
    <col min="3850" max="3850" width="14.42578125" style="216" customWidth="1"/>
    <col min="3851" max="3851" width="13.5703125" style="216" customWidth="1"/>
    <col min="3852" max="4096" width="9.140625" style="216"/>
    <col min="4097" max="4097" width="2.7109375" style="216" customWidth="1"/>
    <col min="4098" max="4098" width="9.140625" style="216"/>
    <col min="4099" max="4099" width="40.28515625" style="216" bestFit="1" customWidth="1"/>
    <col min="4100" max="4100" width="10" style="216" customWidth="1"/>
    <col min="4101" max="4101" width="10.140625" style="216" customWidth="1"/>
    <col min="4102" max="4102" width="12.28515625" style="216" customWidth="1"/>
    <col min="4103" max="4103" width="16.28515625" style="216" customWidth="1"/>
    <col min="4104" max="4104" width="12.85546875" style="216" customWidth="1"/>
    <col min="4105" max="4105" width="12.7109375" style="216" customWidth="1"/>
    <col min="4106" max="4106" width="14.42578125" style="216" customWidth="1"/>
    <col min="4107" max="4107" width="13.5703125" style="216" customWidth="1"/>
    <col min="4108" max="4352" width="9.140625" style="216"/>
    <col min="4353" max="4353" width="2.7109375" style="216" customWidth="1"/>
    <col min="4354" max="4354" width="9.140625" style="216"/>
    <col min="4355" max="4355" width="40.28515625" style="216" bestFit="1" customWidth="1"/>
    <col min="4356" max="4356" width="10" style="216" customWidth="1"/>
    <col min="4357" max="4357" width="10.140625" style="216" customWidth="1"/>
    <col min="4358" max="4358" width="12.28515625" style="216" customWidth="1"/>
    <col min="4359" max="4359" width="16.28515625" style="216" customWidth="1"/>
    <col min="4360" max="4360" width="12.85546875" style="216" customWidth="1"/>
    <col min="4361" max="4361" width="12.7109375" style="216" customWidth="1"/>
    <col min="4362" max="4362" width="14.42578125" style="216" customWidth="1"/>
    <col min="4363" max="4363" width="13.5703125" style="216" customWidth="1"/>
    <col min="4364" max="4608" width="9.140625" style="216"/>
    <col min="4609" max="4609" width="2.7109375" style="216" customWidth="1"/>
    <col min="4610" max="4610" width="9.140625" style="216"/>
    <col min="4611" max="4611" width="40.28515625" style="216" bestFit="1" customWidth="1"/>
    <col min="4612" max="4612" width="10" style="216" customWidth="1"/>
    <col min="4613" max="4613" width="10.140625" style="216" customWidth="1"/>
    <col min="4614" max="4614" width="12.28515625" style="216" customWidth="1"/>
    <col min="4615" max="4615" width="16.28515625" style="216" customWidth="1"/>
    <col min="4616" max="4616" width="12.85546875" style="216" customWidth="1"/>
    <col min="4617" max="4617" width="12.7109375" style="216" customWidth="1"/>
    <col min="4618" max="4618" width="14.42578125" style="216" customWidth="1"/>
    <col min="4619" max="4619" width="13.5703125" style="216" customWidth="1"/>
    <col min="4620" max="4864" width="9.140625" style="216"/>
    <col min="4865" max="4865" width="2.7109375" style="216" customWidth="1"/>
    <col min="4866" max="4866" width="9.140625" style="216"/>
    <col min="4867" max="4867" width="40.28515625" style="216" bestFit="1" customWidth="1"/>
    <col min="4868" max="4868" width="10" style="216" customWidth="1"/>
    <col min="4869" max="4869" width="10.140625" style="216" customWidth="1"/>
    <col min="4870" max="4870" width="12.28515625" style="216" customWidth="1"/>
    <col min="4871" max="4871" width="16.28515625" style="216" customWidth="1"/>
    <col min="4872" max="4872" width="12.85546875" style="216" customWidth="1"/>
    <col min="4873" max="4873" width="12.7109375" style="216" customWidth="1"/>
    <col min="4874" max="4874" width="14.42578125" style="216" customWidth="1"/>
    <col min="4875" max="4875" width="13.5703125" style="216" customWidth="1"/>
    <col min="4876" max="5120" width="9.140625" style="216"/>
    <col min="5121" max="5121" width="2.7109375" style="216" customWidth="1"/>
    <col min="5122" max="5122" width="9.140625" style="216"/>
    <col min="5123" max="5123" width="40.28515625" style="216" bestFit="1" customWidth="1"/>
    <col min="5124" max="5124" width="10" style="216" customWidth="1"/>
    <col min="5125" max="5125" width="10.140625" style="216" customWidth="1"/>
    <col min="5126" max="5126" width="12.28515625" style="216" customWidth="1"/>
    <col min="5127" max="5127" width="16.28515625" style="216" customWidth="1"/>
    <col min="5128" max="5128" width="12.85546875" style="216" customWidth="1"/>
    <col min="5129" max="5129" width="12.7109375" style="216" customWidth="1"/>
    <col min="5130" max="5130" width="14.42578125" style="216" customWidth="1"/>
    <col min="5131" max="5131" width="13.5703125" style="216" customWidth="1"/>
    <col min="5132" max="5376" width="9.140625" style="216"/>
    <col min="5377" max="5377" width="2.7109375" style="216" customWidth="1"/>
    <col min="5378" max="5378" width="9.140625" style="216"/>
    <col min="5379" max="5379" width="40.28515625" style="216" bestFit="1" customWidth="1"/>
    <col min="5380" max="5380" width="10" style="216" customWidth="1"/>
    <col min="5381" max="5381" width="10.140625" style="216" customWidth="1"/>
    <col min="5382" max="5382" width="12.28515625" style="216" customWidth="1"/>
    <col min="5383" max="5383" width="16.28515625" style="216" customWidth="1"/>
    <col min="5384" max="5384" width="12.85546875" style="216" customWidth="1"/>
    <col min="5385" max="5385" width="12.7109375" style="216" customWidth="1"/>
    <col min="5386" max="5386" width="14.42578125" style="216" customWidth="1"/>
    <col min="5387" max="5387" width="13.5703125" style="216" customWidth="1"/>
    <col min="5388" max="5632" width="9.140625" style="216"/>
    <col min="5633" max="5633" width="2.7109375" style="216" customWidth="1"/>
    <col min="5634" max="5634" width="9.140625" style="216"/>
    <col min="5635" max="5635" width="40.28515625" style="216" bestFit="1" customWidth="1"/>
    <col min="5636" max="5636" width="10" style="216" customWidth="1"/>
    <col min="5637" max="5637" width="10.140625" style="216" customWidth="1"/>
    <col min="5638" max="5638" width="12.28515625" style="216" customWidth="1"/>
    <col min="5639" max="5639" width="16.28515625" style="216" customWidth="1"/>
    <col min="5640" max="5640" width="12.85546875" style="216" customWidth="1"/>
    <col min="5641" max="5641" width="12.7109375" style="216" customWidth="1"/>
    <col min="5642" max="5642" width="14.42578125" style="216" customWidth="1"/>
    <col min="5643" max="5643" width="13.5703125" style="216" customWidth="1"/>
    <col min="5644" max="5888" width="9.140625" style="216"/>
    <col min="5889" max="5889" width="2.7109375" style="216" customWidth="1"/>
    <col min="5890" max="5890" width="9.140625" style="216"/>
    <col min="5891" max="5891" width="40.28515625" style="216" bestFit="1" customWidth="1"/>
    <col min="5892" max="5892" width="10" style="216" customWidth="1"/>
    <col min="5893" max="5893" width="10.140625" style="216" customWidth="1"/>
    <col min="5894" max="5894" width="12.28515625" style="216" customWidth="1"/>
    <col min="5895" max="5895" width="16.28515625" style="216" customWidth="1"/>
    <col min="5896" max="5896" width="12.85546875" style="216" customWidth="1"/>
    <col min="5897" max="5897" width="12.7109375" style="216" customWidth="1"/>
    <col min="5898" max="5898" width="14.42578125" style="216" customWidth="1"/>
    <col min="5899" max="5899" width="13.5703125" style="216" customWidth="1"/>
    <col min="5900" max="6144" width="9.140625" style="216"/>
    <col min="6145" max="6145" width="2.7109375" style="216" customWidth="1"/>
    <col min="6146" max="6146" width="9.140625" style="216"/>
    <col min="6147" max="6147" width="40.28515625" style="216" bestFit="1" customWidth="1"/>
    <col min="6148" max="6148" width="10" style="216" customWidth="1"/>
    <col min="6149" max="6149" width="10.140625" style="216" customWidth="1"/>
    <col min="6150" max="6150" width="12.28515625" style="216" customWidth="1"/>
    <col min="6151" max="6151" width="16.28515625" style="216" customWidth="1"/>
    <col min="6152" max="6152" width="12.85546875" style="216" customWidth="1"/>
    <col min="6153" max="6153" width="12.7109375" style="216" customWidth="1"/>
    <col min="6154" max="6154" width="14.42578125" style="216" customWidth="1"/>
    <col min="6155" max="6155" width="13.5703125" style="216" customWidth="1"/>
    <col min="6156" max="6400" width="9.140625" style="216"/>
    <col min="6401" max="6401" width="2.7109375" style="216" customWidth="1"/>
    <col min="6402" max="6402" width="9.140625" style="216"/>
    <col min="6403" max="6403" width="40.28515625" style="216" bestFit="1" customWidth="1"/>
    <col min="6404" max="6404" width="10" style="216" customWidth="1"/>
    <col min="6405" max="6405" width="10.140625" style="216" customWidth="1"/>
    <col min="6406" max="6406" width="12.28515625" style="216" customWidth="1"/>
    <col min="6407" max="6407" width="16.28515625" style="216" customWidth="1"/>
    <col min="6408" max="6408" width="12.85546875" style="216" customWidth="1"/>
    <col min="6409" max="6409" width="12.7109375" style="216" customWidth="1"/>
    <col min="6410" max="6410" width="14.42578125" style="216" customWidth="1"/>
    <col min="6411" max="6411" width="13.5703125" style="216" customWidth="1"/>
    <col min="6412" max="6656" width="9.140625" style="216"/>
    <col min="6657" max="6657" width="2.7109375" style="216" customWidth="1"/>
    <col min="6658" max="6658" width="9.140625" style="216"/>
    <col min="6659" max="6659" width="40.28515625" style="216" bestFit="1" customWidth="1"/>
    <col min="6660" max="6660" width="10" style="216" customWidth="1"/>
    <col min="6661" max="6661" width="10.140625" style="216" customWidth="1"/>
    <col min="6662" max="6662" width="12.28515625" style="216" customWidth="1"/>
    <col min="6663" max="6663" width="16.28515625" style="216" customWidth="1"/>
    <col min="6664" max="6664" width="12.85546875" style="216" customWidth="1"/>
    <col min="6665" max="6665" width="12.7109375" style="216" customWidth="1"/>
    <col min="6666" max="6666" width="14.42578125" style="216" customWidth="1"/>
    <col min="6667" max="6667" width="13.5703125" style="216" customWidth="1"/>
    <col min="6668" max="6912" width="9.140625" style="216"/>
    <col min="6913" max="6913" width="2.7109375" style="216" customWidth="1"/>
    <col min="6914" max="6914" width="9.140625" style="216"/>
    <col min="6915" max="6915" width="40.28515625" style="216" bestFit="1" customWidth="1"/>
    <col min="6916" max="6916" width="10" style="216" customWidth="1"/>
    <col min="6917" max="6917" width="10.140625" style="216" customWidth="1"/>
    <col min="6918" max="6918" width="12.28515625" style="216" customWidth="1"/>
    <col min="6919" max="6919" width="16.28515625" style="216" customWidth="1"/>
    <col min="6920" max="6920" width="12.85546875" style="216" customWidth="1"/>
    <col min="6921" max="6921" width="12.7109375" style="216" customWidth="1"/>
    <col min="6922" max="6922" width="14.42578125" style="216" customWidth="1"/>
    <col min="6923" max="6923" width="13.5703125" style="216" customWidth="1"/>
    <col min="6924" max="7168" width="9.140625" style="216"/>
    <col min="7169" max="7169" width="2.7109375" style="216" customWidth="1"/>
    <col min="7170" max="7170" width="9.140625" style="216"/>
    <col min="7171" max="7171" width="40.28515625" style="216" bestFit="1" customWidth="1"/>
    <col min="7172" max="7172" width="10" style="216" customWidth="1"/>
    <col min="7173" max="7173" width="10.140625" style="216" customWidth="1"/>
    <col min="7174" max="7174" width="12.28515625" style="216" customWidth="1"/>
    <col min="7175" max="7175" width="16.28515625" style="216" customWidth="1"/>
    <col min="7176" max="7176" width="12.85546875" style="216" customWidth="1"/>
    <col min="7177" max="7177" width="12.7109375" style="216" customWidth="1"/>
    <col min="7178" max="7178" width="14.42578125" style="216" customWidth="1"/>
    <col min="7179" max="7179" width="13.5703125" style="216" customWidth="1"/>
    <col min="7180" max="7424" width="9.140625" style="216"/>
    <col min="7425" max="7425" width="2.7109375" style="216" customWidth="1"/>
    <col min="7426" max="7426" width="9.140625" style="216"/>
    <col min="7427" max="7427" width="40.28515625" style="216" bestFit="1" customWidth="1"/>
    <col min="7428" max="7428" width="10" style="216" customWidth="1"/>
    <col min="7429" max="7429" width="10.140625" style="216" customWidth="1"/>
    <col min="7430" max="7430" width="12.28515625" style="216" customWidth="1"/>
    <col min="7431" max="7431" width="16.28515625" style="216" customWidth="1"/>
    <col min="7432" max="7432" width="12.85546875" style="216" customWidth="1"/>
    <col min="7433" max="7433" width="12.7109375" style="216" customWidth="1"/>
    <col min="7434" max="7434" width="14.42578125" style="216" customWidth="1"/>
    <col min="7435" max="7435" width="13.5703125" style="216" customWidth="1"/>
    <col min="7436" max="7680" width="9.140625" style="216"/>
    <col min="7681" max="7681" width="2.7109375" style="216" customWidth="1"/>
    <col min="7682" max="7682" width="9.140625" style="216"/>
    <col min="7683" max="7683" width="40.28515625" style="216" bestFit="1" customWidth="1"/>
    <col min="7684" max="7684" width="10" style="216" customWidth="1"/>
    <col min="7685" max="7685" width="10.140625" style="216" customWidth="1"/>
    <col min="7686" max="7686" width="12.28515625" style="216" customWidth="1"/>
    <col min="7687" max="7687" width="16.28515625" style="216" customWidth="1"/>
    <col min="7688" max="7688" width="12.85546875" style="216" customWidth="1"/>
    <col min="7689" max="7689" width="12.7109375" style="216" customWidth="1"/>
    <col min="7690" max="7690" width="14.42578125" style="216" customWidth="1"/>
    <col min="7691" max="7691" width="13.5703125" style="216" customWidth="1"/>
    <col min="7692" max="7936" width="9.140625" style="216"/>
    <col min="7937" max="7937" width="2.7109375" style="216" customWidth="1"/>
    <col min="7938" max="7938" width="9.140625" style="216"/>
    <col min="7939" max="7939" width="40.28515625" style="216" bestFit="1" customWidth="1"/>
    <col min="7940" max="7940" width="10" style="216" customWidth="1"/>
    <col min="7941" max="7941" width="10.140625" style="216" customWidth="1"/>
    <col min="7942" max="7942" width="12.28515625" style="216" customWidth="1"/>
    <col min="7943" max="7943" width="16.28515625" style="216" customWidth="1"/>
    <col min="7944" max="7944" width="12.85546875" style="216" customWidth="1"/>
    <col min="7945" max="7945" width="12.7109375" style="216" customWidth="1"/>
    <col min="7946" max="7946" width="14.42578125" style="216" customWidth="1"/>
    <col min="7947" max="7947" width="13.5703125" style="216" customWidth="1"/>
    <col min="7948" max="8192" width="9.140625" style="216"/>
    <col min="8193" max="8193" width="2.7109375" style="216" customWidth="1"/>
    <col min="8194" max="8194" width="9.140625" style="216"/>
    <col min="8195" max="8195" width="40.28515625" style="216" bestFit="1" customWidth="1"/>
    <col min="8196" max="8196" width="10" style="216" customWidth="1"/>
    <col min="8197" max="8197" width="10.140625" style="216" customWidth="1"/>
    <col min="8198" max="8198" width="12.28515625" style="216" customWidth="1"/>
    <col min="8199" max="8199" width="16.28515625" style="216" customWidth="1"/>
    <col min="8200" max="8200" width="12.85546875" style="216" customWidth="1"/>
    <col min="8201" max="8201" width="12.7109375" style="216" customWidth="1"/>
    <col min="8202" max="8202" width="14.42578125" style="216" customWidth="1"/>
    <col min="8203" max="8203" width="13.5703125" style="216" customWidth="1"/>
    <col min="8204" max="8448" width="9.140625" style="216"/>
    <col min="8449" max="8449" width="2.7109375" style="216" customWidth="1"/>
    <col min="8450" max="8450" width="9.140625" style="216"/>
    <col min="8451" max="8451" width="40.28515625" style="216" bestFit="1" customWidth="1"/>
    <col min="8452" max="8452" width="10" style="216" customWidth="1"/>
    <col min="8453" max="8453" width="10.140625" style="216" customWidth="1"/>
    <col min="8454" max="8454" width="12.28515625" style="216" customWidth="1"/>
    <col min="8455" max="8455" width="16.28515625" style="216" customWidth="1"/>
    <col min="8456" max="8456" width="12.85546875" style="216" customWidth="1"/>
    <col min="8457" max="8457" width="12.7109375" style="216" customWidth="1"/>
    <col min="8458" max="8458" width="14.42578125" style="216" customWidth="1"/>
    <col min="8459" max="8459" width="13.5703125" style="216" customWidth="1"/>
    <col min="8460" max="8704" width="9.140625" style="216"/>
    <col min="8705" max="8705" width="2.7109375" style="216" customWidth="1"/>
    <col min="8706" max="8706" width="9.140625" style="216"/>
    <col min="8707" max="8707" width="40.28515625" style="216" bestFit="1" customWidth="1"/>
    <col min="8708" max="8708" width="10" style="216" customWidth="1"/>
    <col min="8709" max="8709" width="10.140625" style="216" customWidth="1"/>
    <col min="8710" max="8710" width="12.28515625" style="216" customWidth="1"/>
    <col min="8711" max="8711" width="16.28515625" style="216" customWidth="1"/>
    <col min="8712" max="8712" width="12.85546875" style="216" customWidth="1"/>
    <col min="8713" max="8713" width="12.7109375" style="216" customWidth="1"/>
    <col min="8714" max="8714" width="14.42578125" style="216" customWidth="1"/>
    <col min="8715" max="8715" width="13.5703125" style="216" customWidth="1"/>
    <col min="8716" max="8960" width="9.140625" style="216"/>
    <col min="8961" max="8961" width="2.7109375" style="216" customWidth="1"/>
    <col min="8962" max="8962" width="9.140625" style="216"/>
    <col min="8963" max="8963" width="40.28515625" style="216" bestFit="1" customWidth="1"/>
    <col min="8964" max="8964" width="10" style="216" customWidth="1"/>
    <col min="8965" max="8965" width="10.140625" style="216" customWidth="1"/>
    <col min="8966" max="8966" width="12.28515625" style="216" customWidth="1"/>
    <col min="8967" max="8967" width="16.28515625" style="216" customWidth="1"/>
    <col min="8968" max="8968" width="12.85546875" style="216" customWidth="1"/>
    <col min="8969" max="8969" width="12.7109375" style="216" customWidth="1"/>
    <col min="8970" max="8970" width="14.42578125" style="216" customWidth="1"/>
    <col min="8971" max="8971" width="13.5703125" style="216" customWidth="1"/>
    <col min="8972" max="9216" width="9.140625" style="216"/>
    <col min="9217" max="9217" width="2.7109375" style="216" customWidth="1"/>
    <col min="9218" max="9218" width="9.140625" style="216"/>
    <col min="9219" max="9219" width="40.28515625" style="216" bestFit="1" customWidth="1"/>
    <col min="9220" max="9220" width="10" style="216" customWidth="1"/>
    <col min="9221" max="9221" width="10.140625" style="216" customWidth="1"/>
    <col min="9222" max="9222" width="12.28515625" style="216" customWidth="1"/>
    <col min="9223" max="9223" width="16.28515625" style="216" customWidth="1"/>
    <col min="9224" max="9224" width="12.85546875" style="216" customWidth="1"/>
    <col min="9225" max="9225" width="12.7109375" style="216" customWidth="1"/>
    <col min="9226" max="9226" width="14.42578125" style="216" customWidth="1"/>
    <col min="9227" max="9227" width="13.5703125" style="216" customWidth="1"/>
    <col min="9228" max="9472" width="9.140625" style="216"/>
    <col min="9473" max="9473" width="2.7109375" style="216" customWidth="1"/>
    <col min="9474" max="9474" width="9.140625" style="216"/>
    <col min="9475" max="9475" width="40.28515625" style="216" bestFit="1" customWidth="1"/>
    <col min="9476" max="9476" width="10" style="216" customWidth="1"/>
    <col min="9477" max="9477" width="10.140625" style="216" customWidth="1"/>
    <col min="9478" max="9478" width="12.28515625" style="216" customWidth="1"/>
    <col min="9479" max="9479" width="16.28515625" style="216" customWidth="1"/>
    <col min="9480" max="9480" width="12.85546875" style="216" customWidth="1"/>
    <col min="9481" max="9481" width="12.7109375" style="216" customWidth="1"/>
    <col min="9482" max="9482" width="14.42578125" style="216" customWidth="1"/>
    <col min="9483" max="9483" width="13.5703125" style="216" customWidth="1"/>
    <col min="9484" max="9728" width="9.140625" style="216"/>
    <col min="9729" max="9729" width="2.7109375" style="216" customWidth="1"/>
    <col min="9730" max="9730" width="9.140625" style="216"/>
    <col min="9731" max="9731" width="40.28515625" style="216" bestFit="1" customWidth="1"/>
    <col min="9732" max="9732" width="10" style="216" customWidth="1"/>
    <col min="9733" max="9733" width="10.140625" style="216" customWidth="1"/>
    <col min="9734" max="9734" width="12.28515625" style="216" customWidth="1"/>
    <col min="9735" max="9735" width="16.28515625" style="216" customWidth="1"/>
    <col min="9736" max="9736" width="12.85546875" style="216" customWidth="1"/>
    <col min="9737" max="9737" width="12.7109375" style="216" customWidth="1"/>
    <col min="9738" max="9738" width="14.42578125" style="216" customWidth="1"/>
    <col min="9739" max="9739" width="13.5703125" style="216" customWidth="1"/>
    <col min="9740" max="9984" width="9.140625" style="216"/>
    <col min="9985" max="9985" width="2.7109375" style="216" customWidth="1"/>
    <col min="9986" max="9986" width="9.140625" style="216"/>
    <col min="9987" max="9987" width="40.28515625" style="216" bestFit="1" customWidth="1"/>
    <col min="9988" max="9988" width="10" style="216" customWidth="1"/>
    <col min="9989" max="9989" width="10.140625" style="216" customWidth="1"/>
    <col min="9990" max="9990" width="12.28515625" style="216" customWidth="1"/>
    <col min="9991" max="9991" width="16.28515625" style="216" customWidth="1"/>
    <col min="9992" max="9992" width="12.85546875" style="216" customWidth="1"/>
    <col min="9993" max="9993" width="12.7109375" style="216" customWidth="1"/>
    <col min="9994" max="9994" width="14.42578125" style="216" customWidth="1"/>
    <col min="9995" max="9995" width="13.5703125" style="216" customWidth="1"/>
    <col min="9996" max="10240" width="9.140625" style="216"/>
    <col min="10241" max="10241" width="2.7109375" style="216" customWidth="1"/>
    <col min="10242" max="10242" width="9.140625" style="216"/>
    <col min="10243" max="10243" width="40.28515625" style="216" bestFit="1" customWidth="1"/>
    <col min="10244" max="10244" width="10" style="216" customWidth="1"/>
    <col min="10245" max="10245" width="10.140625" style="216" customWidth="1"/>
    <col min="10246" max="10246" width="12.28515625" style="216" customWidth="1"/>
    <col min="10247" max="10247" width="16.28515625" style="216" customWidth="1"/>
    <col min="10248" max="10248" width="12.85546875" style="216" customWidth="1"/>
    <col min="10249" max="10249" width="12.7109375" style="216" customWidth="1"/>
    <col min="10250" max="10250" width="14.42578125" style="216" customWidth="1"/>
    <col min="10251" max="10251" width="13.5703125" style="216" customWidth="1"/>
    <col min="10252" max="10496" width="9.140625" style="216"/>
    <col min="10497" max="10497" width="2.7109375" style="216" customWidth="1"/>
    <col min="10498" max="10498" width="9.140625" style="216"/>
    <col min="10499" max="10499" width="40.28515625" style="216" bestFit="1" customWidth="1"/>
    <col min="10500" max="10500" width="10" style="216" customWidth="1"/>
    <col min="10501" max="10501" width="10.140625" style="216" customWidth="1"/>
    <col min="10502" max="10502" width="12.28515625" style="216" customWidth="1"/>
    <col min="10503" max="10503" width="16.28515625" style="216" customWidth="1"/>
    <col min="10504" max="10504" width="12.85546875" style="216" customWidth="1"/>
    <col min="10505" max="10505" width="12.7109375" style="216" customWidth="1"/>
    <col min="10506" max="10506" width="14.42578125" style="216" customWidth="1"/>
    <col min="10507" max="10507" width="13.5703125" style="216" customWidth="1"/>
    <col min="10508" max="10752" width="9.140625" style="216"/>
    <col min="10753" max="10753" width="2.7109375" style="216" customWidth="1"/>
    <col min="10754" max="10754" width="9.140625" style="216"/>
    <col min="10755" max="10755" width="40.28515625" style="216" bestFit="1" customWidth="1"/>
    <col min="10756" max="10756" width="10" style="216" customWidth="1"/>
    <col min="10757" max="10757" width="10.140625" style="216" customWidth="1"/>
    <col min="10758" max="10758" width="12.28515625" style="216" customWidth="1"/>
    <col min="10759" max="10759" width="16.28515625" style="216" customWidth="1"/>
    <col min="10760" max="10760" width="12.85546875" style="216" customWidth="1"/>
    <col min="10761" max="10761" width="12.7109375" style="216" customWidth="1"/>
    <col min="10762" max="10762" width="14.42578125" style="216" customWidth="1"/>
    <col min="10763" max="10763" width="13.5703125" style="216" customWidth="1"/>
    <col min="10764" max="11008" width="9.140625" style="216"/>
    <col min="11009" max="11009" width="2.7109375" style="216" customWidth="1"/>
    <col min="11010" max="11010" width="9.140625" style="216"/>
    <col min="11011" max="11011" width="40.28515625" style="216" bestFit="1" customWidth="1"/>
    <col min="11012" max="11012" width="10" style="216" customWidth="1"/>
    <col min="11013" max="11013" width="10.140625" style="216" customWidth="1"/>
    <col min="11014" max="11014" width="12.28515625" style="216" customWidth="1"/>
    <col min="11015" max="11015" width="16.28515625" style="216" customWidth="1"/>
    <col min="11016" max="11016" width="12.85546875" style="216" customWidth="1"/>
    <col min="11017" max="11017" width="12.7109375" style="216" customWidth="1"/>
    <col min="11018" max="11018" width="14.42578125" style="216" customWidth="1"/>
    <col min="11019" max="11019" width="13.5703125" style="216" customWidth="1"/>
    <col min="11020" max="11264" width="9.140625" style="216"/>
    <col min="11265" max="11265" width="2.7109375" style="216" customWidth="1"/>
    <col min="11266" max="11266" width="9.140625" style="216"/>
    <col min="11267" max="11267" width="40.28515625" style="216" bestFit="1" customWidth="1"/>
    <col min="11268" max="11268" width="10" style="216" customWidth="1"/>
    <col min="11269" max="11269" width="10.140625" style="216" customWidth="1"/>
    <col min="11270" max="11270" width="12.28515625" style="216" customWidth="1"/>
    <col min="11271" max="11271" width="16.28515625" style="216" customWidth="1"/>
    <col min="11272" max="11272" width="12.85546875" style="216" customWidth="1"/>
    <col min="11273" max="11273" width="12.7109375" style="216" customWidth="1"/>
    <col min="11274" max="11274" width="14.42578125" style="216" customWidth="1"/>
    <col min="11275" max="11275" width="13.5703125" style="216" customWidth="1"/>
    <col min="11276" max="11520" width="9.140625" style="216"/>
    <col min="11521" max="11521" width="2.7109375" style="216" customWidth="1"/>
    <col min="11522" max="11522" width="9.140625" style="216"/>
    <col min="11523" max="11523" width="40.28515625" style="216" bestFit="1" customWidth="1"/>
    <col min="11524" max="11524" width="10" style="216" customWidth="1"/>
    <col min="11525" max="11525" width="10.140625" style="216" customWidth="1"/>
    <col min="11526" max="11526" width="12.28515625" style="216" customWidth="1"/>
    <col min="11527" max="11527" width="16.28515625" style="216" customWidth="1"/>
    <col min="11528" max="11528" width="12.85546875" style="216" customWidth="1"/>
    <col min="11529" max="11529" width="12.7109375" style="216" customWidth="1"/>
    <col min="11530" max="11530" width="14.42578125" style="216" customWidth="1"/>
    <col min="11531" max="11531" width="13.5703125" style="216" customWidth="1"/>
    <col min="11532" max="11776" width="9.140625" style="216"/>
    <col min="11777" max="11777" width="2.7109375" style="216" customWidth="1"/>
    <col min="11778" max="11778" width="9.140625" style="216"/>
    <col min="11779" max="11779" width="40.28515625" style="216" bestFit="1" customWidth="1"/>
    <col min="11780" max="11780" width="10" style="216" customWidth="1"/>
    <col min="11781" max="11781" width="10.140625" style="216" customWidth="1"/>
    <col min="11782" max="11782" width="12.28515625" style="216" customWidth="1"/>
    <col min="11783" max="11783" width="16.28515625" style="216" customWidth="1"/>
    <col min="11784" max="11784" width="12.85546875" style="216" customWidth="1"/>
    <col min="11785" max="11785" width="12.7109375" style="216" customWidth="1"/>
    <col min="11786" max="11786" width="14.42578125" style="216" customWidth="1"/>
    <col min="11787" max="11787" width="13.5703125" style="216" customWidth="1"/>
    <col min="11788" max="12032" width="9.140625" style="216"/>
    <col min="12033" max="12033" width="2.7109375" style="216" customWidth="1"/>
    <col min="12034" max="12034" width="9.140625" style="216"/>
    <col min="12035" max="12035" width="40.28515625" style="216" bestFit="1" customWidth="1"/>
    <col min="12036" max="12036" width="10" style="216" customWidth="1"/>
    <col min="12037" max="12037" width="10.140625" style="216" customWidth="1"/>
    <col min="12038" max="12038" width="12.28515625" style="216" customWidth="1"/>
    <col min="12039" max="12039" width="16.28515625" style="216" customWidth="1"/>
    <col min="12040" max="12040" width="12.85546875" style="216" customWidth="1"/>
    <col min="12041" max="12041" width="12.7109375" style="216" customWidth="1"/>
    <col min="12042" max="12042" width="14.42578125" style="216" customWidth="1"/>
    <col min="12043" max="12043" width="13.5703125" style="216" customWidth="1"/>
    <col min="12044" max="12288" width="9.140625" style="216"/>
    <col min="12289" max="12289" width="2.7109375" style="216" customWidth="1"/>
    <col min="12290" max="12290" width="9.140625" style="216"/>
    <col min="12291" max="12291" width="40.28515625" style="216" bestFit="1" customWidth="1"/>
    <col min="12292" max="12292" width="10" style="216" customWidth="1"/>
    <col min="12293" max="12293" width="10.140625" style="216" customWidth="1"/>
    <col min="12294" max="12294" width="12.28515625" style="216" customWidth="1"/>
    <col min="12295" max="12295" width="16.28515625" style="216" customWidth="1"/>
    <col min="12296" max="12296" width="12.85546875" style="216" customWidth="1"/>
    <col min="12297" max="12297" width="12.7109375" style="216" customWidth="1"/>
    <col min="12298" max="12298" width="14.42578125" style="216" customWidth="1"/>
    <col min="12299" max="12299" width="13.5703125" style="216" customWidth="1"/>
    <col min="12300" max="12544" width="9.140625" style="216"/>
    <col min="12545" max="12545" width="2.7109375" style="216" customWidth="1"/>
    <col min="12546" max="12546" width="9.140625" style="216"/>
    <col min="12547" max="12547" width="40.28515625" style="216" bestFit="1" customWidth="1"/>
    <col min="12548" max="12548" width="10" style="216" customWidth="1"/>
    <col min="12549" max="12549" width="10.140625" style="216" customWidth="1"/>
    <col min="12550" max="12550" width="12.28515625" style="216" customWidth="1"/>
    <col min="12551" max="12551" width="16.28515625" style="216" customWidth="1"/>
    <col min="12552" max="12552" width="12.85546875" style="216" customWidth="1"/>
    <col min="12553" max="12553" width="12.7109375" style="216" customWidth="1"/>
    <col min="12554" max="12554" width="14.42578125" style="216" customWidth="1"/>
    <col min="12555" max="12555" width="13.5703125" style="216" customWidth="1"/>
    <col min="12556" max="12800" width="9.140625" style="216"/>
    <col min="12801" max="12801" width="2.7109375" style="216" customWidth="1"/>
    <col min="12802" max="12802" width="9.140625" style="216"/>
    <col min="12803" max="12803" width="40.28515625" style="216" bestFit="1" customWidth="1"/>
    <col min="12804" max="12804" width="10" style="216" customWidth="1"/>
    <col min="12805" max="12805" width="10.140625" style="216" customWidth="1"/>
    <col min="12806" max="12806" width="12.28515625" style="216" customWidth="1"/>
    <col min="12807" max="12807" width="16.28515625" style="216" customWidth="1"/>
    <col min="12808" max="12808" width="12.85546875" style="216" customWidth="1"/>
    <col min="12809" max="12809" width="12.7109375" style="216" customWidth="1"/>
    <col min="12810" max="12810" width="14.42578125" style="216" customWidth="1"/>
    <col min="12811" max="12811" width="13.5703125" style="216" customWidth="1"/>
    <col min="12812" max="13056" width="9.140625" style="216"/>
    <col min="13057" max="13057" width="2.7109375" style="216" customWidth="1"/>
    <col min="13058" max="13058" width="9.140625" style="216"/>
    <col min="13059" max="13059" width="40.28515625" style="216" bestFit="1" customWidth="1"/>
    <col min="13060" max="13060" width="10" style="216" customWidth="1"/>
    <col min="13061" max="13061" width="10.140625" style="216" customWidth="1"/>
    <col min="13062" max="13062" width="12.28515625" style="216" customWidth="1"/>
    <col min="13063" max="13063" width="16.28515625" style="216" customWidth="1"/>
    <col min="13064" max="13064" width="12.85546875" style="216" customWidth="1"/>
    <col min="13065" max="13065" width="12.7109375" style="216" customWidth="1"/>
    <col min="13066" max="13066" width="14.42578125" style="216" customWidth="1"/>
    <col min="13067" max="13067" width="13.5703125" style="216" customWidth="1"/>
    <col min="13068" max="13312" width="9.140625" style="216"/>
    <col min="13313" max="13313" width="2.7109375" style="216" customWidth="1"/>
    <col min="13314" max="13314" width="9.140625" style="216"/>
    <col min="13315" max="13315" width="40.28515625" style="216" bestFit="1" customWidth="1"/>
    <col min="13316" max="13316" width="10" style="216" customWidth="1"/>
    <col min="13317" max="13317" width="10.140625" style="216" customWidth="1"/>
    <col min="13318" max="13318" width="12.28515625" style="216" customWidth="1"/>
    <col min="13319" max="13319" width="16.28515625" style="216" customWidth="1"/>
    <col min="13320" max="13320" width="12.85546875" style="216" customWidth="1"/>
    <col min="13321" max="13321" width="12.7109375" style="216" customWidth="1"/>
    <col min="13322" max="13322" width="14.42578125" style="216" customWidth="1"/>
    <col min="13323" max="13323" width="13.5703125" style="216" customWidth="1"/>
    <col min="13324" max="13568" width="9.140625" style="216"/>
    <col min="13569" max="13569" width="2.7109375" style="216" customWidth="1"/>
    <col min="13570" max="13570" width="9.140625" style="216"/>
    <col min="13571" max="13571" width="40.28515625" style="216" bestFit="1" customWidth="1"/>
    <col min="13572" max="13572" width="10" style="216" customWidth="1"/>
    <col min="13573" max="13573" width="10.140625" style="216" customWidth="1"/>
    <col min="13574" max="13574" width="12.28515625" style="216" customWidth="1"/>
    <col min="13575" max="13575" width="16.28515625" style="216" customWidth="1"/>
    <col min="13576" max="13576" width="12.85546875" style="216" customWidth="1"/>
    <col min="13577" max="13577" width="12.7109375" style="216" customWidth="1"/>
    <col min="13578" max="13578" width="14.42578125" style="216" customWidth="1"/>
    <col min="13579" max="13579" width="13.5703125" style="216" customWidth="1"/>
    <col min="13580" max="13824" width="9.140625" style="216"/>
    <col min="13825" max="13825" width="2.7109375" style="216" customWidth="1"/>
    <col min="13826" max="13826" width="9.140625" style="216"/>
    <col min="13827" max="13827" width="40.28515625" style="216" bestFit="1" customWidth="1"/>
    <col min="13828" max="13828" width="10" style="216" customWidth="1"/>
    <col min="13829" max="13829" width="10.140625" style="216" customWidth="1"/>
    <col min="13830" max="13830" width="12.28515625" style="216" customWidth="1"/>
    <col min="13831" max="13831" width="16.28515625" style="216" customWidth="1"/>
    <col min="13832" max="13832" width="12.85546875" style="216" customWidth="1"/>
    <col min="13833" max="13833" width="12.7109375" style="216" customWidth="1"/>
    <col min="13834" max="13834" width="14.42578125" style="216" customWidth="1"/>
    <col min="13835" max="13835" width="13.5703125" style="216" customWidth="1"/>
    <col min="13836" max="14080" width="9.140625" style="216"/>
    <col min="14081" max="14081" width="2.7109375" style="216" customWidth="1"/>
    <col min="14082" max="14082" width="9.140625" style="216"/>
    <col min="14083" max="14083" width="40.28515625" style="216" bestFit="1" customWidth="1"/>
    <col min="14084" max="14084" width="10" style="216" customWidth="1"/>
    <col min="14085" max="14085" width="10.140625" style="216" customWidth="1"/>
    <col min="14086" max="14086" width="12.28515625" style="216" customWidth="1"/>
    <col min="14087" max="14087" width="16.28515625" style="216" customWidth="1"/>
    <col min="14088" max="14088" width="12.85546875" style="216" customWidth="1"/>
    <col min="14089" max="14089" width="12.7109375" style="216" customWidth="1"/>
    <col min="14090" max="14090" width="14.42578125" style="216" customWidth="1"/>
    <col min="14091" max="14091" width="13.5703125" style="216" customWidth="1"/>
    <col min="14092" max="14336" width="9.140625" style="216"/>
    <col min="14337" max="14337" width="2.7109375" style="216" customWidth="1"/>
    <col min="14338" max="14338" width="9.140625" style="216"/>
    <col min="14339" max="14339" width="40.28515625" style="216" bestFit="1" customWidth="1"/>
    <col min="14340" max="14340" width="10" style="216" customWidth="1"/>
    <col min="14341" max="14341" width="10.140625" style="216" customWidth="1"/>
    <col min="14342" max="14342" width="12.28515625" style="216" customWidth="1"/>
    <col min="14343" max="14343" width="16.28515625" style="216" customWidth="1"/>
    <col min="14344" max="14344" width="12.85546875" style="216" customWidth="1"/>
    <col min="14345" max="14345" width="12.7109375" style="216" customWidth="1"/>
    <col min="14346" max="14346" width="14.42578125" style="216" customWidth="1"/>
    <col min="14347" max="14347" width="13.5703125" style="216" customWidth="1"/>
    <col min="14348" max="14592" width="9.140625" style="216"/>
    <col min="14593" max="14593" width="2.7109375" style="216" customWidth="1"/>
    <col min="14594" max="14594" width="9.140625" style="216"/>
    <col min="14595" max="14595" width="40.28515625" style="216" bestFit="1" customWidth="1"/>
    <col min="14596" max="14596" width="10" style="216" customWidth="1"/>
    <col min="14597" max="14597" width="10.140625" style="216" customWidth="1"/>
    <col min="14598" max="14598" width="12.28515625" style="216" customWidth="1"/>
    <col min="14599" max="14599" width="16.28515625" style="216" customWidth="1"/>
    <col min="14600" max="14600" width="12.85546875" style="216" customWidth="1"/>
    <col min="14601" max="14601" width="12.7109375" style="216" customWidth="1"/>
    <col min="14602" max="14602" width="14.42578125" style="216" customWidth="1"/>
    <col min="14603" max="14603" width="13.5703125" style="216" customWidth="1"/>
    <col min="14604" max="14848" width="9.140625" style="216"/>
    <col min="14849" max="14849" width="2.7109375" style="216" customWidth="1"/>
    <col min="14850" max="14850" width="9.140625" style="216"/>
    <col min="14851" max="14851" width="40.28515625" style="216" bestFit="1" customWidth="1"/>
    <col min="14852" max="14852" width="10" style="216" customWidth="1"/>
    <col min="14853" max="14853" width="10.140625" style="216" customWidth="1"/>
    <col min="14854" max="14854" width="12.28515625" style="216" customWidth="1"/>
    <col min="14855" max="14855" width="16.28515625" style="216" customWidth="1"/>
    <col min="14856" max="14856" width="12.85546875" style="216" customWidth="1"/>
    <col min="14857" max="14857" width="12.7109375" style="216" customWidth="1"/>
    <col min="14858" max="14858" width="14.42578125" style="216" customWidth="1"/>
    <col min="14859" max="14859" width="13.5703125" style="216" customWidth="1"/>
    <col min="14860" max="15104" width="9.140625" style="216"/>
    <col min="15105" max="15105" width="2.7109375" style="216" customWidth="1"/>
    <col min="15106" max="15106" width="9.140625" style="216"/>
    <col min="15107" max="15107" width="40.28515625" style="216" bestFit="1" customWidth="1"/>
    <col min="15108" max="15108" width="10" style="216" customWidth="1"/>
    <col min="15109" max="15109" width="10.140625" style="216" customWidth="1"/>
    <col min="15110" max="15110" width="12.28515625" style="216" customWidth="1"/>
    <col min="15111" max="15111" width="16.28515625" style="216" customWidth="1"/>
    <col min="15112" max="15112" width="12.85546875" style="216" customWidth="1"/>
    <col min="15113" max="15113" width="12.7109375" style="216" customWidth="1"/>
    <col min="15114" max="15114" width="14.42578125" style="216" customWidth="1"/>
    <col min="15115" max="15115" width="13.5703125" style="216" customWidth="1"/>
    <col min="15116" max="15360" width="9.140625" style="216"/>
    <col min="15361" max="15361" width="2.7109375" style="216" customWidth="1"/>
    <col min="15362" max="15362" width="9.140625" style="216"/>
    <col min="15363" max="15363" width="40.28515625" style="216" bestFit="1" customWidth="1"/>
    <col min="15364" max="15364" width="10" style="216" customWidth="1"/>
    <col min="15365" max="15365" width="10.140625" style="216" customWidth="1"/>
    <col min="15366" max="15366" width="12.28515625" style="216" customWidth="1"/>
    <col min="15367" max="15367" width="16.28515625" style="216" customWidth="1"/>
    <col min="15368" max="15368" width="12.85546875" style="216" customWidth="1"/>
    <col min="15369" max="15369" width="12.7109375" style="216" customWidth="1"/>
    <col min="15370" max="15370" width="14.42578125" style="216" customWidth="1"/>
    <col min="15371" max="15371" width="13.5703125" style="216" customWidth="1"/>
    <col min="15372" max="15616" width="9.140625" style="216"/>
    <col min="15617" max="15617" width="2.7109375" style="216" customWidth="1"/>
    <col min="15618" max="15618" width="9.140625" style="216"/>
    <col min="15619" max="15619" width="40.28515625" style="216" bestFit="1" customWidth="1"/>
    <col min="15620" max="15620" width="10" style="216" customWidth="1"/>
    <col min="15621" max="15621" width="10.140625" style="216" customWidth="1"/>
    <col min="15622" max="15622" width="12.28515625" style="216" customWidth="1"/>
    <col min="15623" max="15623" width="16.28515625" style="216" customWidth="1"/>
    <col min="15624" max="15624" width="12.85546875" style="216" customWidth="1"/>
    <col min="15625" max="15625" width="12.7109375" style="216" customWidth="1"/>
    <col min="15626" max="15626" width="14.42578125" style="216" customWidth="1"/>
    <col min="15627" max="15627" width="13.5703125" style="216" customWidth="1"/>
    <col min="15628" max="15872" width="9.140625" style="216"/>
    <col min="15873" max="15873" width="2.7109375" style="216" customWidth="1"/>
    <col min="15874" max="15874" width="9.140625" style="216"/>
    <col min="15875" max="15875" width="40.28515625" style="216" bestFit="1" customWidth="1"/>
    <col min="15876" max="15876" width="10" style="216" customWidth="1"/>
    <col min="15877" max="15877" width="10.140625" style="216" customWidth="1"/>
    <col min="15878" max="15878" width="12.28515625" style="216" customWidth="1"/>
    <col min="15879" max="15879" width="16.28515625" style="216" customWidth="1"/>
    <col min="15880" max="15880" width="12.85546875" style="216" customWidth="1"/>
    <col min="15881" max="15881" width="12.7109375" style="216" customWidth="1"/>
    <col min="15882" max="15882" width="14.42578125" style="216" customWidth="1"/>
    <col min="15883" max="15883" width="13.5703125" style="216" customWidth="1"/>
    <col min="15884" max="16128" width="9.140625" style="216"/>
    <col min="16129" max="16129" width="2.7109375" style="216" customWidth="1"/>
    <col min="16130" max="16130" width="9.140625" style="216"/>
    <col min="16131" max="16131" width="40.28515625" style="216" bestFit="1" customWidth="1"/>
    <col min="16132" max="16132" width="10" style="216" customWidth="1"/>
    <col min="16133" max="16133" width="10.140625" style="216" customWidth="1"/>
    <col min="16134" max="16134" width="12.28515625" style="216" customWidth="1"/>
    <col min="16135" max="16135" width="16.28515625" style="216" customWidth="1"/>
    <col min="16136" max="16136" width="12.85546875" style="216" customWidth="1"/>
    <col min="16137" max="16137" width="12.7109375" style="216" customWidth="1"/>
    <col min="16138" max="16138" width="14.42578125" style="216" customWidth="1"/>
    <col min="16139" max="16139" width="13.5703125" style="216" customWidth="1"/>
    <col min="16140" max="16384" width="9.140625" style="216"/>
  </cols>
  <sheetData>
    <row r="1" spans="1:12" x14ac:dyDescent="0.2">
      <c r="D1" s="218"/>
      <c r="E1" s="219"/>
      <c r="F1" s="219"/>
      <c r="G1" s="219"/>
      <c r="H1" s="219"/>
      <c r="J1" s="217" t="s">
        <v>419</v>
      </c>
      <c r="K1" s="766" t="str">
        <f>EBNUMBER</f>
        <v>EB-2014-0113</v>
      </c>
      <c r="L1" s="219"/>
    </row>
    <row r="2" spans="1:12" x14ac:dyDescent="0.2">
      <c r="D2" s="218"/>
      <c r="E2" s="219"/>
      <c r="F2" s="219"/>
      <c r="G2" s="219"/>
      <c r="H2" s="219"/>
      <c r="J2" s="217" t="s">
        <v>420</v>
      </c>
      <c r="K2" s="767">
        <v>2</v>
      </c>
      <c r="L2" s="219"/>
    </row>
    <row r="3" spans="1:12" x14ac:dyDescent="0.2">
      <c r="D3" s="218"/>
      <c r="E3" s="219"/>
      <c r="F3" s="219"/>
      <c r="G3" s="219"/>
      <c r="H3" s="219"/>
      <c r="J3" s="217" t="s">
        <v>421</v>
      </c>
      <c r="K3" s="767">
        <v>2</v>
      </c>
      <c r="L3" s="219"/>
    </row>
    <row r="4" spans="1:12" x14ac:dyDescent="0.2">
      <c r="D4" s="218"/>
      <c r="E4" s="219"/>
      <c r="F4" s="219"/>
      <c r="G4" s="219"/>
      <c r="H4" s="219"/>
      <c r="J4" s="217" t="s">
        <v>422</v>
      </c>
      <c r="K4" s="767">
        <v>2</v>
      </c>
      <c r="L4" s="219"/>
    </row>
    <row r="5" spans="1:12" x14ac:dyDescent="0.2">
      <c r="D5" s="218"/>
      <c r="E5" s="219"/>
      <c r="F5" s="219"/>
      <c r="G5" s="219"/>
      <c r="H5" s="219"/>
      <c r="J5" s="217" t="s">
        <v>423</v>
      </c>
      <c r="K5" s="768"/>
      <c r="L5" s="219"/>
    </row>
    <row r="6" spans="1:12" x14ac:dyDescent="0.2">
      <c r="D6" s="218"/>
      <c r="E6" s="219"/>
      <c r="F6" s="219"/>
      <c r="G6" s="219"/>
      <c r="H6" s="219"/>
      <c r="J6" s="217"/>
      <c r="K6" s="766"/>
      <c r="L6" s="219"/>
    </row>
    <row r="7" spans="1:12" x14ac:dyDescent="0.2">
      <c r="D7" s="218"/>
      <c r="E7" s="219"/>
      <c r="F7" s="219"/>
      <c r="G7" s="219"/>
      <c r="H7" s="220"/>
      <c r="J7" s="217" t="s">
        <v>424</v>
      </c>
      <c r="K7" s="1467">
        <v>42119</v>
      </c>
      <c r="L7" s="220"/>
    </row>
    <row r="9" spans="1:12" ht="18" x14ac:dyDescent="0.2">
      <c r="A9" s="1785" t="s">
        <v>2147</v>
      </c>
      <c r="B9" s="1785"/>
      <c r="C9" s="1785"/>
      <c r="D9" s="1785"/>
      <c r="E9" s="1785"/>
      <c r="F9" s="1785"/>
      <c r="G9" s="1785"/>
      <c r="H9" s="1785"/>
      <c r="I9" s="1785"/>
      <c r="J9" s="1785"/>
      <c r="K9" s="1785"/>
    </row>
    <row r="10" spans="1:12" ht="18" x14ac:dyDescent="0.2">
      <c r="A10" s="1785" t="s">
        <v>3</v>
      </c>
      <c r="B10" s="1785"/>
      <c r="C10" s="1785"/>
      <c r="D10" s="1785"/>
      <c r="E10" s="1785"/>
      <c r="F10" s="1785"/>
      <c r="G10" s="1785"/>
      <c r="H10" s="1785"/>
      <c r="I10" s="1785"/>
      <c r="J10" s="1785"/>
      <c r="K10" s="1785"/>
    </row>
    <row r="11" spans="1:12" ht="24" customHeight="1" x14ac:dyDescent="0.2">
      <c r="A11" s="1877" t="s">
        <v>535</v>
      </c>
      <c r="B11" s="1877"/>
      <c r="C11" s="1877"/>
      <c r="D11" s="1877"/>
      <c r="E11" s="1877"/>
      <c r="F11" s="1877"/>
      <c r="G11" s="1877"/>
      <c r="H11" s="1877"/>
      <c r="I11" s="1877"/>
      <c r="J11" s="1877"/>
      <c r="K11" s="1877"/>
    </row>
    <row r="12" spans="1:12" ht="13.5" customHeight="1" x14ac:dyDescent="0.25">
      <c r="A12" s="671"/>
      <c r="B12" s="671"/>
      <c r="C12" s="676">
        <v>2013</v>
      </c>
      <c r="D12" s="676" t="s">
        <v>162</v>
      </c>
      <c r="E12" s="671"/>
      <c r="F12" s="671"/>
      <c r="G12" s="671"/>
      <c r="H12" s="671"/>
    </row>
    <row r="13" spans="1:12" ht="13.5" thickBot="1" x14ac:dyDescent="0.25"/>
    <row r="14" spans="1:12" ht="52.5" customHeight="1" x14ac:dyDescent="0.2">
      <c r="A14" s="1871" t="s">
        <v>4</v>
      </c>
      <c r="B14" s="1873" t="s">
        <v>346</v>
      </c>
      <c r="C14" s="221" t="s">
        <v>348</v>
      </c>
      <c r="D14" s="221" t="s">
        <v>530</v>
      </c>
      <c r="E14" s="221" t="s">
        <v>520</v>
      </c>
      <c r="F14" s="222" t="s">
        <v>533</v>
      </c>
      <c r="G14" s="1880" t="s">
        <v>786</v>
      </c>
      <c r="H14" s="222" t="s">
        <v>523</v>
      </c>
      <c r="I14" s="222" t="s">
        <v>787</v>
      </c>
      <c r="J14" s="1880" t="s">
        <v>720</v>
      </c>
      <c r="K14" s="222" t="s">
        <v>788</v>
      </c>
    </row>
    <row r="15" spans="1:12" ht="54" customHeight="1" thickBot="1" x14ac:dyDescent="0.25">
      <c r="A15" s="1878"/>
      <c r="B15" s="1879"/>
      <c r="C15" s="294" t="s">
        <v>6</v>
      </c>
      <c r="D15" s="294" t="s">
        <v>9</v>
      </c>
      <c r="E15" s="294" t="s">
        <v>10</v>
      </c>
      <c r="F15" s="295" t="s">
        <v>789</v>
      </c>
      <c r="G15" s="1881"/>
      <c r="H15" s="296" t="s">
        <v>517</v>
      </c>
      <c r="I15" s="296" t="s">
        <v>532</v>
      </c>
      <c r="J15" s="1882"/>
      <c r="K15" s="297" t="s">
        <v>790</v>
      </c>
    </row>
    <row r="16" spans="1:12" ht="25.5" x14ac:dyDescent="0.2">
      <c r="A16" s="782">
        <v>1611</v>
      </c>
      <c r="B16" s="783" t="s">
        <v>515</v>
      </c>
      <c r="C16" s="204"/>
      <c r="D16" s="293"/>
      <c r="E16" s="589">
        <f t="shared" ref="E16:E55" si="0">IF(D16=0,0,1/D16)</f>
        <v>0</v>
      </c>
      <c r="F16" s="796">
        <f>IF(D16=0,+'App.2-CG_MIFRS_DepExp_2012'!O16,+'App.2-CG_MIFRS_DepExp_2012'!O16+((C16*0.5)/D16))</f>
        <v>0</v>
      </c>
      <c r="G16" s="204"/>
      <c r="H16" s="796">
        <f t="shared" ref="H16:H55" si="1">IF(ISERROR(+F16-G16), 0, +F16-G16)</f>
        <v>0</v>
      </c>
      <c r="I16" s="796">
        <f t="shared" ref="I16:I55" si="2">IF(D16=0,0,+(C16)/D16)</f>
        <v>0</v>
      </c>
      <c r="J16" s="204"/>
      <c r="K16" s="796">
        <f>IF(ISERROR(+I16+'App.2-CG_MIFRS_DepExp_2012'!O16-J16), 0, +I16+'App.2-CG_MIFRS_DepExp_2012'!O16-J16)</f>
        <v>0</v>
      </c>
    </row>
    <row r="17" spans="1:11" ht="25.5" x14ac:dyDescent="0.2">
      <c r="A17" s="782">
        <v>1612</v>
      </c>
      <c r="B17" s="783" t="s">
        <v>650</v>
      </c>
      <c r="C17" s="204"/>
      <c r="D17" s="282"/>
      <c r="E17" s="226">
        <f t="shared" si="0"/>
        <v>0</v>
      </c>
      <c r="F17" s="796">
        <f>IF(D17=0,+'App.2-CG_MIFRS_DepExp_2012'!O17,+'App.2-CG_MIFRS_DepExp_2012'!O17+((C17*0.5)/D17))</f>
        <v>0</v>
      </c>
      <c r="G17" s="204"/>
      <c r="H17" s="796">
        <f t="shared" si="1"/>
        <v>0</v>
      </c>
      <c r="I17" s="796">
        <f t="shared" si="2"/>
        <v>0</v>
      </c>
      <c r="J17" s="204"/>
      <c r="K17" s="796">
        <f>IF(ISERROR(+I17+'App.2-CG_MIFRS_DepExp_2012'!O17-J17), 0, +I17+'App.2-CG_MIFRS_DepExp_2012'!O17-J17)</f>
        <v>0</v>
      </c>
    </row>
    <row r="18" spans="1:11" x14ac:dyDescent="0.2">
      <c r="A18" s="785">
        <v>1805</v>
      </c>
      <c r="B18" s="786" t="s">
        <v>383</v>
      </c>
      <c r="C18" s="204"/>
      <c r="D18" s="282"/>
      <c r="E18" s="226">
        <f t="shared" si="0"/>
        <v>0</v>
      </c>
      <c r="F18" s="796">
        <f>IF(D18=0,+'App.2-CG_MIFRS_DepExp_2012'!O18,+'App.2-CG_MIFRS_DepExp_2012'!O18+((C18*0.5)/D18))</f>
        <v>0</v>
      </c>
      <c r="G18" s="204"/>
      <c r="H18" s="796">
        <f t="shared" si="1"/>
        <v>0</v>
      </c>
      <c r="I18" s="796">
        <f t="shared" si="2"/>
        <v>0</v>
      </c>
      <c r="J18" s="204"/>
      <c r="K18" s="796">
        <f>IF(ISERROR(+I18+'App.2-CG_MIFRS_DepExp_2012'!O18-J18), 0, +I18+'App.2-CG_MIFRS_DepExp_2012'!O18-J18)</f>
        <v>0</v>
      </c>
    </row>
    <row r="19" spans="1:11" x14ac:dyDescent="0.2">
      <c r="A19" s="782">
        <v>1808</v>
      </c>
      <c r="B19" s="787" t="s">
        <v>384</v>
      </c>
      <c r="C19" s="204"/>
      <c r="D19" s="282"/>
      <c r="E19" s="226">
        <f t="shared" si="0"/>
        <v>0</v>
      </c>
      <c r="F19" s="796">
        <f>IF(D19=0,+'App.2-CG_MIFRS_DepExp_2012'!O19,+'App.2-CG_MIFRS_DepExp_2012'!O19+((C19*0.5)/D19))</f>
        <v>0</v>
      </c>
      <c r="G19" s="204"/>
      <c r="H19" s="796">
        <f t="shared" si="1"/>
        <v>0</v>
      </c>
      <c r="I19" s="796">
        <f t="shared" si="2"/>
        <v>0</v>
      </c>
      <c r="J19" s="204"/>
      <c r="K19" s="796">
        <f>IF(ISERROR(+I19+'App.2-CG_MIFRS_DepExp_2012'!O19-J19), 0, +I19+'App.2-CG_MIFRS_DepExp_2012'!O19-J19)</f>
        <v>0</v>
      </c>
    </row>
    <row r="20" spans="1:11" x14ac:dyDescent="0.2">
      <c r="A20" s="782">
        <v>1810</v>
      </c>
      <c r="B20" s="787" t="s">
        <v>417</v>
      </c>
      <c r="C20" s="204"/>
      <c r="D20" s="282"/>
      <c r="E20" s="226">
        <f t="shared" si="0"/>
        <v>0</v>
      </c>
      <c r="F20" s="796">
        <f>IF(D20=0,+'App.2-CG_MIFRS_DepExp_2012'!O20,+'App.2-CG_MIFRS_DepExp_2012'!O20+((C20*0.5)/D20))</f>
        <v>0</v>
      </c>
      <c r="G20" s="204"/>
      <c r="H20" s="796">
        <f t="shared" si="1"/>
        <v>0</v>
      </c>
      <c r="I20" s="796">
        <f t="shared" si="2"/>
        <v>0</v>
      </c>
      <c r="J20" s="204"/>
      <c r="K20" s="796">
        <f>IF(ISERROR(+I20+'App.2-CG_MIFRS_DepExp_2012'!O20-J20), 0, +I20+'App.2-CG_MIFRS_DepExp_2012'!O20-J20)</f>
        <v>0</v>
      </c>
    </row>
    <row r="21" spans="1:11" x14ac:dyDescent="0.2">
      <c r="A21" s="782">
        <v>1815</v>
      </c>
      <c r="B21" s="787" t="s">
        <v>385</v>
      </c>
      <c r="C21" s="204"/>
      <c r="D21" s="282"/>
      <c r="E21" s="226">
        <f t="shared" si="0"/>
        <v>0</v>
      </c>
      <c r="F21" s="796">
        <f>IF(D21=0,+'App.2-CG_MIFRS_DepExp_2012'!O21,+'App.2-CG_MIFRS_DepExp_2012'!O21+((C21*0.5)/D21))</f>
        <v>0</v>
      </c>
      <c r="G21" s="204"/>
      <c r="H21" s="796">
        <f t="shared" si="1"/>
        <v>0</v>
      </c>
      <c r="I21" s="796">
        <f t="shared" si="2"/>
        <v>0</v>
      </c>
      <c r="J21" s="204"/>
      <c r="K21" s="796">
        <f>IF(ISERROR(+I21+'App.2-CG_MIFRS_DepExp_2012'!O21-J21), 0, +I21+'App.2-CG_MIFRS_DepExp_2012'!O21-J21)</f>
        <v>0</v>
      </c>
    </row>
    <row r="22" spans="1:11" x14ac:dyDescent="0.2">
      <c r="A22" s="782">
        <v>1820</v>
      </c>
      <c r="B22" s="783" t="s">
        <v>306</v>
      </c>
      <c r="C22" s="204"/>
      <c r="D22" s="282"/>
      <c r="E22" s="226">
        <f t="shared" si="0"/>
        <v>0</v>
      </c>
      <c r="F22" s="796">
        <f>IF(D22=0,+'App.2-CG_MIFRS_DepExp_2012'!O22,+'App.2-CG_MIFRS_DepExp_2012'!O22+((C22*0.5)/D22))</f>
        <v>0</v>
      </c>
      <c r="G22" s="204"/>
      <c r="H22" s="796">
        <f t="shared" si="1"/>
        <v>0</v>
      </c>
      <c r="I22" s="796">
        <f t="shared" si="2"/>
        <v>0</v>
      </c>
      <c r="J22" s="204"/>
      <c r="K22" s="796">
        <f>IF(ISERROR(+I22+'App.2-CG_MIFRS_DepExp_2012'!O22-J22), 0, +I22+'App.2-CG_MIFRS_DepExp_2012'!O22-J22)</f>
        <v>0</v>
      </c>
    </row>
    <row r="23" spans="1:11" x14ac:dyDescent="0.2">
      <c r="A23" s="782">
        <v>1825</v>
      </c>
      <c r="B23" s="787" t="s">
        <v>386</v>
      </c>
      <c r="C23" s="204"/>
      <c r="D23" s="282"/>
      <c r="E23" s="226">
        <f t="shared" si="0"/>
        <v>0</v>
      </c>
      <c r="F23" s="796">
        <f>IF(D23=0,+'App.2-CG_MIFRS_DepExp_2012'!O23,+'App.2-CG_MIFRS_DepExp_2012'!O23+((C23*0.5)/D23))</f>
        <v>0</v>
      </c>
      <c r="G23" s="204"/>
      <c r="H23" s="796">
        <f t="shared" si="1"/>
        <v>0</v>
      </c>
      <c r="I23" s="796">
        <f t="shared" si="2"/>
        <v>0</v>
      </c>
      <c r="J23" s="204"/>
      <c r="K23" s="796">
        <f>IF(ISERROR(+I23+'App.2-CG_MIFRS_DepExp_2012'!O23-J23), 0, +I23+'App.2-CG_MIFRS_DepExp_2012'!O23-J23)</f>
        <v>0</v>
      </c>
    </row>
    <row r="24" spans="1:11" x14ac:dyDescent="0.2">
      <c r="A24" s="782">
        <v>1830</v>
      </c>
      <c r="B24" s="787" t="s">
        <v>387</v>
      </c>
      <c r="C24" s="204"/>
      <c r="D24" s="282"/>
      <c r="E24" s="226">
        <f t="shared" si="0"/>
        <v>0</v>
      </c>
      <c r="F24" s="796">
        <f>IF(D24=0,+'App.2-CG_MIFRS_DepExp_2012'!O24,+'App.2-CG_MIFRS_DepExp_2012'!O24+((C24*0.5)/D24))</f>
        <v>0</v>
      </c>
      <c r="G24" s="204"/>
      <c r="H24" s="796">
        <f t="shared" si="1"/>
        <v>0</v>
      </c>
      <c r="I24" s="796">
        <f t="shared" si="2"/>
        <v>0</v>
      </c>
      <c r="J24" s="204"/>
      <c r="K24" s="796">
        <f>IF(ISERROR(+I24+'App.2-CG_MIFRS_DepExp_2012'!O24-J24), 0, +I24+'App.2-CG_MIFRS_DepExp_2012'!O24-J24)</f>
        <v>0</v>
      </c>
    </row>
    <row r="25" spans="1:11" x14ac:dyDescent="0.2">
      <c r="A25" s="782">
        <v>1835</v>
      </c>
      <c r="B25" s="787" t="s">
        <v>307</v>
      </c>
      <c r="C25" s="204"/>
      <c r="D25" s="282"/>
      <c r="E25" s="226">
        <f t="shared" si="0"/>
        <v>0</v>
      </c>
      <c r="F25" s="796">
        <f>IF(D25=0,+'App.2-CG_MIFRS_DepExp_2012'!O25,+'App.2-CG_MIFRS_DepExp_2012'!O25+((C25*0.5)/D25))</f>
        <v>0</v>
      </c>
      <c r="G25" s="204"/>
      <c r="H25" s="796">
        <f t="shared" si="1"/>
        <v>0</v>
      </c>
      <c r="I25" s="796">
        <f t="shared" si="2"/>
        <v>0</v>
      </c>
      <c r="J25" s="204"/>
      <c r="K25" s="796">
        <f>IF(ISERROR(+I25+'App.2-CG_MIFRS_DepExp_2012'!O25-J25), 0, +I25+'App.2-CG_MIFRS_DepExp_2012'!O25-J25)</f>
        <v>0</v>
      </c>
    </row>
    <row r="26" spans="1:11" x14ac:dyDescent="0.2">
      <c r="A26" s="782">
        <v>1840</v>
      </c>
      <c r="B26" s="787" t="s">
        <v>308</v>
      </c>
      <c r="C26" s="204"/>
      <c r="D26" s="282"/>
      <c r="E26" s="226">
        <f t="shared" si="0"/>
        <v>0</v>
      </c>
      <c r="F26" s="796">
        <f>IF(D26=0,+'App.2-CG_MIFRS_DepExp_2012'!O26,+'App.2-CG_MIFRS_DepExp_2012'!O26+((C26*0.5)/D26))</f>
        <v>0</v>
      </c>
      <c r="G26" s="204"/>
      <c r="H26" s="796">
        <f t="shared" si="1"/>
        <v>0</v>
      </c>
      <c r="I26" s="796">
        <f t="shared" si="2"/>
        <v>0</v>
      </c>
      <c r="J26" s="204"/>
      <c r="K26" s="796">
        <f>IF(ISERROR(+I26+'App.2-CG_MIFRS_DepExp_2012'!O26-J26), 0, +I26+'App.2-CG_MIFRS_DepExp_2012'!O26-J26)</f>
        <v>0</v>
      </c>
    </row>
    <row r="27" spans="1:11" x14ac:dyDescent="0.2">
      <c r="A27" s="782">
        <v>1845</v>
      </c>
      <c r="B27" s="787" t="s">
        <v>309</v>
      </c>
      <c r="C27" s="204"/>
      <c r="D27" s="282"/>
      <c r="E27" s="226">
        <f t="shared" si="0"/>
        <v>0</v>
      </c>
      <c r="F27" s="796">
        <f>IF(D27=0,+'App.2-CG_MIFRS_DepExp_2012'!O27,+'App.2-CG_MIFRS_DepExp_2012'!O27+((C27*0.5)/D27))</f>
        <v>0</v>
      </c>
      <c r="G27" s="204"/>
      <c r="H27" s="796">
        <f t="shared" si="1"/>
        <v>0</v>
      </c>
      <c r="I27" s="796">
        <f t="shared" si="2"/>
        <v>0</v>
      </c>
      <c r="J27" s="204"/>
      <c r="K27" s="796">
        <f>IF(ISERROR(+I27+'App.2-CG_MIFRS_DepExp_2012'!O27-J27), 0, +I27+'App.2-CG_MIFRS_DepExp_2012'!O27-J27)</f>
        <v>0</v>
      </c>
    </row>
    <row r="28" spans="1:11" x14ac:dyDescent="0.2">
      <c r="A28" s="782">
        <v>1850</v>
      </c>
      <c r="B28" s="787" t="s">
        <v>388</v>
      </c>
      <c r="C28" s="204"/>
      <c r="D28" s="282"/>
      <c r="E28" s="226">
        <f t="shared" si="0"/>
        <v>0</v>
      </c>
      <c r="F28" s="796">
        <f>IF(D28=0,+'App.2-CG_MIFRS_DepExp_2012'!O28,+'App.2-CG_MIFRS_DepExp_2012'!O28+((C28*0.5)/D28))</f>
        <v>0</v>
      </c>
      <c r="G28" s="204"/>
      <c r="H28" s="796">
        <f t="shared" si="1"/>
        <v>0</v>
      </c>
      <c r="I28" s="796">
        <f t="shared" si="2"/>
        <v>0</v>
      </c>
      <c r="J28" s="204"/>
      <c r="K28" s="796">
        <f>IF(ISERROR(+I28+'App.2-CG_MIFRS_DepExp_2012'!O28-J28), 0, +I28+'App.2-CG_MIFRS_DepExp_2012'!O28-J28)</f>
        <v>0</v>
      </c>
    </row>
    <row r="29" spans="1:11" x14ac:dyDescent="0.2">
      <c r="A29" s="782">
        <v>1855</v>
      </c>
      <c r="B29" s="787" t="s">
        <v>310</v>
      </c>
      <c r="C29" s="204"/>
      <c r="D29" s="282"/>
      <c r="E29" s="226">
        <f t="shared" si="0"/>
        <v>0</v>
      </c>
      <c r="F29" s="796">
        <f>IF(D29=0,+'App.2-CG_MIFRS_DepExp_2012'!O29,+'App.2-CG_MIFRS_DepExp_2012'!O29+((C29*0.5)/D29))</f>
        <v>0</v>
      </c>
      <c r="G29" s="204"/>
      <c r="H29" s="796">
        <f t="shared" si="1"/>
        <v>0</v>
      </c>
      <c r="I29" s="796">
        <f t="shared" si="2"/>
        <v>0</v>
      </c>
      <c r="J29" s="204"/>
      <c r="K29" s="796">
        <f>IF(ISERROR(+I29+'App.2-CG_MIFRS_DepExp_2012'!O29-J29), 0, +I29+'App.2-CG_MIFRS_DepExp_2012'!O29-J29)</f>
        <v>0</v>
      </c>
    </row>
    <row r="30" spans="1:11" x14ac:dyDescent="0.2">
      <c r="A30" s="782">
        <v>1860</v>
      </c>
      <c r="B30" s="787" t="s">
        <v>389</v>
      </c>
      <c r="C30" s="204"/>
      <c r="D30" s="282"/>
      <c r="E30" s="226">
        <f t="shared" si="0"/>
        <v>0</v>
      </c>
      <c r="F30" s="796">
        <f>IF(D30=0,+'App.2-CG_MIFRS_DepExp_2012'!O30,+'App.2-CG_MIFRS_DepExp_2012'!O30+((C30*0.5)/D30))</f>
        <v>0</v>
      </c>
      <c r="G30" s="204"/>
      <c r="H30" s="796">
        <f t="shared" si="1"/>
        <v>0</v>
      </c>
      <c r="I30" s="796">
        <f t="shared" si="2"/>
        <v>0</v>
      </c>
      <c r="J30" s="204"/>
      <c r="K30" s="796">
        <f>IF(ISERROR(+I30+'App.2-CG_MIFRS_DepExp_2012'!O30-J30), 0, +I30+'App.2-CG_MIFRS_DepExp_2012'!O30-J30)</f>
        <v>0</v>
      </c>
    </row>
    <row r="31" spans="1:11" x14ac:dyDescent="0.2">
      <c r="A31" s="785">
        <v>1860</v>
      </c>
      <c r="B31" s="786" t="s">
        <v>311</v>
      </c>
      <c r="C31" s="204"/>
      <c r="D31" s="282"/>
      <c r="E31" s="226">
        <f t="shared" si="0"/>
        <v>0</v>
      </c>
      <c r="F31" s="796">
        <f>IF(D31=0,+'App.2-CG_MIFRS_DepExp_2012'!O31,+'App.2-CG_MIFRS_DepExp_2012'!O31+((C31*0.5)/D31))</f>
        <v>0</v>
      </c>
      <c r="G31" s="204"/>
      <c r="H31" s="796">
        <f t="shared" si="1"/>
        <v>0</v>
      </c>
      <c r="I31" s="796">
        <f t="shared" si="2"/>
        <v>0</v>
      </c>
      <c r="J31" s="204"/>
      <c r="K31" s="796">
        <f>IF(ISERROR(+I31+'App.2-CG_MIFRS_DepExp_2012'!O31-J31), 0, +I31+'App.2-CG_MIFRS_DepExp_2012'!O31-J31)</f>
        <v>0</v>
      </c>
    </row>
    <row r="32" spans="1:11" x14ac:dyDescent="0.2">
      <c r="A32" s="785">
        <v>1905</v>
      </c>
      <c r="B32" s="786" t="s">
        <v>383</v>
      </c>
      <c r="C32" s="204"/>
      <c r="D32" s="282"/>
      <c r="E32" s="226">
        <f t="shared" si="0"/>
        <v>0</v>
      </c>
      <c r="F32" s="796">
        <f>IF(D32=0,+'App.2-CG_MIFRS_DepExp_2012'!O32,+'App.2-CG_MIFRS_DepExp_2012'!O32+((C32*0.5)/D32))</f>
        <v>0</v>
      </c>
      <c r="G32" s="204"/>
      <c r="H32" s="796">
        <f t="shared" si="1"/>
        <v>0</v>
      </c>
      <c r="I32" s="796">
        <f t="shared" si="2"/>
        <v>0</v>
      </c>
      <c r="J32" s="204"/>
      <c r="K32" s="796">
        <f>IF(ISERROR(+I32+'App.2-CG_MIFRS_DepExp_2012'!O32-J32), 0, +I32+'App.2-CG_MIFRS_DepExp_2012'!O32-J32)</f>
        <v>0</v>
      </c>
    </row>
    <row r="33" spans="1:11" x14ac:dyDescent="0.2">
      <c r="A33" s="782">
        <v>1908</v>
      </c>
      <c r="B33" s="787" t="s">
        <v>391</v>
      </c>
      <c r="C33" s="204"/>
      <c r="D33" s="282"/>
      <c r="E33" s="226">
        <f t="shared" si="0"/>
        <v>0</v>
      </c>
      <c r="F33" s="796">
        <f>IF(D33=0,+'App.2-CG_MIFRS_DepExp_2012'!O33,+'App.2-CG_MIFRS_DepExp_2012'!O33+((C33*0.5)/D33))</f>
        <v>0</v>
      </c>
      <c r="G33" s="204"/>
      <c r="H33" s="796">
        <f t="shared" si="1"/>
        <v>0</v>
      </c>
      <c r="I33" s="796">
        <f t="shared" si="2"/>
        <v>0</v>
      </c>
      <c r="J33" s="204"/>
      <c r="K33" s="796">
        <f>IF(ISERROR(+I33+'App.2-CG_MIFRS_DepExp_2012'!O33-J33), 0, +I33+'App.2-CG_MIFRS_DepExp_2012'!O33-J33)</f>
        <v>0</v>
      </c>
    </row>
    <row r="34" spans="1:11" x14ac:dyDescent="0.2">
      <c r="A34" s="782">
        <v>1910</v>
      </c>
      <c r="B34" s="787" t="s">
        <v>417</v>
      </c>
      <c r="C34" s="204"/>
      <c r="D34" s="282"/>
      <c r="E34" s="226">
        <f t="shared" si="0"/>
        <v>0</v>
      </c>
      <c r="F34" s="796">
        <f>IF(D34=0,+'App.2-CG_MIFRS_DepExp_2012'!O34,+'App.2-CG_MIFRS_DepExp_2012'!O34+((C34*0.5)/D34))</f>
        <v>0</v>
      </c>
      <c r="G34" s="204"/>
      <c r="H34" s="796">
        <f t="shared" si="1"/>
        <v>0</v>
      </c>
      <c r="I34" s="796">
        <f t="shared" si="2"/>
        <v>0</v>
      </c>
      <c r="J34" s="204"/>
      <c r="K34" s="796">
        <f>IF(ISERROR(+I34+'App.2-CG_MIFRS_DepExp_2012'!O34-J34), 0, +I34+'App.2-CG_MIFRS_DepExp_2012'!O34-J34)</f>
        <v>0</v>
      </c>
    </row>
    <row r="35" spans="1:11" x14ac:dyDescent="0.2">
      <c r="A35" s="782">
        <v>1915</v>
      </c>
      <c r="B35" s="787" t="s">
        <v>312</v>
      </c>
      <c r="C35" s="204"/>
      <c r="D35" s="282"/>
      <c r="E35" s="226">
        <f t="shared" si="0"/>
        <v>0</v>
      </c>
      <c r="F35" s="796">
        <f>IF(D35=0,+'App.2-CG_MIFRS_DepExp_2012'!O35,+'App.2-CG_MIFRS_DepExp_2012'!O35+((C35*0.5)/D35))</f>
        <v>0</v>
      </c>
      <c r="G35" s="204"/>
      <c r="H35" s="796">
        <f t="shared" si="1"/>
        <v>0</v>
      </c>
      <c r="I35" s="796">
        <f t="shared" si="2"/>
        <v>0</v>
      </c>
      <c r="J35" s="204"/>
      <c r="K35" s="796">
        <f>IF(ISERROR(+I35+'App.2-CG_MIFRS_DepExp_2012'!O35-J35), 0, +I35+'App.2-CG_MIFRS_DepExp_2012'!O35-J35)</f>
        <v>0</v>
      </c>
    </row>
    <row r="36" spans="1:11" x14ac:dyDescent="0.2">
      <c r="A36" s="782">
        <v>1915</v>
      </c>
      <c r="B36" s="787" t="s">
        <v>313</v>
      </c>
      <c r="C36" s="204"/>
      <c r="D36" s="282"/>
      <c r="E36" s="226">
        <f t="shared" si="0"/>
        <v>0</v>
      </c>
      <c r="F36" s="796">
        <f>IF(D36=0,+'App.2-CG_MIFRS_DepExp_2012'!O36,+'App.2-CG_MIFRS_DepExp_2012'!O36+((C36*0.5)/D36))</f>
        <v>0</v>
      </c>
      <c r="G36" s="204"/>
      <c r="H36" s="796">
        <f t="shared" si="1"/>
        <v>0</v>
      </c>
      <c r="I36" s="796">
        <f t="shared" si="2"/>
        <v>0</v>
      </c>
      <c r="J36" s="204"/>
      <c r="K36" s="796">
        <f>IF(ISERROR(+I36+'App.2-CG_MIFRS_DepExp_2012'!O36-J36), 0, +I36+'App.2-CG_MIFRS_DepExp_2012'!O36-J36)</f>
        <v>0</v>
      </c>
    </row>
    <row r="37" spans="1:11" x14ac:dyDescent="0.2">
      <c r="A37" s="782">
        <v>1920</v>
      </c>
      <c r="B37" s="787" t="s">
        <v>314</v>
      </c>
      <c r="C37" s="204"/>
      <c r="D37" s="282"/>
      <c r="E37" s="226">
        <f t="shared" si="0"/>
        <v>0</v>
      </c>
      <c r="F37" s="796">
        <f>IF(D37=0,+'App.2-CG_MIFRS_DepExp_2012'!O37,+'App.2-CG_MIFRS_DepExp_2012'!O37+((C37*0.5)/D37))</f>
        <v>0</v>
      </c>
      <c r="G37" s="204"/>
      <c r="H37" s="796">
        <f t="shared" si="1"/>
        <v>0</v>
      </c>
      <c r="I37" s="796">
        <f t="shared" si="2"/>
        <v>0</v>
      </c>
      <c r="J37" s="204"/>
      <c r="K37" s="796">
        <f>IF(ISERROR(+I37+'App.2-CG_MIFRS_DepExp_2012'!O37-J37), 0, +I37+'App.2-CG_MIFRS_DepExp_2012'!O37-J37)</f>
        <v>0</v>
      </c>
    </row>
    <row r="38" spans="1:11" x14ac:dyDescent="0.2">
      <c r="A38" s="788">
        <v>1920</v>
      </c>
      <c r="B38" s="783" t="s">
        <v>316</v>
      </c>
      <c r="C38" s="204"/>
      <c r="D38" s="282"/>
      <c r="E38" s="226">
        <f t="shared" si="0"/>
        <v>0</v>
      </c>
      <c r="F38" s="796">
        <f>IF(D38=0,+'App.2-CG_MIFRS_DepExp_2012'!O38,+'App.2-CG_MIFRS_DepExp_2012'!O38+((C38*0.5)/D38))</f>
        <v>0</v>
      </c>
      <c r="G38" s="204"/>
      <c r="H38" s="796">
        <f t="shared" si="1"/>
        <v>0</v>
      </c>
      <c r="I38" s="796">
        <f t="shared" si="2"/>
        <v>0</v>
      </c>
      <c r="J38" s="204"/>
      <c r="K38" s="796">
        <f>IF(ISERROR(+I38+'App.2-CG_MIFRS_DepExp_2012'!O38-J38), 0, +I38+'App.2-CG_MIFRS_DepExp_2012'!O38-J38)</f>
        <v>0</v>
      </c>
    </row>
    <row r="39" spans="1:11" x14ac:dyDescent="0.2">
      <c r="A39" s="788">
        <v>1920</v>
      </c>
      <c r="B39" s="783" t="s">
        <v>315</v>
      </c>
      <c r="C39" s="204"/>
      <c r="D39" s="282"/>
      <c r="E39" s="226">
        <f t="shared" si="0"/>
        <v>0</v>
      </c>
      <c r="F39" s="796">
        <f>IF(D39=0,+'App.2-CG_MIFRS_DepExp_2012'!O39,+'App.2-CG_MIFRS_DepExp_2012'!O39+((C39*0.5)/D39))</f>
        <v>0</v>
      </c>
      <c r="G39" s="204"/>
      <c r="H39" s="796">
        <f t="shared" si="1"/>
        <v>0</v>
      </c>
      <c r="I39" s="796">
        <f t="shared" si="2"/>
        <v>0</v>
      </c>
      <c r="J39" s="204"/>
      <c r="K39" s="796">
        <f>IF(ISERROR(+I39+'App.2-CG_MIFRS_DepExp_2012'!O39-J39), 0, +I39+'App.2-CG_MIFRS_DepExp_2012'!O39-J39)</f>
        <v>0</v>
      </c>
    </row>
    <row r="40" spans="1:11" x14ac:dyDescent="0.2">
      <c r="A40" s="782">
        <v>1930</v>
      </c>
      <c r="B40" s="787" t="s">
        <v>404</v>
      </c>
      <c r="C40" s="204"/>
      <c r="D40" s="282"/>
      <c r="E40" s="226">
        <f t="shared" si="0"/>
        <v>0</v>
      </c>
      <c r="F40" s="796">
        <f>IF(D40=0,+'App.2-CG_MIFRS_DepExp_2012'!O40,+'App.2-CG_MIFRS_DepExp_2012'!O40+((C40*0.5)/D40))</f>
        <v>0</v>
      </c>
      <c r="G40" s="204"/>
      <c r="H40" s="796">
        <f t="shared" si="1"/>
        <v>0</v>
      </c>
      <c r="I40" s="796">
        <f t="shared" si="2"/>
        <v>0</v>
      </c>
      <c r="J40" s="204"/>
      <c r="K40" s="796">
        <f>IF(ISERROR(+I40+'App.2-CG_MIFRS_DepExp_2012'!O40-J40), 0, +I40+'App.2-CG_MIFRS_DepExp_2012'!O40-J40)</f>
        <v>0</v>
      </c>
    </row>
    <row r="41" spans="1:11" x14ac:dyDescent="0.2">
      <c r="A41" s="782">
        <v>1935</v>
      </c>
      <c r="B41" s="787" t="s">
        <v>405</v>
      </c>
      <c r="C41" s="204"/>
      <c r="D41" s="282"/>
      <c r="E41" s="226">
        <f t="shared" si="0"/>
        <v>0</v>
      </c>
      <c r="F41" s="796">
        <f>IF(D41=0,+'App.2-CG_MIFRS_DepExp_2012'!O41,+'App.2-CG_MIFRS_DepExp_2012'!O41+((C41*0.5)/D41))</f>
        <v>0</v>
      </c>
      <c r="G41" s="204"/>
      <c r="H41" s="796">
        <f t="shared" si="1"/>
        <v>0</v>
      </c>
      <c r="I41" s="796">
        <f t="shared" si="2"/>
        <v>0</v>
      </c>
      <c r="J41" s="204"/>
      <c r="K41" s="796">
        <f>IF(ISERROR(+I41+'App.2-CG_MIFRS_DepExp_2012'!O41-J41), 0, +I41+'App.2-CG_MIFRS_DepExp_2012'!O41-J41)</f>
        <v>0</v>
      </c>
    </row>
    <row r="42" spans="1:11" x14ac:dyDescent="0.2">
      <c r="A42" s="782">
        <v>1940</v>
      </c>
      <c r="B42" s="787" t="s">
        <v>406</v>
      </c>
      <c r="C42" s="204"/>
      <c r="D42" s="282"/>
      <c r="E42" s="226">
        <f t="shared" si="0"/>
        <v>0</v>
      </c>
      <c r="F42" s="796">
        <f>IF(D42=0,+'App.2-CG_MIFRS_DepExp_2012'!O42,+'App.2-CG_MIFRS_DepExp_2012'!O42+((C42*0.5)/D42))</f>
        <v>0</v>
      </c>
      <c r="G42" s="204"/>
      <c r="H42" s="796">
        <f t="shared" si="1"/>
        <v>0</v>
      </c>
      <c r="I42" s="796">
        <f t="shared" si="2"/>
        <v>0</v>
      </c>
      <c r="J42" s="204"/>
      <c r="K42" s="796">
        <f>IF(ISERROR(+I42+'App.2-CG_MIFRS_DepExp_2012'!O42-J42), 0, +I42+'App.2-CG_MIFRS_DepExp_2012'!O42-J42)</f>
        <v>0</v>
      </c>
    </row>
    <row r="43" spans="1:11" x14ac:dyDescent="0.2">
      <c r="A43" s="782">
        <v>1945</v>
      </c>
      <c r="B43" s="787" t="s">
        <v>407</v>
      </c>
      <c r="C43" s="204"/>
      <c r="D43" s="282"/>
      <c r="E43" s="226">
        <f t="shared" si="0"/>
        <v>0</v>
      </c>
      <c r="F43" s="796">
        <f>IF(D43=0,+'App.2-CG_MIFRS_DepExp_2012'!O43,+'App.2-CG_MIFRS_DepExp_2012'!O43+((C43*0.5)/D43))</f>
        <v>0</v>
      </c>
      <c r="G43" s="204"/>
      <c r="H43" s="796">
        <f t="shared" si="1"/>
        <v>0</v>
      </c>
      <c r="I43" s="796">
        <f t="shared" si="2"/>
        <v>0</v>
      </c>
      <c r="J43" s="204"/>
      <c r="K43" s="796">
        <f>IF(ISERROR(+I43+'App.2-CG_MIFRS_DepExp_2012'!O43-J43), 0, +I43+'App.2-CG_MIFRS_DepExp_2012'!O43-J43)</f>
        <v>0</v>
      </c>
    </row>
    <row r="44" spans="1:11" x14ac:dyDescent="0.2">
      <c r="A44" s="782">
        <v>1950</v>
      </c>
      <c r="B44" s="787" t="s">
        <v>317</v>
      </c>
      <c r="C44" s="204"/>
      <c r="D44" s="282"/>
      <c r="E44" s="226">
        <f t="shared" si="0"/>
        <v>0</v>
      </c>
      <c r="F44" s="796">
        <f>IF(D44=0,+'App.2-CG_MIFRS_DepExp_2012'!O44,+'App.2-CG_MIFRS_DepExp_2012'!O44+((C44*0.5)/D44))</f>
        <v>0</v>
      </c>
      <c r="G44" s="204"/>
      <c r="H44" s="796">
        <f t="shared" si="1"/>
        <v>0</v>
      </c>
      <c r="I44" s="796">
        <f t="shared" si="2"/>
        <v>0</v>
      </c>
      <c r="J44" s="204"/>
      <c r="K44" s="796">
        <f>IF(ISERROR(+I44+'App.2-CG_MIFRS_DepExp_2012'!O44-J44), 0, +I44+'App.2-CG_MIFRS_DepExp_2012'!O44-J44)</f>
        <v>0</v>
      </c>
    </row>
    <row r="45" spans="1:11" x14ac:dyDescent="0.2">
      <c r="A45" s="782">
        <v>1955</v>
      </c>
      <c r="B45" s="787" t="s">
        <v>408</v>
      </c>
      <c r="C45" s="204"/>
      <c r="D45" s="282"/>
      <c r="E45" s="226">
        <f t="shared" si="0"/>
        <v>0</v>
      </c>
      <c r="F45" s="796">
        <f>IF(D45=0,+'App.2-CG_MIFRS_DepExp_2012'!O45,+'App.2-CG_MIFRS_DepExp_2012'!O45+((C45*0.5)/D45))</f>
        <v>0</v>
      </c>
      <c r="G45" s="204"/>
      <c r="H45" s="796">
        <f t="shared" si="1"/>
        <v>0</v>
      </c>
      <c r="I45" s="796">
        <f t="shared" si="2"/>
        <v>0</v>
      </c>
      <c r="J45" s="204"/>
      <c r="K45" s="796">
        <f>IF(ISERROR(+I45+'App.2-CG_MIFRS_DepExp_2012'!O45-J45), 0, +I45+'App.2-CG_MIFRS_DepExp_2012'!O45-J45)</f>
        <v>0</v>
      </c>
    </row>
    <row r="46" spans="1:11" x14ac:dyDescent="0.2">
      <c r="A46" s="789">
        <v>1955</v>
      </c>
      <c r="B46" s="790" t="s">
        <v>318</v>
      </c>
      <c r="C46" s="204"/>
      <c r="D46" s="282"/>
      <c r="E46" s="226">
        <f t="shared" si="0"/>
        <v>0</v>
      </c>
      <c r="F46" s="796">
        <f>IF(D46=0,+'App.2-CG_MIFRS_DepExp_2012'!O46,+'App.2-CG_MIFRS_DepExp_2012'!O46+((C46*0.5)/D46))</f>
        <v>0</v>
      </c>
      <c r="G46" s="204"/>
      <c r="H46" s="796">
        <f t="shared" si="1"/>
        <v>0</v>
      </c>
      <c r="I46" s="796">
        <f t="shared" si="2"/>
        <v>0</v>
      </c>
      <c r="J46" s="204"/>
      <c r="K46" s="796">
        <f>IF(ISERROR(+I46+'App.2-CG_MIFRS_DepExp_2012'!O46-J46), 0, +I46+'App.2-CG_MIFRS_DepExp_2012'!O46-J46)</f>
        <v>0</v>
      </c>
    </row>
    <row r="47" spans="1:11" x14ac:dyDescent="0.2">
      <c r="A47" s="788">
        <v>1960</v>
      </c>
      <c r="B47" s="783" t="s">
        <v>319</v>
      </c>
      <c r="C47" s="204"/>
      <c r="D47" s="282"/>
      <c r="E47" s="226">
        <f t="shared" si="0"/>
        <v>0</v>
      </c>
      <c r="F47" s="796">
        <f>IF(D47=0,+'App.2-CG_MIFRS_DepExp_2012'!O47,+'App.2-CG_MIFRS_DepExp_2012'!O47+((C47*0.5)/D47))</f>
        <v>0</v>
      </c>
      <c r="G47" s="204"/>
      <c r="H47" s="796">
        <f t="shared" si="1"/>
        <v>0</v>
      </c>
      <c r="I47" s="796">
        <f t="shared" si="2"/>
        <v>0</v>
      </c>
      <c r="J47" s="204"/>
      <c r="K47" s="796">
        <f>IF(ISERROR(+I47+'App.2-CG_MIFRS_DepExp_2012'!O47-J47), 0, +I47+'App.2-CG_MIFRS_DepExp_2012'!O47-J47)</f>
        <v>0</v>
      </c>
    </row>
    <row r="48" spans="1:11" x14ac:dyDescent="0.2">
      <c r="A48" s="789">
        <v>1970</v>
      </c>
      <c r="B48" s="832" t="s">
        <v>773</v>
      </c>
      <c r="C48" s="204"/>
      <c r="D48" s="282"/>
      <c r="E48" s="226">
        <f t="shared" si="0"/>
        <v>0</v>
      </c>
      <c r="F48" s="796">
        <f>IF(D48=0,+'App.2-CG_MIFRS_DepExp_2012'!O48,+'App.2-CG_MIFRS_DepExp_2012'!O48+((C48*0.5)/D48))</f>
        <v>0</v>
      </c>
      <c r="G48" s="204"/>
      <c r="H48" s="796">
        <f t="shared" si="1"/>
        <v>0</v>
      </c>
      <c r="I48" s="796">
        <f t="shared" si="2"/>
        <v>0</v>
      </c>
      <c r="J48" s="204"/>
      <c r="K48" s="796">
        <f>IF(ISERROR(+I48+'App.2-CG_MIFRS_DepExp_2012'!O48-J48), 0, +I48+'App.2-CG_MIFRS_DepExp_2012'!O48-J48)</f>
        <v>0</v>
      </c>
    </row>
    <row r="49" spans="1:15" x14ac:dyDescent="0.2">
      <c r="A49" s="782">
        <v>1975</v>
      </c>
      <c r="B49" s="787" t="s">
        <v>409</v>
      </c>
      <c r="C49" s="204"/>
      <c r="D49" s="282"/>
      <c r="E49" s="226">
        <f t="shared" si="0"/>
        <v>0</v>
      </c>
      <c r="F49" s="796">
        <f>IF(D49=0,+'App.2-CG_MIFRS_DepExp_2012'!O49,+'App.2-CG_MIFRS_DepExp_2012'!O49+((C49*0.5)/D49))</f>
        <v>0</v>
      </c>
      <c r="G49" s="204"/>
      <c r="H49" s="796">
        <f t="shared" si="1"/>
        <v>0</v>
      </c>
      <c r="I49" s="796">
        <f t="shared" si="2"/>
        <v>0</v>
      </c>
      <c r="J49" s="204"/>
      <c r="K49" s="796">
        <f>IF(ISERROR(+I49+'App.2-CG_MIFRS_DepExp_2012'!O49-J49), 0, +I49+'App.2-CG_MIFRS_DepExp_2012'!O49-J49)</f>
        <v>0</v>
      </c>
    </row>
    <row r="50" spans="1:15" x14ac:dyDescent="0.2">
      <c r="A50" s="782">
        <v>1980</v>
      </c>
      <c r="B50" s="787" t="s">
        <v>410</v>
      </c>
      <c r="C50" s="204"/>
      <c r="D50" s="282"/>
      <c r="E50" s="226">
        <f t="shared" si="0"/>
        <v>0</v>
      </c>
      <c r="F50" s="796">
        <f>IF(D50=0,+'App.2-CG_MIFRS_DepExp_2012'!O50,+'App.2-CG_MIFRS_DepExp_2012'!O50+((C50*0.5)/D50))</f>
        <v>0</v>
      </c>
      <c r="G50" s="204"/>
      <c r="H50" s="796">
        <f t="shared" si="1"/>
        <v>0</v>
      </c>
      <c r="I50" s="796">
        <f t="shared" si="2"/>
        <v>0</v>
      </c>
      <c r="J50" s="204"/>
      <c r="K50" s="796">
        <f>IF(ISERROR(+I50+'App.2-CG_MIFRS_DepExp_2012'!O50-J50), 0, +I50+'App.2-CG_MIFRS_DepExp_2012'!O50-J50)</f>
        <v>0</v>
      </c>
    </row>
    <row r="51" spans="1:15" x14ac:dyDescent="0.2">
      <c r="A51" s="782">
        <v>1985</v>
      </c>
      <c r="B51" s="787" t="s">
        <v>411</v>
      </c>
      <c r="C51" s="204"/>
      <c r="D51" s="282"/>
      <c r="E51" s="226">
        <f t="shared" si="0"/>
        <v>0</v>
      </c>
      <c r="F51" s="796">
        <f>IF(D51=0,+'App.2-CG_MIFRS_DepExp_2012'!O51,+'App.2-CG_MIFRS_DepExp_2012'!O51+((C51*0.5)/D51))</f>
        <v>0</v>
      </c>
      <c r="G51" s="204"/>
      <c r="H51" s="796">
        <f t="shared" si="1"/>
        <v>0</v>
      </c>
      <c r="I51" s="796">
        <f t="shared" si="2"/>
        <v>0</v>
      </c>
      <c r="J51" s="204"/>
      <c r="K51" s="796">
        <f>IF(ISERROR(+I51+'App.2-CG_MIFRS_DepExp_2012'!O51-J51), 0, +I51+'App.2-CG_MIFRS_DepExp_2012'!O51-J51)</f>
        <v>0</v>
      </c>
    </row>
    <row r="52" spans="1:15" x14ac:dyDescent="0.2">
      <c r="A52" s="782">
        <v>1990</v>
      </c>
      <c r="B52" s="791" t="s">
        <v>774</v>
      </c>
      <c r="C52" s="204"/>
      <c r="D52" s="282"/>
      <c r="E52" s="226">
        <f t="shared" si="0"/>
        <v>0</v>
      </c>
      <c r="F52" s="796">
        <f>IF(D52=0,+'App.2-CG_MIFRS_DepExp_2012'!O52,+'App.2-CG_MIFRS_DepExp_2012'!O52+((C52*0.5)/D52))</f>
        <v>0</v>
      </c>
      <c r="G52" s="204"/>
      <c r="H52" s="796">
        <f t="shared" si="1"/>
        <v>0</v>
      </c>
      <c r="I52" s="796">
        <f t="shared" si="2"/>
        <v>0</v>
      </c>
      <c r="J52" s="204"/>
      <c r="K52" s="796">
        <f>IF(ISERROR(+I52+'App.2-CG_MIFRS_DepExp_2012'!O52-J52), 0, +I52+'App.2-CG_MIFRS_DepExp_2012'!O52-J52)</f>
        <v>0</v>
      </c>
    </row>
    <row r="53" spans="1:15" x14ac:dyDescent="0.2">
      <c r="A53" s="782">
        <v>1995</v>
      </c>
      <c r="B53" s="787" t="s">
        <v>412</v>
      </c>
      <c r="C53" s="204"/>
      <c r="D53" s="282"/>
      <c r="E53" s="226">
        <f t="shared" si="0"/>
        <v>0</v>
      </c>
      <c r="F53" s="796">
        <f>IF(D53=0,+'App.2-CG_MIFRS_DepExp_2012'!O53,+'App.2-CG_MIFRS_DepExp_2012'!O53+((C53*0.5)/D53))</f>
        <v>0</v>
      </c>
      <c r="G53" s="204"/>
      <c r="H53" s="796">
        <f t="shared" si="1"/>
        <v>0</v>
      </c>
      <c r="I53" s="796">
        <f t="shared" si="2"/>
        <v>0</v>
      </c>
      <c r="J53" s="204"/>
      <c r="K53" s="796">
        <f>IF(ISERROR(+I53+'App.2-CG_MIFRS_DepExp_2012'!O53-J53), 0, +I53+'App.2-CG_MIFRS_DepExp_2012'!O53-J53)</f>
        <v>0</v>
      </c>
    </row>
    <row r="54" spans="1:15" x14ac:dyDescent="0.2">
      <c r="A54" s="227" t="s">
        <v>13</v>
      </c>
      <c r="B54" s="228"/>
      <c r="C54" s="204"/>
      <c r="D54" s="282"/>
      <c r="E54" s="226">
        <f t="shared" si="0"/>
        <v>0</v>
      </c>
      <c r="F54" s="796">
        <f>IF(D54=0,+'App.2-CG_MIFRS_DepExp_2012'!O54,+'App.2-CG_MIFRS_DepExp_2012'!O54+((C54*0.5)/D54))</f>
        <v>0</v>
      </c>
      <c r="G54" s="204"/>
      <c r="H54" s="796">
        <f t="shared" si="1"/>
        <v>0</v>
      </c>
      <c r="I54" s="796">
        <f t="shared" si="2"/>
        <v>0</v>
      </c>
      <c r="J54" s="204"/>
      <c r="K54" s="796">
        <f>IF(ISERROR(+I54+'App.2-CG_MIFRS_DepExp_2012'!O54-J54), 0, +I54+'App.2-CG_MIFRS_DepExp_2012'!O54-J54)</f>
        <v>0</v>
      </c>
    </row>
    <row r="55" spans="1:15" ht="13.5" thickBot="1" x14ac:dyDescent="0.25">
      <c r="A55" s="287"/>
      <c r="B55" s="288"/>
      <c r="C55" s="204"/>
      <c r="D55" s="289"/>
      <c r="E55" s="590">
        <f t="shared" si="0"/>
        <v>0</v>
      </c>
      <c r="F55" s="796">
        <f>IF(D55=0,+'App.2-CG_MIFRS_DepExp_2012'!O55,+'App.2-CG_MIFRS_DepExp_2012'!O55+((C55*0.5)/D55))</f>
        <v>0</v>
      </c>
      <c r="G55" s="204"/>
      <c r="H55" s="796">
        <f t="shared" si="1"/>
        <v>0</v>
      </c>
      <c r="I55" s="796">
        <f t="shared" si="2"/>
        <v>0</v>
      </c>
      <c r="J55" s="204"/>
      <c r="K55" s="796">
        <f>IF(ISERROR(+I55+'App.2-CG_MIFRS_DepExp_2012'!O55-J55), 0, +I55+'App.2-CG_MIFRS_DepExp_2012'!O55-J55)</f>
        <v>0</v>
      </c>
    </row>
    <row r="56" spans="1:15" ht="14.25" thickTop="1" thickBot="1" x14ac:dyDescent="0.25">
      <c r="A56" s="290"/>
      <c r="B56" s="291" t="s">
        <v>413</v>
      </c>
      <c r="C56" s="796">
        <f>SUM(C16:C55)</f>
        <v>0</v>
      </c>
      <c r="D56" s="292"/>
      <c r="E56" s="591"/>
      <c r="F56" s="796">
        <f t="shared" ref="F56:K56" si="3">SUM(F16:F55)</f>
        <v>0</v>
      </c>
      <c r="G56" s="796">
        <f t="shared" si="3"/>
        <v>0</v>
      </c>
      <c r="H56" s="796">
        <f t="shared" si="3"/>
        <v>0</v>
      </c>
      <c r="I56" s="796">
        <f t="shared" si="3"/>
        <v>0</v>
      </c>
      <c r="J56" s="796">
        <f t="shared" si="3"/>
        <v>0</v>
      </c>
      <c r="K56" s="796">
        <f t="shared" si="3"/>
        <v>0</v>
      </c>
    </row>
    <row r="57" spans="1:15" x14ac:dyDescent="0.2">
      <c r="A57" s="239"/>
      <c r="B57" s="803" t="s">
        <v>778</v>
      </c>
      <c r="C57" s="176"/>
      <c r="D57" s="176"/>
      <c r="E57" s="176"/>
      <c r="F57" s="204">
        <v>0</v>
      </c>
      <c r="G57" s="176"/>
      <c r="H57" s="176"/>
      <c r="I57" s="176"/>
      <c r="J57" s="176"/>
      <c r="K57" s="176"/>
    </row>
    <row r="58" spans="1:15" ht="12.75" customHeight="1" x14ac:dyDescent="0.2">
      <c r="B58" s="803" t="s">
        <v>413</v>
      </c>
      <c r="C58" s="176"/>
      <c r="D58" s="176"/>
      <c r="E58" s="176"/>
      <c r="F58" s="796">
        <f>+F57+F56</f>
        <v>0</v>
      </c>
    </row>
    <row r="59" spans="1:15" x14ac:dyDescent="0.2">
      <c r="A59" s="217" t="s">
        <v>15</v>
      </c>
      <c r="H59" s="236"/>
    </row>
    <row r="60" spans="1:15" ht="27" customHeight="1" x14ac:dyDescent="0.2">
      <c r="A60" s="301">
        <v>1</v>
      </c>
      <c r="B60" s="1857" t="s">
        <v>607</v>
      </c>
      <c r="C60" s="1857"/>
      <c r="D60" s="1857"/>
      <c r="E60" s="1857"/>
      <c r="F60" s="1857"/>
      <c r="G60" s="1857"/>
      <c r="H60" s="1857"/>
      <c r="I60" s="1857"/>
      <c r="J60" s="1857"/>
      <c r="K60" s="1857"/>
    </row>
    <row r="61" spans="1:15" x14ac:dyDescent="0.2">
      <c r="A61" s="301">
        <v>2</v>
      </c>
      <c r="B61" s="1857" t="s">
        <v>1934</v>
      </c>
      <c r="C61" s="1857"/>
      <c r="D61" s="1857"/>
      <c r="E61" s="1857"/>
      <c r="F61" s="1857"/>
      <c r="G61" s="1857"/>
      <c r="H61" s="1857"/>
      <c r="I61" s="1857"/>
      <c r="J61" s="1857"/>
      <c r="K61" s="1857"/>
    </row>
    <row r="62" spans="1:15" ht="27.75" customHeight="1" x14ac:dyDescent="0.2">
      <c r="A62" s="286">
        <v>3</v>
      </c>
      <c r="B62" s="1790" t="s">
        <v>718</v>
      </c>
      <c r="C62" s="1790"/>
      <c r="D62" s="1790"/>
      <c r="E62" s="1790"/>
      <c r="F62" s="1790"/>
      <c r="G62" s="1790"/>
      <c r="H62" s="1790"/>
      <c r="I62" s="1790"/>
      <c r="J62" s="1790"/>
      <c r="K62" s="1790"/>
      <c r="L62" s="673"/>
      <c r="M62" s="673"/>
      <c r="N62" s="673"/>
      <c r="O62" s="673"/>
    </row>
    <row r="63" spans="1:15" x14ac:dyDescent="0.2">
      <c r="A63" s="286"/>
      <c r="B63" s="672"/>
      <c r="C63" s="672"/>
      <c r="D63" s="672"/>
      <c r="E63" s="672"/>
      <c r="F63" s="672"/>
      <c r="G63" s="672"/>
      <c r="H63" s="672"/>
      <c r="I63" s="672"/>
      <c r="J63" s="672"/>
      <c r="K63" s="672"/>
      <c r="L63" s="673"/>
      <c r="M63" s="673"/>
      <c r="N63" s="673"/>
      <c r="O63" s="673"/>
    </row>
    <row r="64" spans="1:15" x14ac:dyDescent="0.2">
      <c r="A64" s="217" t="s">
        <v>325</v>
      </c>
      <c r="B64" s="1869" t="s">
        <v>270</v>
      </c>
      <c r="C64" s="1869"/>
      <c r="D64" s="1869"/>
      <c r="E64" s="1869"/>
      <c r="F64" s="1869"/>
      <c r="G64" s="1869"/>
      <c r="H64" s="1869"/>
      <c r="I64" s="1869"/>
      <c r="J64" s="1869"/>
      <c r="K64" s="1869"/>
    </row>
    <row r="65" spans="2:13" ht="12.75" customHeight="1" x14ac:dyDescent="0.2">
      <c r="B65" s="1869"/>
      <c r="C65" s="1869"/>
      <c r="D65" s="1869"/>
      <c r="E65" s="1869"/>
      <c r="F65" s="1869"/>
      <c r="G65" s="1869"/>
      <c r="H65" s="1869"/>
      <c r="I65" s="1869"/>
      <c r="J65" s="1869"/>
      <c r="K65" s="1869"/>
      <c r="L65" s="675"/>
      <c r="M65" s="675"/>
    </row>
    <row r="66" spans="2:13" x14ac:dyDescent="0.2">
      <c r="L66" s="675"/>
      <c r="M66" s="675"/>
    </row>
    <row r="67" spans="2:13" x14ac:dyDescent="0.2">
      <c r="L67" s="675"/>
      <c r="M67" s="675"/>
    </row>
    <row r="73" spans="2:13" x14ac:dyDescent="0.2">
      <c r="L73" s="677"/>
    </row>
    <row r="74" spans="2:13" x14ac:dyDescent="0.2">
      <c r="E74" s="236"/>
      <c r="F74" s="236"/>
      <c r="G74" s="236"/>
      <c r="H74" s="236"/>
      <c r="I74" s="236"/>
      <c r="J74" s="236"/>
      <c r="K74" s="236"/>
      <c r="L74" s="236"/>
      <c r="M74" s="236"/>
    </row>
    <row r="75" spans="2:13" x14ac:dyDescent="0.2">
      <c r="K75" s="236"/>
      <c r="L75" s="236"/>
      <c r="M75" s="236"/>
    </row>
    <row r="76" spans="2:13" x14ac:dyDescent="0.2">
      <c r="K76" s="236"/>
      <c r="L76" s="236"/>
      <c r="M76" s="236"/>
    </row>
    <row r="77" spans="2:13" x14ac:dyDescent="0.2">
      <c r="K77" s="236"/>
      <c r="L77" s="236"/>
      <c r="M77" s="236"/>
    </row>
    <row r="79" spans="2:13" x14ac:dyDescent="0.2">
      <c r="E79" s="236"/>
    </row>
    <row r="80" spans="2:13" x14ac:dyDescent="0.2">
      <c r="E80" s="236"/>
    </row>
  </sheetData>
  <mergeCells count="11">
    <mergeCell ref="B60:K60"/>
    <mergeCell ref="B61:K61"/>
    <mergeCell ref="B62:K62"/>
    <mergeCell ref="B64:K65"/>
    <mergeCell ref="A9:K9"/>
    <mergeCell ref="A10:K10"/>
    <mergeCell ref="A11:K11"/>
    <mergeCell ref="A14:A15"/>
    <mergeCell ref="B14:B15"/>
    <mergeCell ref="G14:G15"/>
    <mergeCell ref="J14:J15"/>
  </mergeCells>
  <dataValidations count="1">
    <dataValidation allowBlank="1" showInputMessage="1" showErrorMessage="1" promptTitle="Date Format" prompt="E.g:  &quot;August 1, 2011&quot;" sqref="H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H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H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H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H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H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H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H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H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H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H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H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H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H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H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H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dataValidations>
  <printOptions horizontalCentered="1"/>
  <pageMargins left="0.74803149606299213" right="0.74803149606299213" top="0.70866141732283472" bottom="0.39370078740157483" header="0.39370078740157483" footer="0.27559055118110237"/>
  <pageSetup scale="5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L70"/>
  <sheetViews>
    <sheetView showGridLines="0" zoomScaleNormal="100" workbookViewId="0">
      <selection activeCell="A10" sqref="A10:J10"/>
    </sheetView>
  </sheetViews>
  <sheetFormatPr defaultRowHeight="12.75" x14ac:dyDescent="0.2"/>
  <cols>
    <col min="1" max="1" width="9.140625" style="216"/>
    <col min="2" max="2" width="41.140625" style="216" customWidth="1"/>
    <col min="3" max="3" width="10" style="216" customWidth="1"/>
    <col min="4" max="4" width="10.140625" style="216" customWidth="1"/>
    <col min="5" max="5" width="12.28515625" style="216" customWidth="1"/>
    <col min="6" max="6" width="15.7109375" style="216" customWidth="1"/>
    <col min="7" max="7" width="17.7109375" style="216" customWidth="1"/>
    <col min="8" max="8" width="12.7109375" style="216" customWidth="1"/>
    <col min="9" max="9" width="12.85546875" style="216" customWidth="1"/>
    <col min="10" max="10" width="14.42578125" style="216" customWidth="1"/>
    <col min="11" max="255" width="9.140625" style="216"/>
    <col min="256" max="256" width="2.7109375" style="216" customWidth="1"/>
    <col min="257" max="257" width="9.140625" style="216"/>
    <col min="258" max="258" width="40.28515625" style="216" bestFit="1" customWidth="1"/>
    <col min="259" max="259" width="10" style="216" customWidth="1"/>
    <col min="260" max="260" width="10.140625" style="216" customWidth="1"/>
    <col min="261" max="261" width="12.28515625" style="216" customWidth="1"/>
    <col min="262" max="262" width="15.7109375" style="216" customWidth="1"/>
    <col min="263" max="263" width="12.85546875" style="216" customWidth="1"/>
    <col min="264" max="264" width="12.7109375" style="216" customWidth="1"/>
    <col min="265" max="265" width="12.85546875" style="216" customWidth="1"/>
    <col min="266" max="266" width="14.42578125" style="216" customWidth="1"/>
    <col min="267" max="511" width="9.140625" style="216"/>
    <col min="512" max="512" width="2.7109375" style="216" customWidth="1"/>
    <col min="513" max="513" width="9.140625" style="216"/>
    <col min="514" max="514" width="40.28515625" style="216" bestFit="1" customWidth="1"/>
    <col min="515" max="515" width="10" style="216" customWidth="1"/>
    <col min="516" max="516" width="10.140625" style="216" customWidth="1"/>
    <col min="517" max="517" width="12.28515625" style="216" customWidth="1"/>
    <col min="518" max="518" width="15.7109375" style="216" customWidth="1"/>
    <col min="519" max="519" width="12.85546875" style="216" customWidth="1"/>
    <col min="520" max="520" width="12.7109375" style="216" customWidth="1"/>
    <col min="521" max="521" width="12.85546875" style="216" customWidth="1"/>
    <col min="522" max="522" width="14.42578125" style="216" customWidth="1"/>
    <col min="523" max="767" width="9.140625" style="216"/>
    <col min="768" max="768" width="2.7109375" style="216" customWidth="1"/>
    <col min="769" max="769" width="9.140625" style="216"/>
    <col min="770" max="770" width="40.28515625" style="216" bestFit="1" customWidth="1"/>
    <col min="771" max="771" width="10" style="216" customWidth="1"/>
    <col min="772" max="772" width="10.140625" style="216" customWidth="1"/>
    <col min="773" max="773" width="12.28515625" style="216" customWidth="1"/>
    <col min="774" max="774" width="15.7109375" style="216" customWidth="1"/>
    <col min="775" max="775" width="12.85546875" style="216" customWidth="1"/>
    <col min="776" max="776" width="12.7109375" style="216" customWidth="1"/>
    <col min="777" max="777" width="12.85546875" style="216" customWidth="1"/>
    <col min="778" max="778" width="14.42578125" style="216" customWidth="1"/>
    <col min="779" max="1023" width="9.140625" style="216"/>
    <col min="1024" max="1024" width="2.7109375" style="216" customWidth="1"/>
    <col min="1025" max="1025" width="9.140625" style="216"/>
    <col min="1026" max="1026" width="40.28515625" style="216" bestFit="1" customWidth="1"/>
    <col min="1027" max="1027" width="10" style="216" customWidth="1"/>
    <col min="1028" max="1028" width="10.140625" style="216" customWidth="1"/>
    <col min="1029" max="1029" width="12.28515625" style="216" customWidth="1"/>
    <col min="1030" max="1030" width="15.7109375" style="216" customWidth="1"/>
    <col min="1031" max="1031" width="12.85546875" style="216" customWidth="1"/>
    <col min="1032" max="1032" width="12.7109375" style="216" customWidth="1"/>
    <col min="1033" max="1033" width="12.85546875" style="216" customWidth="1"/>
    <col min="1034" max="1034" width="14.42578125" style="216" customWidth="1"/>
    <col min="1035" max="1279" width="9.140625" style="216"/>
    <col min="1280" max="1280" width="2.7109375" style="216" customWidth="1"/>
    <col min="1281" max="1281" width="9.140625" style="216"/>
    <col min="1282" max="1282" width="40.28515625" style="216" bestFit="1" customWidth="1"/>
    <col min="1283" max="1283" width="10" style="216" customWidth="1"/>
    <col min="1284" max="1284" width="10.140625" style="216" customWidth="1"/>
    <col min="1285" max="1285" width="12.28515625" style="216" customWidth="1"/>
    <col min="1286" max="1286" width="15.7109375" style="216" customWidth="1"/>
    <col min="1287" max="1287" width="12.85546875" style="216" customWidth="1"/>
    <col min="1288" max="1288" width="12.7109375" style="216" customWidth="1"/>
    <col min="1289" max="1289" width="12.85546875" style="216" customWidth="1"/>
    <col min="1290" max="1290" width="14.42578125" style="216" customWidth="1"/>
    <col min="1291" max="1535" width="9.140625" style="216"/>
    <col min="1536" max="1536" width="2.7109375" style="216" customWidth="1"/>
    <col min="1537" max="1537" width="9.140625" style="216"/>
    <col min="1538" max="1538" width="40.28515625" style="216" bestFit="1" customWidth="1"/>
    <col min="1539" max="1539" width="10" style="216" customWidth="1"/>
    <col min="1540" max="1540" width="10.140625" style="216" customWidth="1"/>
    <col min="1541" max="1541" width="12.28515625" style="216" customWidth="1"/>
    <col min="1542" max="1542" width="15.7109375" style="216" customWidth="1"/>
    <col min="1543" max="1543" width="12.85546875" style="216" customWidth="1"/>
    <col min="1544" max="1544" width="12.7109375" style="216" customWidth="1"/>
    <col min="1545" max="1545" width="12.85546875" style="216" customWidth="1"/>
    <col min="1546" max="1546" width="14.42578125" style="216" customWidth="1"/>
    <col min="1547" max="1791" width="9.140625" style="216"/>
    <col min="1792" max="1792" width="2.7109375" style="216" customWidth="1"/>
    <col min="1793" max="1793" width="9.140625" style="216"/>
    <col min="1794" max="1794" width="40.28515625" style="216" bestFit="1" customWidth="1"/>
    <col min="1795" max="1795" width="10" style="216" customWidth="1"/>
    <col min="1796" max="1796" width="10.140625" style="216" customWidth="1"/>
    <col min="1797" max="1797" width="12.28515625" style="216" customWidth="1"/>
    <col min="1798" max="1798" width="15.7109375" style="216" customWidth="1"/>
    <col min="1799" max="1799" width="12.85546875" style="216" customWidth="1"/>
    <col min="1800" max="1800" width="12.7109375" style="216" customWidth="1"/>
    <col min="1801" max="1801" width="12.85546875" style="216" customWidth="1"/>
    <col min="1802" max="1802" width="14.42578125" style="216" customWidth="1"/>
    <col min="1803" max="2047" width="9.140625" style="216"/>
    <col min="2048" max="2048" width="2.7109375" style="216" customWidth="1"/>
    <col min="2049" max="2049" width="9.140625" style="216"/>
    <col min="2050" max="2050" width="40.28515625" style="216" bestFit="1" customWidth="1"/>
    <col min="2051" max="2051" width="10" style="216" customWidth="1"/>
    <col min="2052" max="2052" width="10.140625" style="216" customWidth="1"/>
    <col min="2053" max="2053" width="12.28515625" style="216" customWidth="1"/>
    <col min="2054" max="2054" width="15.7109375" style="216" customWidth="1"/>
    <col min="2055" max="2055" width="12.85546875" style="216" customWidth="1"/>
    <col min="2056" max="2056" width="12.7109375" style="216" customWidth="1"/>
    <col min="2057" max="2057" width="12.85546875" style="216" customWidth="1"/>
    <col min="2058" max="2058" width="14.42578125" style="216" customWidth="1"/>
    <col min="2059" max="2303" width="9.140625" style="216"/>
    <col min="2304" max="2304" width="2.7109375" style="216" customWidth="1"/>
    <col min="2305" max="2305" width="9.140625" style="216"/>
    <col min="2306" max="2306" width="40.28515625" style="216" bestFit="1" customWidth="1"/>
    <col min="2307" max="2307" width="10" style="216" customWidth="1"/>
    <col min="2308" max="2308" width="10.140625" style="216" customWidth="1"/>
    <col min="2309" max="2309" width="12.28515625" style="216" customWidth="1"/>
    <col min="2310" max="2310" width="15.7109375" style="216" customWidth="1"/>
    <col min="2311" max="2311" width="12.85546875" style="216" customWidth="1"/>
    <col min="2312" max="2312" width="12.7109375" style="216" customWidth="1"/>
    <col min="2313" max="2313" width="12.85546875" style="216" customWidth="1"/>
    <col min="2314" max="2314" width="14.42578125" style="216" customWidth="1"/>
    <col min="2315" max="2559" width="9.140625" style="216"/>
    <col min="2560" max="2560" width="2.7109375" style="216" customWidth="1"/>
    <col min="2561" max="2561" width="9.140625" style="216"/>
    <col min="2562" max="2562" width="40.28515625" style="216" bestFit="1" customWidth="1"/>
    <col min="2563" max="2563" width="10" style="216" customWidth="1"/>
    <col min="2564" max="2564" width="10.140625" style="216" customWidth="1"/>
    <col min="2565" max="2565" width="12.28515625" style="216" customWidth="1"/>
    <col min="2566" max="2566" width="15.7109375" style="216" customWidth="1"/>
    <col min="2567" max="2567" width="12.85546875" style="216" customWidth="1"/>
    <col min="2568" max="2568" width="12.7109375" style="216" customWidth="1"/>
    <col min="2569" max="2569" width="12.85546875" style="216" customWidth="1"/>
    <col min="2570" max="2570" width="14.42578125" style="216" customWidth="1"/>
    <col min="2571" max="2815" width="9.140625" style="216"/>
    <col min="2816" max="2816" width="2.7109375" style="216" customWidth="1"/>
    <col min="2817" max="2817" width="9.140625" style="216"/>
    <col min="2818" max="2818" width="40.28515625" style="216" bestFit="1" customWidth="1"/>
    <col min="2819" max="2819" width="10" style="216" customWidth="1"/>
    <col min="2820" max="2820" width="10.140625" style="216" customWidth="1"/>
    <col min="2821" max="2821" width="12.28515625" style="216" customWidth="1"/>
    <col min="2822" max="2822" width="15.7109375" style="216" customWidth="1"/>
    <col min="2823" max="2823" width="12.85546875" style="216" customWidth="1"/>
    <col min="2824" max="2824" width="12.7109375" style="216" customWidth="1"/>
    <col min="2825" max="2825" width="12.85546875" style="216" customWidth="1"/>
    <col min="2826" max="2826" width="14.42578125" style="216" customWidth="1"/>
    <col min="2827" max="3071" width="9.140625" style="216"/>
    <col min="3072" max="3072" width="2.7109375" style="216" customWidth="1"/>
    <col min="3073" max="3073" width="9.140625" style="216"/>
    <col min="3074" max="3074" width="40.28515625" style="216" bestFit="1" customWidth="1"/>
    <col min="3075" max="3075" width="10" style="216" customWidth="1"/>
    <col min="3076" max="3076" width="10.140625" style="216" customWidth="1"/>
    <col min="3077" max="3077" width="12.28515625" style="216" customWidth="1"/>
    <col min="3078" max="3078" width="15.7109375" style="216" customWidth="1"/>
    <col min="3079" max="3079" width="12.85546875" style="216" customWidth="1"/>
    <col min="3080" max="3080" width="12.7109375" style="216" customWidth="1"/>
    <col min="3081" max="3081" width="12.85546875" style="216" customWidth="1"/>
    <col min="3082" max="3082" width="14.42578125" style="216" customWidth="1"/>
    <col min="3083" max="3327" width="9.140625" style="216"/>
    <col min="3328" max="3328" width="2.7109375" style="216" customWidth="1"/>
    <col min="3329" max="3329" width="9.140625" style="216"/>
    <col min="3330" max="3330" width="40.28515625" style="216" bestFit="1" customWidth="1"/>
    <col min="3331" max="3331" width="10" style="216" customWidth="1"/>
    <col min="3332" max="3332" width="10.140625" style="216" customWidth="1"/>
    <col min="3333" max="3333" width="12.28515625" style="216" customWidth="1"/>
    <col min="3334" max="3334" width="15.7109375" style="216" customWidth="1"/>
    <col min="3335" max="3335" width="12.85546875" style="216" customWidth="1"/>
    <col min="3336" max="3336" width="12.7109375" style="216" customWidth="1"/>
    <col min="3337" max="3337" width="12.85546875" style="216" customWidth="1"/>
    <col min="3338" max="3338" width="14.42578125" style="216" customWidth="1"/>
    <col min="3339" max="3583" width="9.140625" style="216"/>
    <col min="3584" max="3584" width="2.7109375" style="216" customWidth="1"/>
    <col min="3585" max="3585" width="9.140625" style="216"/>
    <col min="3586" max="3586" width="40.28515625" style="216" bestFit="1" customWidth="1"/>
    <col min="3587" max="3587" width="10" style="216" customWidth="1"/>
    <col min="3588" max="3588" width="10.140625" style="216" customWidth="1"/>
    <col min="3589" max="3589" width="12.28515625" style="216" customWidth="1"/>
    <col min="3590" max="3590" width="15.7109375" style="216" customWidth="1"/>
    <col min="3591" max="3591" width="12.85546875" style="216" customWidth="1"/>
    <col min="3592" max="3592" width="12.7109375" style="216" customWidth="1"/>
    <col min="3593" max="3593" width="12.85546875" style="216" customWidth="1"/>
    <col min="3594" max="3594" width="14.42578125" style="216" customWidth="1"/>
    <col min="3595" max="3839" width="9.140625" style="216"/>
    <col min="3840" max="3840" width="2.7109375" style="216" customWidth="1"/>
    <col min="3841" max="3841" width="9.140625" style="216"/>
    <col min="3842" max="3842" width="40.28515625" style="216" bestFit="1" customWidth="1"/>
    <col min="3843" max="3843" width="10" style="216" customWidth="1"/>
    <col min="3844" max="3844" width="10.140625" style="216" customWidth="1"/>
    <col min="3845" max="3845" width="12.28515625" style="216" customWidth="1"/>
    <col min="3846" max="3846" width="15.7109375" style="216" customWidth="1"/>
    <col min="3847" max="3847" width="12.85546875" style="216" customWidth="1"/>
    <col min="3848" max="3848" width="12.7109375" style="216" customWidth="1"/>
    <col min="3849" max="3849" width="12.85546875" style="216" customWidth="1"/>
    <col min="3850" max="3850" width="14.42578125" style="216" customWidth="1"/>
    <col min="3851" max="4095" width="9.140625" style="216"/>
    <col min="4096" max="4096" width="2.7109375" style="216" customWidth="1"/>
    <col min="4097" max="4097" width="9.140625" style="216"/>
    <col min="4098" max="4098" width="40.28515625" style="216" bestFit="1" customWidth="1"/>
    <col min="4099" max="4099" width="10" style="216" customWidth="1"/>
    <col min="4100" max="4100" width="10.140625" style="216" customWidth="1"/>
    <col min="4101" max="4101" width="12.28515625" style="216" customWidth="1"/>
    <col min="4102" max="4102" width="15.7109375" style="216" customWidth="1"/>
    <col min="4103" max="4103" width="12.85546875" style="216" customWidth="1"/>
    <col min="4104" max="4104" width="12.7109375" style="216" customWidth="1"/>
    <col min="4105" max="4105" width="12.85546875" style="216" customWidth="1"/>
    <col min="4106" max="4106" width="14.42578125" style="216" customWidth="1"/>
    <col min="4107" max="4351" width="9.140625" style="216"/>
    <col min="4352" max="4352" width="2.7109375" style="216" customWidth="1"/>
    <col min="4353" max="4353" width="9.140625" style="216"/>
    <col min="4354" max="4354" width="40.28515625" style="216" bestFit="1" customWidth="1"/>
    <col min="4355" max="4355" width="10" style="216" customWidth="1"/>
    <col min="4356" max="4356" width="10.140625" style="216" customWidth="1"/>
    <col min="4357" max="4357" width="12.28515625" style="216" customWidth="1"/>
    <col min="4358" max="4358" width="15.7109375" style="216" customWidth="1"/>
    <col min="4359" max="4359" width="12.85546875" style="216" customWidth="1"/>
    <col min="4360" max="4360" width="12.7109375" style="216" customWidth="1"/>
    <col min="4361" max="4361" width="12.85546875" style="216" customWidth="1"/>
    <col min="4362" max="4362" width="14.42578125" style="216" customWidth="1"/>
    <col min="4363" max="4607" width="9.140625" style="216"/>
    <col min="4608" max="4608" width="2.7109375" style="216" customWidth="1"/>
    <col min="4609" max="4609" width="9.140625" style="216"/>
    <col min="4610" max="4610" width="40.28515625" style="216" bestFit="1" customWidth="1"/>
    <col min="4611" max="4611" width="10" style="216" customWidth="1"/>
    <col min="4612" max="4612" width="10.140625" style="216" customWidth="1"/>
    <col min="4613" max="4613" width="12.28515625" style="216" customWidth="1"/>
    <col min="4614" max="4614" width="15.7109375" style="216" customWidth="1"/>
    <col min="4615" max="4615" width="12.85546875" style="216" customWidth="1"/>
    <col min="4616" max="4616" width="12.7109375" style="216" customWidth="1"/>
    <col min="4617" max="4617" width="12.85546875" style="216" customWidth="1"/>
    <col min="4618" max="4618" width="14.42578125" style="216" customWidth="1"/>
    <col min="4619" max="4863" width="9.140625" style="216"/>
    <col min="4864" max="4864" width="2.7109375" style="216" customWidth="1"/>
    <col min="4865" max="4865" width="9.140625" style="216"/>
    <col min="4866" max="4866" width="40.28515625" style="216" bestFit="1" customWidth="1"/>
    <col min="4867" max="4867" width="10" style="216" customWidth="1"/>
    <col min="4868" max="4868" width="10.140625" style="216" customWidth="1"/>
    <col min="4869" max="4869" width="12.28515625" style="216" customWidth="1"/>
    <col min="4870" max="4870" width="15.7109375" style="216" customWidth="1"/>
    <col min="4871" max="4871" width="12.85546875" style="216" customWidth="1"/>
    <col min="4872" max="4872" width="12.7109375" style="216" customWidth="1"/>
    <col min="4873" max="4873" width="12.85546875" style="216" customWidth="1"/>
    <col min="4874" max="4874" width="14.42578125" style="216" customWidth="1"/>
    <col min="4875" max="5119" width="9.140625" style="216"/>
    <col min="5120" max="5120" width="2.7109375" style="216" customWidth="1"/>
    <col min="5121" max="5121" width="9.140625" style="216"/>
    <col min="5122" max="5122" width="40.28515625" style="216" bestFit="1" customWidth="1"/>
    <col min="5123" max="5123" width="10" style="216" customWidth="1"/>
    <col min="5124" max="5124" width="10.140625" style="216" customWidth="1"/>
    <col min="5125" max="5125" width="12.28515625" style="216" customWidth="1"/>
    <col min="5126" max="5126" width="15.7109375" style="216" customWidth="1"/>
    <col min="5127" max="5127" width="12.85546875" style="216" customWidth="1"/>
    <col min="5128" max="5128" width="12.7109375" style="216" customWidth="1"/>
    <col min="5129" max="5129" width="12.85546875" style="216" customWidth="1"/>
    <col min="5130" max="5130" width="14.42578125" style="216" customWidth="1"/>
    <col min="5131" max="5375" width="9.140625" style="216"/>
    <col min="5376" max="5376" width="2.7109375" style="216" customWidth="1"/>
    <col min="5377" max="5377" width="9.140625" style="216"/>
    <col min="5378" max="5378" width="40.28515625" style="216" bestFit="1" customWidth="1"/>
    <col min="5379" max="5379" width="10" style="216" customWidth="1"/>
    <col min="5380" max="5380" width="10.140625" style="216" customWidth="1"/>
    <col min="5381" max="5381" width="12.28515625" style="216" customWidth="1"/>
    <col min="5382" max="5382" width="15.7109375" style="216" customWidth="1"/>
    <col min="5383" max="5383" width="12.85546875" style="216" customWidth="1"/>
    <col min="5384" max="5384" width="12.7109375" style="216" customWidth="1"/>
    <col min="5385" max="5385" width="12.85546875" style="216" customWidth="1"/>
    <col min="5386" max="5386" width="14.42578125" style="216" customWidth="1"/>
    <col min="5387" max="5631" width="9.140625" style="216"/>
    <col min="5632" max="5632" width="2.7109375" style="216" customWidth="1"/>
    <col min="5633" max="5633" width="9.140625" style="216"/>
    <col min="5634" max="5634" width="40.28515625" style="216" bestFit="1" customWidth="1"/>
    <col min="5635" max="5635" width="10" style="216" customWidth="1"/>
    <col min="5636" max="5636" width="10.140625" style="216" customWidth="1"/>
    <col min="5637" max="5637" width="12.28515625" style="216" customWidth="1"/>
    <col min="5638" max="5638" width="15.7109375" style="216" customWidth="1"/>
    <col min="5639" max="5639" width="12.85546875" style="216" customWidth="1"/>
    <col min="5640" max="5640" width="12.7109375" style="216" customWidth="1"/>
    <col min="5641" max="5641" width="12.85546875" style="216" customWidth="1"/>
    <col min="5642" max="5642" width="14.42578125" style="216" customWidth="1"/>
    <col min="5643" max="5887" width="9.140625" style="216"/>
    <col min="5888" max="5888" width="2.7109375" style="216" customWidth="1"/>
    <col min="5889" max="5889" width="9.140625" style="216"/>
    <col min="5890" max="5890" width="40.28515625" style="216" bestFit="1" customWidth="1"/>
    <col min="5891" max="5891" width="10" style="216" customWidth="1"/>
    <col min="5892" max="5892" width="10.140625" style="216" customWidth="1"/>
    <col min="5893" max="5893" width="12.28515625" style="216" customWidth="1"/>
    <col min="5894" max="5894" width="15.7109375" style="216" customWidth="1"/>
    <col min="5895" max="5895" width="12.85546875" style="216" customWidth="1"/>
    <col min="5896" max="5896" width="12.7109375" style="216" customWidth="1"/>
    <col min="5897" max="5897" width="12.85546875" style="216" customWidth="1"/>
    <col min="5898" max="5898" width="14.42578125" style="216" customWidth="1"/>
    <col min="5899" max="6143" width="9.140625" style="216"/>
    <col min="6144" max="6144" width="2.7109375" style="216" customWidth="1"/>
    <col min="6145" max="6145" width="9.140625" style="216"/>
    <col min="6146" max="6146" width="40.28515625" style="216" bestFit="1" customWidth="1"/>
    <col min="6147" max="6147" width="10" style="216" customWidth="1"/>
    <col min="6148" max="6148" width="10.140625" style="216" customWidth="1"/>
    <col min="6149" max="6149" width="12.28515625" style="216" customWidth="1"/>
    <col min="6150" max="6150" width="15.7109375" style="216" customWidth="1"/>
    <col min="6151" max="6151" width="12.85546875" style="216" customWidth="1"/>
    <col min="6152" max="6152" width="12.7109375" style="216" customWidth="1"/>
    <col min="6153" max="6153" width="12.85546875" style="216" customWidth="1"/>
    <col min="6154" max="6154" width="14.42578125" style="216" customWidth="1"/>
    <col min="6155" max="6399" width="9.140625" style="216"/>
    <col min="6400" max="6400" width="2.7109375" style="216" customWidth="1"/>
    <col min="6401" max="6401" width="9.140625" style="216"/>
    <col min="6402" max="6402" width="40.28515625" style="216" bestFit="1" customWidth="1"/>
    <col min="6403" max="6403" width="10" style="216" customWidth="1"/>
    <col min="6404" max="6404" width="10.140625" style="216" customWidth="1"/>
    <col min="6405" max="6405" width="12.28515625" style="216" customWidth="1"/>
    <col min="6406" max="6406" width="15.7109375" style="216" customWidth="1"/>
    <col min="6407" max="6407" width="12.85546875" style="216" customWidth="1"/>
    <col min="6408" max="6408" width="12.7109375" style="216" customWidth="1"/>
    <col min="6409" max="6409" width="12.85546875" style="216" customWidth="1"/>
    <col min="6410" max="6410" width="14.42578125" style="216" customWidth="1"/>
    <col min="6411" max="6655" width="9.140625" style="216"/>
    <col min="6656" max="6656" width="2.7109375" style="216" customWidth="1"/>
    <col min="6657" max="6657" width="9.140625" style="216"/>
    <col min="6658" max="6658" width="40.28515625" style="216" bestFit="1" customWidth="1"/>
    <col min="6659" max="6659" width="10" style="216" customWidth="1"/>
    <col min="6660" max="6660" width="10.140625" style="216" customWidth="1"/>
    <col min="6661" max="6661" width="12.28515625" style="216" customWidth="1"/>
    <col min="6662" max="6662" width="15.7109375" style="216" customWidth="1"/>
    <col min="6663" max="6663" width="12.85546875" style="216" customWidth="1"/>
    <col min="6664" max="6664" width="12.7109375" style="216" customWidth="1"/>
    <col min="6665" max="6665" width="12.85546875" style="216" customWidth="1"/>
    <col min="6666" max="6666" width="14.42578125" style="216" customWidth="1"/>
    <col min="6667" max="6911" width="9.140625" style="216"/>
    <col min="6912" max="6912" width="2.7109375" style="216" customWidth="1"/>
    <col min="6913" max="6913" width="9.140625" style="216"/>
    <col min="6914" max="6914" width="40.28515625" style="216" bestFit="1" customWidth="1"/>
    <col min="6915" max="6915" width="10" style="216" customWidth="1"/>
    <col min="6916" max="6916" width="10.140625" style="216" customWidth="1"/>
    <col min="6917" max="6917" width="12.28515625" style="216" customWidth="1"/>
    <col min="6918" max="6918" width="15.7109375" style="216" customWidth="1"/>
    <col min="6919" max="6919" width="12.85546875" style="216" customWidth="1"/>
    <col min="6920" max="6920" width="12.7109375" style="216" customWidth="1"/>
    <col min="6921" max="6921" width="12.85546875" style="216" customWidth="1"/>
    <col min="6922" max="6922" width="14.42578125" style="216" customWidth="1"/>
    <col min="6923" max="7167" width="9.140625" style="216"/>
    <col min="7168" max="7168" width="2.7109375" style="216" customWidth="1"/>
    <col min="7169" max="7169" width="9.140625" style="216"/>
    <col min="7170" max="7170" width="40.28515625" style="216" bestFit="1" customWidth="1"/>
    <col min="7171" max="7171" width="10" style="216" customWidth="1"/>
    <col min="7172" max="7172" width="10.140625" style="216" customWidth="1"/>
    <col min="7173" max="7173" width="12.28515625" style="216" customWidth="1"/>
    <col min="7174" max="7174" width="15.7109375" style="216" customWidth="1"/>
    <col min="7175" max="7175" width="12.85546875" style="216" customWidth="1"/>
    <col min="7176" max="7176" width="12.7109375" style="216" customWidth="1"/>
    <col min="7177" max="7177" width="12.85546875" style="216" customWidth="1"/>
    <col min="7178" max="7178" width="14.42578125" style="216" customWidth="1"/>
    <col min="7179" max="7423" width="9.140625" style="216"/>
    <col min="7424" max="7424" width="2.7109375" style="216" customWidth="1"/>
    <col min="7425" max="7425" width="9.140625" style="216"/>
    <col min="7426" max="7426" width="40.28515625" style="216" bestFit="1" customWidth="1"/>
    <col min="7427" max="7427" width="10" style="216" customWidth="1"/>
    <col min="7428" max="7428" width="10.140625" style="216" customWidth="1"/>
    <col min="7429" max="7429" width="12.28515625" style="216" customWidth="1"/>
    <col min="7430" max="7430" width="15.7109375" style="216" customWidth="1"/>
    <col min="7431" max="7431" width="12.85546875" style="216" customWidth="1"/>
    <col min="7432" max="7432" width="12.7109375" style="216" customWidth="1"/>
    <col min="7433" max="7433" width="12.85546875" style="216" customWidth="1"/>
    <col min="7434" max="7434" width="14.42578125" style="216" customWidth="1"/>
    <col min="7435" max="7679" width="9.140625" style="216"/>
    <col min="7680" max="7680" width="2.7109375" style="216" customWidth="1"/>
    <col min="7681" max="7681" width="9.140625" style="216"/>
    <col min="7682" max="7682" width="40.28515625" style="216" bestFit="1" customWidth="1"/>
    <col min="7683" max="7683" width="10" style="216" customWidth="1"/>
    <col min="7684" max="7684" width="10.140625" style="216" customWidth="1"/>
    <col min="7685" max="7685" width="12.28515625" style="216" customWidth="1"/>
    <col min="7686" max="7686" width="15.7109375" style="216" customWidth="1"/>
    <col min="7687" max="7687" width="12.85546875" style="216" customWidth="1"/>
    <col min="7688" max="7688" width="12.7109375" style="216" customWidth="1"/>
    <col min="7689" max="7689" width="12.85546875" style="216" customWidth="1"/>
    <col min="7690" max="7690" width="14.42578125" style="216" customWidth="1"/>
    <col min="7691" max="7935" width="9.140625" style="216"/>
    <col min="7936" max="7936" width="2.7109375" style="216" customWidth="1"/>
    <col min="7937" max="7937" width="9.140625" style="216"/>
    <col min="7938" max="7938" width="40.28515625" style="216" bestFit="1" customWidth="1"/>
    <col min="7939" max="7939" width="10" style="216" customWidth="1"/>
    <col min="7940" max="7940" width="10.140625" style="216" customWidth="1"/>
    <col min="7941" max="7941" width="12.28515625" style="216" customWidth="1"/>
    <col min="7942" max="7942" width="15.7109375" style="216" customWidth="1"/>
    <col min="7943" max="7943" width="12.85546875" style="216" customWidth="1"/>
    <col min="7944" max="7944" width="12.7109375" style="216" customWidth="1"/>
    <col min="7945" max="7945" width="12.85546875" style="216" customWidth="1"/>
    <col min="7946" max="7946" width="14.42578125" style="216" customWidth="1"/>
    <col min="7947" max="8191" width="9.140625" style="216"/>
    <col min="8192" max="8192" width="2.7109375" style="216" customWidth="1"/>
    <col min="8193" max="8193" width="9.140625" style="216"/>
    <col min="8194" max="8194" width="40.28515625" style="216" bestFit="1" customWidth="1"/>
    <col min="8195" max="8195" width="10" style="216" customWidth="1"/>
    <col min="8196" max="8196" width="10.140625" style="216" customWidth="1"/>
    <col min="8197" max="8197" width="12.28515625" style="216" customWidth="1"/>
    <col min="8198" max="8198" width="15.7109375" style="216" customWidth="1"/>
    <col min="8199" max="8199" width="12.85546875" style="216" customWidth="1"/>
    <col min="8200" max="8200" width="12.7109375" style="216" customWidth="1"/>
    <col min="8201" max="8201" width="12.85546875" style="216" customWidth="1"/>
    <col min="8202" max="8202" width="14.42578125" style="216" customWidth="1"/>
    <col min="8203" max="8447" width="9.140625" style="216"/>
    <col min="8448" max="8448" width="2.7109375" style="216" customWidth="1"/>
    <col min="8449" max="8449" width="9.140625" style="216"/>
    <col min="8450" max="8450" width="40.28515625" style="216" bestFit="1" customWidth="1"/>
    <col min="8451" max="8451" width="10" style="216" customWidth="1"/>
    <col min="8452" max="8452" width="10.140625" style="216" customWidth="1"/>
    <col min="8453" max="8453" width="12.28515625" style="216" customWidth="1"/>
    <col min="8454" max="8454" width="15.7109375" style="216" customWidth="1"/>
    <col min="8455" max="8455" width="12.85546875" style="216" customWidth="1"/>
    <col min="8456" max="8456" width="12.7109375" style="216" customWidth="1"/>
    <col min="8457" max="8457" width="12.85546875" style="216" customWidth="1"/>
    <col min="8458" max="8458" width="14.42578125" style="216" customWidth="1"/>
    <col min="8459" max="8703" width="9.140625" style="216"/>
    <col min="8704" max="8704" width="2.7109375" style="216" customWidth="1"/>
    <col min="8705" max="8705" width="9.140625" style="216"/>
    <col min="8706" max="8706" width="40.28515625" style="216" bestFit="1" customWidth="1"/>
    <col min="8707" max="8707" width="10" style="216" customWidth="1"/>
    <col min="8708" max="8708" width="10.140625" style="216" customWidth="1"/>
    <col min="8709" max="8709" width="12.28515625" style="216" customWidth="1"/>
    <col min="8710" max="8710" width="15.7109375" style="216" customWidth="1"/>
    <col min="8711" max="8711" width="12.85546875" style="216" customWidth="1"/>
    <col min="8712" max="8712" width="12.7109375" style="216" customWidth="1"/>
    <col min="8713" max="8713" width="12.85546875" style="216" customWidth="1"/>
    <col min="8714" max="8714" width="14.42578125" style="216" customWidth="1"/>
    <col min="8715" max="8959" width="9.140625" style="216"/>
    <col min="8960" max="8960" width="2.7109375" style="216" customWidth="1"/>
    <col min="8961" max="8961" width="9.140625" style="216"/>
    <col min="8962" max="8962" width="40.28515625" style="216" bestFit="1" customWidth="1"/>
    <col min="8963" max="8963" width="10" style="216" customWidth="1"/>
    <col min="8964" max="8964" width="10.140625" style="216" customWidth="1"/>
    <col min="8965" max="8965" width="12.28515625" style="216" customWidth="1"/>
    <col min="8966" max="8966" width="15.7109375" style="216" customWidth="1"/>
    <col min="8967" max="8967" width="12.85546875" style="216" customWidth="1"/>
    <col min="8968" max="8968" width="12.7109375" style="216" customWidth="1"/>
    <col min="8969" max="8969" width="12.85546875" style="216" customWidth="1"/>
    <col min="8970" max="8970" width="14.42578125" style="216" customWidth="1"/>
    <col min="8971" max="9215" width="9.140625" style="216"/>
    <col min="9216" max="9216" width="2.7109375" style="216" customWidth="1"/>
    <col min="9217" max="9217" width="9.140625" style="216"/>
    <col min="9218" max="9218" width="40.28515625" style="216" bestFit="1" customWidth="1"/>
    <col min="9219" max="9219" width="10" style="216" customWidth="1"/>
    <col min="9220" max="9220" width="10.140625" style="216" customWidth="1"/>
    <col min="9221" max="9221" width="12.28515625" style="216" customWidth="1"/>
    <col min="9222" max="9222" width="15.7109375" style="216" customWidth="1"/>
    <col min="9223" max="9223" width="12.85546875" style="216" customWidth="1"/>
    <col min="9224" max="9224" width="12.7109375" style="216" customWidth="1"/>
    <col min="9225" max="9225" width="12.85546875" style="216" customWidth="1"/>
    <col min="9226" max="9226" width="14.42578125" style="216" customWidth="1"/>
    <col min="9227" max="9471" width="9.140625" style="216"/>
    <col min="9472" max="9472" width="2.7109375" style="216" customWidth="1"/>
    <col min="9473" max="9473" width="9.140625" style="216"/>
    <col min="9474" max="9474" width="40.28515625" style="216" bestFit="1" customWidth="1"/>
    <col min="9475" max="9475" width="10" style="216" customWidth="1"/>
    <col min="9476" max="9476" width="10.140625" style="216" customWidth="1"/>
    <col min="9477" max="9477" width="12.28515625" style="216" customWidth="1"/>
    <col min="9478" max="9478" width="15.7109375" style="216" customWidth="1"/>
    <col min="9479" max="9479" width="12.85546875" style="216" customWidth="1"/>
    <col min="9480" max="9480" width="12.7109375" style="216" customWidth="1"/>
    <col min="9481" max="9481" width="12.85546875" style="216" customWidth="1"/>
    <col min="9482" max="9482" width="14.42578125" style="216" customWidth="1"/>
    <col min="9483" max="9727" width="9.140625" style="216"/>
    <col min="9728" max="9728" width="2.7109375" style="216" customWidth="1"/>
    <col min="9729" max="9729" width="9.140625" style="216"/>
    <col min="9730" max="9730" width="40.28515625" style="216" bestFit="1" customWidth="1"/>
    <col min="9731" max="9731" width="10" style="216" customWidth="1"/>
    <col min="9732" max="9732" width="10.140625" style="216" customWidth="1"/>
    <col min="9733" max="9733" width="12.28515625" style="216" customWidth="1"/>
    <col min="9734" max="9734" width="15.7109375" style="216" customWidth="1"/>
    <col min="9735" max="9735" width="12.85546875" style="216" customWidth="1"/>
    <col min="9736" max="9736" width="12.7109375" style="216" customWidth="1"/>
    <col min="9737" max="9737" width="12.85546875" style="216" customWidth="1"/>
    <col min="9738" max="9738" width="14.42578125" style="216" customWidth="1"/>
    <col min="9739" max="9983" width="9.140625" style="216"/>
    <col min="9984" max="9984" width="2.7109375" style="216" customWidth="1"/>
    <col min="9985" max="9985" width="9.140625" style="216"/>
    <col min="9986" max="9986" width="40.28515625" style="216" bestFit="1" customWidth="1"/>
    <col min="9987" max="9987" width="10" style="216" customWidth="1"/>
    <col min="9988" max="9988" width="10.140625" style="216" customWidth="1"/>
    <col min="9989" max="9989" width="12.28515625" style="216" customWidth="1"/>
    <col min="9990" max="9990" width="15.7109375" style="216" customWidth="1"/>
    <col min="9991" max="9991" width="12.85546875" style="216" customWidth="1"/>
    <col min="9992" max="9992" width="12.7109375" style="216" customWidth="1"/>
    <col min="9993" max="9993" width="12.85546875" style="216" customWidth="1"/>
    <col min="9994" max="9994" width="14.42578125" style="216" customWidth="1"/>
    <col min="9995" max="10239" width="9.140625" style="216"/>
    <col min="10240" max="10240" width="2.7109375" style="216" customWidth="1"/>
    <col min="10241" max="10241" width="9.140625" style="216"/>
    <col min="10242" max="10242" width="40.28515625" style="216" bestFit="1" customWidth="1"/>
    <col min="10243" max="10243" width="10" style="216" customWidth="1"/>
    <col min="10244" max="10244" width="10.140625" style="216" customWidth="1"/>
    <col min="10245" max="10245" width="12.28515625" style="216" customWidth="1"/>
    <col min="10246" max="10246" width="15.7109375" style="216" customWidth="1"/>
    <col min="10247" max="10247" width="12.85546875" style="216" customWidth="1"/>
    <col min="10248" max="10248" width="12.7109375" style="216" customWidth="1"/>
    <col min="10249" max="10249" width="12.85546875" style="216" customWidth="1"/>
    <col min="10250" max="10250" width="14.42578125" style="216" customWidth="1"/>
    <col min="10251" max="10495" width="9.140625" style="216"/>
    <col min="10496" max="10496" width="2.7109375" style="216" customWidth="1"/>
    <col min="10497" max="10497" width="9.140625" style="216"/>
    <col min="10498" max="10498" width="40.28515625" style="216" bestFit="1" customWidth="1"/>
    <col min="10499" max="10499" width="10" style="216" customWidth="1"/>
    <col min="10500" max="10500" width="10.140625" style="216" customWidth="1"/>
    <col min="10501" max="10501" width="12.28515625" style="216" customWidth="1"/>
    <col min="10502" max="10502" width="15.7109375" style="216" customWidth="1"/>
    <col min="10503" max="10503" width="12.85546875" style="216" customWidth="1"/>
    <col min="10504" max="10504" width="12.7109375" style="216" customWidth="1"/>
    <col min="10505" max="10505" width="12.85546875" style="216" customWidth="1"/>
    <col min="10506" max="10506" width="14.42578125" style="216" customWidth="1"/>
    <col min="10507" max="10751" width="9.140625" style="216"/>
    <col min="10752" max="10752" width="2.7109375" style="216" customWidth="1"/>
    <col min="10753" max="10753" width="9.140625" style="216"/>
    <col min="10754" max="10754" width="40.28515625" style="216" bestFit="1" customWidth="1"/>
    <col min="10755" max="10755" width="10" style="216" customWidth="1"/>
    <col min="10756" max="10756" width="10.140625" style="216" customWidth="1"/>
    <col min="10757" max="10757" width="12.28515625" style="216" customWidth="1"/>
    <col min="10758" max="10758" width="15.7109375" style="216" customWidth="1"/>
    <col min="10759" max="10759" width="12.85546875" style="216" customWidth="1"/>
    <col min="10760" max="10760" width="12.7109375" style="216" customWidth="1"/>
    <col min="10761" max="10761" width="12.85546875" style="216" customWidth="1"/>
    <col min="10762" max="10762" width="14.42578125" style="216" customWidth="1"/>
    <col min="10763" max="11007" width="9.140625" style="216"/>
    <col min="11008" max="11008" width="2.7109375" style="216" customWidth="1"/>
    <col min="11009" max="11009" width="9.140625" style="216"/>
    <col min="11010" max="11010" width="40.28515625" style="216" bestFit="1" customWidth="1"/>
    <col min="11011" max="11011" width="10" style="216" customWidth="1"/>
    <col min="11012" max="11012" width="10.140625" style="216" customWidth="1"/>
    <col min="11013" max="11013" width="12.28515625" style="216" customWidth="1"/>
    <col min="11014" max="11014" width="15.7109375" style="216" customWidth="1"/>
    <col min="11015" max="11015" width="12.85546875" style="216" customWidth="1"/>
    <col min="11016" max="11016" width="12.7109375" style="216" customWidth="1"/>
    <col min="11017" max="11017" width="12.85546875" style="216" customWidth="1"/>
    <col min="11018" max="11018" width="14.42578125" style="216" customWidth="1"/>
    <col min="11019" max="11263" width="9.140625" style="216"/>
    <col min="11264" max="11264" width="2.7109375" style="216" customWidth="1"/>
    <col min="11265" max="11265" width="9.140625" style="216"/>
    <col min="11266" max="11266" width="40.28515625" style="216" bestFit="1" customWidth="1"/>
    <col min="11267" max="11267" width="10" style="216" customWidth="1"/>
    <col min="11268" max="11268" width="10.140625" style="216" customWidth="1"/>
    <col min="11269" max="11269" width="12.28515625" style="216" customWidth="1"/>
    <col min="11270" max="11270" width="15.7109375" style="216" customWidth="1"/>
    <col min="11271" max="11271" width="12.85546875" style="216" customWidth="1"/>
    <col min="11272" max="11272" width="12.7109375" style="216" customWidth="1"/>
    <col min="11273" max="11273" width="12.85546875" style="216" customWidth="1"/>
    <col min="11274" max="11274" width="14.42578125" style="216" customWidth="1"/>
    <col min="11275" max="11519" width="9.140625" style="216"/>
    <col min="11520" max="11520" width="2.7109375" style="216" customWidth="1"/>
    <col min="11521" max="11521" width="9.140625" style="216"/>
    <col min="11522" max="11522" width="40.28515625" style="216" bestFit="1" customWidth="1"/>
    <col min="11523" max="11523" width="10" style="216" customWidth="1"/>
    <col min="11524" max="11524" width="10.140625" style="216" customWidth="1"/>
    <col min="11525" max="11525" width="12.28515625" style="216" customWidth="1"/>
    <col min="11526" max="11526" width="15.7109375" style="216" customWidth="1"/>
    <col min="11527" max="11527" width="12.85546875" style="216" customWidth="1"/>
    <col min="11528" max="11528" width="12.7109375" style="216" customWidth="1"/>
    <col min="11529" max="11529" width="12.85546875" style="216" customWidth="1"/>
    <col min="11530" max="11530" width="14.42578125" style="216" customWidth="1"/>
    <col min="11531" max="11775" width="9.140625" style="216"/>
    <col min="11776" max="11776" width="2.7109375" style="216" customWidth="1"/>
    <col min="11777" max="11777" width="9.140625" style="216"/>
    <col min="11778" max="11778" width="40.28515625" style="216" bestFit="1" customWidth="1"/>
    <col min="11779" max="11779" width="10" style="216" customWidth="1"/>
    <col min="11780" max="11780" width="10.140625" style="216" customWidth="1"/>
    <col min="11781" max="11781" width="12.28515625" style="216" customWidth="1"/>
    <col min="11782" max="11782" width="15.7109375" style="216" customWidth="1"/>
    <col min="11783" max="11783" width="12.85546875" style="216" customWidth="1"/>
    <col min="11784" max="11784" width="12.7109375" style="216" customWidth="1"/>
    <col min="11785" max="11785" width="12.85546875" style="216" customWidth="1"/>
    <col min="11786" max="11786" width="14.42578125" style="216" customWidth="1"/>
    <col min="11787" max="12031" width="9.140625" style="216"/>
    <col min="12032" max="12032" width="2.7109375" style="216" customWidth="1"/>
    <col min="12033" max="12033" width="9.140625" style="216"/>
    <col min="12034" max="12034" width="40.28515625" style="216" bestFit="1" customWidth="1"/>
    <col min="12035" max="12035" width="10" style="216" customWidth="1"/>
    <col min="12036" max="12036" width="10.140625" style="216" customWidth="1"/>
    <col min="12037" max="12037" width="12.28515625" style="216" customWidth="1"/>
    <col min="12038" max="12038" width="15.7109375" style="216" customWidth="1"/>
    <col min="12039" max="12039" width="12.85546875" style="216" customWidth="1"/>
    <col min="12040" max="12040" width="12.7109375" style="216" customWidth="1"/>
    <col min="12041" max="12041" width="12.85546875" style="216" customWidth="1"/>
    <col min="12042" max="12042" width="14.42578125" style="216" customWidth="1"/>
    <col min="12043" max="12287" width="9.140625" style="216"/>
    <col min="12288" max="12288" width="2.7109375" style="216" customWidth="1"/>
    <col min="12289" max="12289" width="9.140625" style="216"/>
    <col min="12290" max="12290" width="40.28515625" style="216" bestFit="1" customWidth="1"/>
    <col min="12291" max="12291" width="10" style="216" customWidth="1"/>
    <col min="12292" max="12292" width="10.140625" style="216" customWidth="1"/>
    <col min="12293" max="12293" width="12.28515625" style="216" customWidth="1"/>
    <col min="12294" max="12294" width="15.7109375" style="216" customWidth="1"/>
    <col min="12295" max="12295" width="12.85546875" style="216" customWidth="1"/>
    <col min="12296" max="12296" width="12.7109375" style="216" customWidth="1"/>
    <col min="12297" max="12297" width="12.85546875" style="216" customWidth="1"/>
    <col min="12298" max="12298" width="14.42578125" style="216" customWidth="1"/>
    <col min="12299" max="12543" width="9.140625" style="216"/>
    <col min="12544" max="12544" width="2.7109375" style="216" customWidth="1"/>
    <col min="12545" max="12545" width="9.140625" style="216"/>
    <col min="12546" max="12546" width="40.28515625" style="216" bestFit="1" customWidth="1"/>
    <col min="12547" max="12547" width="10" style="216" customWidth="1"/>
    <col min="12548" max="12548" width="10.140625" style="216" customWidth="1"/>
    <col min="12549" max="12549" width="12.28515625" style="216" customWidth="1"/>
    <col min="12550" max="12550" width="15.7109375" style="216" customWidth="1"/>
    <col min="12551" max="12551" width="12.85546875" style="216" customWidth="1"/>
    <col min="12552" max="12552" width="12.7109375" style="216" customWidth="1"/>
    <col min="12553" max="12553" width="12.85546875" style="216" customWidth="1"/>
    <col min="12554" max="12554" width="14.42578125" style="216" customWidth="1"/>
    <col min="12555" max="12799" width="9.140625" style="216"/>
    <col min="12800" max="12800" width="2.7109375" style="216" customWidth="1"/>
    <col min="12801" max="12801" width="9.140625" style="216"/>
    <col min="12802" max="12802" width="40.28515625" style="216" bestFit="1" customWidth="1"/>
    <col min="12803" max="12803" width="10" style="216" customWidth="1"/>
    <col min="12804" max="12804" width="10.140625" style="216" customWidth="1"/>
    <col min="12805" max="12805" width="12.28515625" style="216" customWidth="1"/>
    <col min="12806" max="12806" width="15.7109375" style="216" customWidth="1"/>
    <col min="12807" max="12807" width="12.85546875" style="216" customWidth="1"/>
    <col min="12808" max="12808" width="12.7109375" style="216" customWidth="1"/>
    <col min="12809" max="12809" width="12.85546875" style="216" customWidth="1"/>
    <col min="12810" max="12810" width="14.42578125" style="216" customWidth="1"/>
    <col min="12811" max="13055" width="9.140625" style="216"/>
    <col min="13056" max="13056" width="2.7109375" style="216" customWidth="1"/>
    <col min="13057" max="13057" width="9.140625" style="216"/>
    <col min="13058" max="13058" width="40.28515625" style="216" bestFit="1" customWidth="1"/>
    <col min="13059" max="13059" width="10" style="216" customWidth="1"/>
    <col min="13060" max="13060" width="10.140625" style="216" customWidth="1"/>
    <col min="13061" max="13061" width="12.28515625" style="216" customWidth="1"/>
    <col min="13062" max="13062" width="15.7109375" style="216" customWidth="1"/>
    <col min="13063" max="13063" width="12.85546875" style="216" customWidth="1"/>
    <col min="13064" max="13064" width="12.7109375" style="216" customWidth="1"/>
    <col min="13065" max="13065" width="12.85546875" style="216" customWidth="1"/>
    <col min="13066" max="13066" width="14.42578125" style="216" customWidth="1"/>
    <col min="13067" max="13311" width="9.140625" style="216"/>
    <col min="13312" max="13312" width="2.7109375" style="216" customWidth="1"/>
    <col min="13313" max="13313" width="9.140625" style="216"/>
    <col min="13314" max="13314" width="40.28515625" style="216" bestFit="1" customWidth="1"/>
    <col min="13315" max="13315" width="10" style="216" customWidth="1"/>
    <col min="13316" max="13316" width="10.140625" style="216" customWidth="1"/>
    <col min="13317" max="13317" width="12.28515625" style="216" customWidth="1"/>
    <col min="13318" max="13318" width="15.7109375" style="216" customWidth="1"/>
    <col min="13319" max="13319" width="12.85546875" style="216" customWidth="1"/>
    <col min="13320" max="13320" width="12.7109375" style="216" customWidth="1"/>
    <col min="13321" max="13321" width="12.85546875" style="216" customWidth="1"/>
    <col min="13322" max="13322" width="14.42578125" style="216" customWidth="1"/>
    <col min="13323" max="13567" width="9.140625" style="216"/>
    <col min="13568" max="13568" width="2.7109375" style="216" customWidth="1"/>
    <col min="13569" max="13569" width="9.140625" style="216"/>
    <col min="13570" max="13570" width="40.28515625" style="216" bestFit="1" customWidth="1"/>
    <col min="13571" max="13571" width="10" style="216" customWidth="1"/>
    <col min="13572" max="13572" width="10.140625" style="216" customWidth="1"/>
    <col min="13573" max="13573" width="12.28515625" style="216" customWidth="1"/>
    <col min="13574" max="13574" width="15.7109375" style="216" customWidth="1"/>
    <col min="13575" max="13575" width="12.85546875" style="216" customWidth="1"/>
    <col min="13576" max="13576" width="12.7109375" style="216" customWidth="1"/>
    <col min="13577" max="13577" width="12.85546875" style="216" customWidth="1"/>
    <col min="13578" max="13578" width="14.42578125" style="216" customWidth="1"/>
    <col min="13579" max="13823" width="9.140625" style="216"/>
    <col min="13824" max="13824" width="2.7109375" style="216" customWidth="1"/>
    <col min="13825" max="13825" width="9.140625" style="216"/>
    <col min="13826" max="13826" width="40.28515625" style="216" bestFit="1" customWidth="1"/>
    <col min="13827" max="13827" width="10" style="216" customWidth="1"/>
    <col min="13828" max="13828" width="10.140625" style="216" customWidth="1"/>
    <col min="13829" max="13829" width="12.28515625" style="216" customWidth="1"/>
    <col min="13830" max="13830" width="15.7109375" style="216" customWidth="1"/>
    <col min="13831" max="13831" width="12.85546875" style="216" customWidth="1"/>
    <col min="13832" max="13832" width="12.7109375" style="216" customWidth="1"/>
    <col min="13833" max="13833" width="12.85546875" style="216" customWidth="1"/>
    <col min="13834" max="13834" width="14.42578125" style="216" customWidth="1"/>
    <col min="13835" max="14079" width="9.140625" style="216"/>
    <col min="14080" max="14080" width="2.7109375" style="216" customWidth="1"/>
    <col min="14081" max="14081" width="9.140625" style="216"/>
    <col min="14082" max="14082" width="40.28515625" style="216" bestFit="1" customWidth="1"/>
    <col min="14083" max="14083" width="10" style="216" customWidth="1"/>
    <col min="14084" max="14084" width="10.140625" style="216" customWidth="1"/>
    <col min="14085" max="14085" width="12.28515625" style="216" customWidth="1"/>
    <col min="14086" max="14086" width="15.7109375" style="216" customWidth="1"/>
    <col min="14087" max="14087" width="12.85546875" style="216" customWidth="1"/>
    <col min="14088" max="14088" width="12.7109375" style="216" customWidth="1"/>
    <col min="14089" max="14089" width="12.85546875" style="216" customWidth="1"/>
    <col min="14090" max="14090" width="14.42578125" style="216" customWidth="1"/>
    <col min="14091" max="14335" width="9.140625" style="216"/>
    <col min="14336" max="14336" width="2.7109375" style="216" customWidth="1"/>
    <col min="14337" max="14337" width="9.140625" style="216"/>
    <col min="14338" max="14338" width="40.28515625" style="216" bestFit="1" customWidth="1"/>
    <col min="14339" max="14339" width="10" style="216" customWidth="1"/>
    <col min="14340" max="14340" width="10.140625" style="216" customWidth="1"/>
    <col min="14341" max="14341" width="12.28515625" style="216" customWidth="1"/>
    <col min="14342" max="14342" width="15.7109375" style="216" customWidth="1"/>
    <col min="14343" max="14343" width="12.85546875" style="216" customWidth="1"/>
    <col min="14344" max="14344" width="12.7109375" style="216" customWidth="1"/>
    <col min="14345" max="14345" width="12.85546875" style="216" customWidth="1"/>
    <col min="14346" max="14346" width="14.42578125" style="216" customWidth="1"/>
    <col min="14347" max="14591" width="9.140625" style="216"/>
    <col min="14592" max="14592" width="2.7109375" style="216" customWidth="1"/>
    <col min="14593" max="14593" width="9.140625" style="216"/>
    <col min="14594" max="14594" width="40.28515625" style="216" bestFit="1" customWidth="1"/>
    <col min="14595" max="14595" width="10" style="216" customWidth="1"/>
    <col min="14596" max="14596" width="10.140625" style="216" customWidth="1"/>
    <col min="14597" max="14597" width="12.28515625" style="216" customWidth="1"/>
    <col min="14598" max="14598" width="15.7109375" style="216" customWidth="1"/>
    <col min="14599" max="14599" width="12.85546875" style="216" customWidth="1"/>
    <col min="14600" max="14600" width="12.7109375" style="216" customWidth="1"/>
    <col min="14601" max="14601" width="12.85546875" style="216" customWidth="1"/>
    <col min="14602" max="14602" width="14.42578125" style="216" customWidth="1"/>
    <col min="14603" max="14847" width="9.140625" style="216"/>
    <col min="14848" max="14848" width="2.7109375" style="216" customWidth="1"/>
    <col min="14849" max="14849" width="9.140625" style="216"/>
    <col min="14850" max="14850" width="40.28515625" style="216" bestFit="1" customWidth="1"/>
    <col min="14851" max="14851" width="10" style="216" customWidth="1"/>
    <col min="14852" max="14852" width="10.140625" style="216" customWidth="1"/>
    <col min="14853" max="14853" width="12.28515625" style="216" customWidth="1"/>
    <col min="14854" max="14854" width="15.7109375" style="216" customWidth="1"/>
    <col min="14855" max="14855" width="12.85546875" style="216" customWidth="1"/>
    <col min="14856" max="14856" width="12.7109375" style="216" customWidth="1"/>
    <col min="14857" max="14857" width="12.85546875" style="216" customWidth="1"/>
    <col min="14858" max="14858" width="14.42578125" style="216" customWidth="1"/>
    <col min="14859" max="15103" width="9.140625" style="216"/>
    <col min="15104" max="15104" width="2.7109375" style="216" customWidth="1"/>
    <col min="15105" max="15105" width="9.140625" style="216"/>
    <col min="15106" max="15106" width="40.28515625" style="216" bestFit="1" customWidth="1"/>
    <col min="15107" max="15107" width="10" style="216" customWidth="1"/>
    <col min="15108" max="15108" width="10.140625" style="216" customWidth="1"/>
    <col min="15109" max="15109" width="12.28515625" style="216" customWidth="1"/>
    <col min="15110" max="15110" width="15.7109375" style="216" customWidth="1"/>
    <col min="15111" max="15111" width="12.85546875" style="216" customWidth="1"/>
    <col min="15112" max="15112" width="12.7109375" style="216" customWidth="1"/>
    <col min="15113" max="15113" width="12.85546875" style="216" customWidth="1"/>
    <col min="15114" max="15114" width="14.42578125" style="216" customWidth="1"/>
    <col min="15115" max="15359" width="9.140625" style="216"/>
    <col min="15360" max="15360" width="2.7109375" style="216" customWidth="1"/>
    <col min="15361" max="15361" width="9.140625" style="216"/>
    <col min="15362" max="15362" width="40.28515625" style="216" bestFit="1" customWidth="1"/>
    <col min="15363" max="15363" width="10" style="216" customWidth="1"/>
    <col min="15364" max="15364" width="10.140625" style="216" customWidth="1"/>
    <col min="15365" max="15365" width="12.28515625" style="216" customWidth="1"/>
    <col min="15366" max="15366" width="15.7109375" style="216" customWidth="1"/>
    <col min="15367" max="15367" width="12.85546875" style="216" customWidth="1"/>
    <col min="15368" max="15368" width="12.7109375" style="216" customWidth="1"/>
    <col min="15369" max="15369" width="12.85546875" style="216" customWidth="1"/>
    <col min="15370" max="15370" width="14.42578125" style="216" customWidth="1"/>
    <col min="15371" max="15615" width="9.140625" style="216"/>
    <col min="15616" max="15616" width="2.7109375" style="216" customWidth="1"/>
    <col min="15617" max="15617" width="9.140625" style="216"/>
    <col min="15618" max="15618" width="40.28515625" style="216" bestFit="1" customWidth="1"/>
    <col min="15619" max="15619" width="10" style="216" customWidth="1"/>
    <col min="15620" max="15620" width="10.140625" style="216" customWidth="1"/>
    <col min="15621" max="15621" width="12.28515625" style="216" customWidth="1"/>
    <col min="15622" max="15622" width="15.7109375" style="216" customWidth="1"/>
    <col min="15623" max="15623" width="12.85546875" style="216" customWidth="1"/>
    <col min="15624" max="15624" width="12.7109375" style="216" customWidth="1"/>
    <col min="15625" max="15625" width="12.85546875" style="216" customWidth="1"/>
    <col min="15626" max="15626" width="14.42578125" style="216" customWidth="1"/>
    <col min="15627" max="15871" width="9.140625" style="216"/>
    <col min="15872" max="15872" width="2.7109375" style="216" customWidth="1"/>
    <col min="15873" max="15873" width="9.140625" style="216"/>
    <col min="15874" max="15874" width="40.28515625" style="216" bestFit="1" customWidth="1"/>
    <col min="15875" max="15875" width="10" style="216" customWidth="1"/>
    <col min="15876" max="15876" width="10.140625" style="216" customWidth="1"/>
    <col min="15877" max="15877" width="12.28515625" style="216" customWidth="1"/>
    <col min="15878" max="15878" width="15.7109375" style="216" customWidth="1"/>
    <col min="15879" max="15879" width="12.85546875" style="216" customWidth="1"/>
    <col min="15880" max="15880" width="12.7109375" style="216" customWidth="1"/>
    <col min="15881" max="15881" width="12.85546875" style="216" customWidth="1"/>
    <col min="15882" max="15882" width="14.42578125" style="216" customWidth="1"/>
    <col min="15883" max="16127" width="9.140625" style="216"/>
    <col min="16128" max="16128" width="2.7109375" style="216" customWidth="1"/>
    <col min="16129" max="16129" width="9.140625" style="216"/>
    <col min="16130" max="16130" width="40.28515625" style="216" bestFit="1" customWidth="1"/>
    <col min="16131" max="16131" width="10" style="216" customWidth="1"/>
    <col min="16132" max="16132" width="10.140625" style="216" customWidth="1"/>
    <col min="16133" max="16133" width="12.28515625" style="216" customWidth="1"/>
    <col min="16134" max="16134" width="15.7109375" style="216" customWidth="1"/>
    <col min="16135" max="16135" width="12.85546875" style="216" customWidth="1"/>
    <col min="16136" max="16136" width="12.7109375" style="216" customWidth="1"/>
    <col min="16137" max="16137" width="12.85546875" style="216" customWidth="1"/>
    <col min="16138" max="16138" width="14.42578125" style="216" customWidth="1"/>
    <col min="16139" max="16384" width="9.140625" style="216"/>
  </cols>
  <sheetData>
    <row r="1" spans="1:11" x14ac:dyDescent="0.2">
      <c r="C1" s="219"/>
      <c r="D1" s="218"/>
      <c r="E1" s="219"/>
      <c r="F1" s="219"/>
      <c r="G1" s="217" t="s">
        <v>419</v>
      </c>
      <c r="H1" s="766" t="str">
        <f>EBNUMBER</f>
        <v>EB-2014-0113</v>
      </c>
      <c r="K1" s="219"/>
    </row>
    <row r="2" spans="1:11" x14ac:dyDescent="0.2">
      <c r="C2" s="219"/>
      <c r="D2" s="218"/>
      <c r="E2" s="219"/>
      <c r="F2" s="219"/>
      <c r="G2" s="217" t="s">
        <v>420</v>
      </c>
      <c r="H2" s="767">
        <v>2</v>
      </c>
      <c r="K2" s="219"/>
    </row>
    <row r="3" spans="1:11" x14ac:dyDescent="0.2">
      <c r="C3" s="219"/>
      <c r="D3" s="218"/>
      <c r="E3" s="219"/>
      <c r="F3" s="219"/>
      <c r="G3" s="217" t="s">
        <v>421</v>
      </c>
      <c r="H3" s="767">
        <v>2</v>
      </c>
      <c r="K3" s="219"/>
    </row>
    <row r="4" spans="1:11" x14ac:dyDescent="0.2">
      <c r="C4" s="219"/>
      <c r="D4" s="218"/>
      <c r="E4" s="219"/>
      <c r="F4" s="219"/>
      <c r="G4" s="217" t="s">
        <v>422</v>
      </c>
      <c r="H4" s="767">
        <v>2</v>
      </c>
      <c r="K4" s="219"/>
    </row>
    <row r="5" spans="1:11" x14ac:dyDescent="0.2">
      <c r="C5" s="219"/>
      <c r="D5" s="218"/>
      <c r="E5" s="219"/>
      <c r="F5" s="219"/>
      <c r="G5" s="217" t="s">
        <v>423</v>
      </c>
      <c r="H5" s="768"/>
      <c r="K5" s="219"/>
    </row>
    <row r="6" spans="1:11" x14ac:dyDescent="0.2">
      <c r="C6" s="219"/>
      <c r="D6" s="218"/>
      <c r="E6" s="219"/>
      <c r="F6" s="219"/>
      <c r="G6" s="217"/>
      <c r="H6" s="766"/>
      <c r="K6" s="219"/>
    </row>
    <row r="7" spans="1:11" x14ac:dyDescent="0.2">
      <c r="C7" s="219"/>
      <c r="D7" s="218"/>
      <c r="E7" s="219"/>
      <c r="F7" s="219"/>
      <c r="G7" s="217" t="s">
        <v>424</v>
      </c>
      <c r="H7" s="1467">
        <v>42119</v>
      </c>
      <c r="K7" s="220"/>
    </row>
    <row r="9" spans="1:11" ht="18" x14ac:dyDescent="0.2">
      <c r="A9" s="1810" t="s">
        <v>2148</v>
      </c>
      <c r="B9" s="1810"/>
      <c r="C9" s="1810"/>
      <c r="D9" s="1810"/>
      <c r="E9" s="1810"/>
      <c r="F9" s="1810"/>
      <c r="G9" s="1810"/>
      <c r="H9" s="1810"/>
      <c r="I9" s="1810"/>
      <c r="J9" s="1810"/>
    </row>
    <row r="10" spans="1:11" ht="18" x14ac:dyDescent="0.2">
      <c r="A10" s="1810" t="s">
        <v>3</v>
      </c>
      <c r="B10" s="1810"/>
      <c r="C10" s="1810"/>
      <c r="D10" s="1810"/>
      <c r="E10" s="1810"/>
      <c r="F10" s="1810"/>
      <c r="G10" s="1810"/>
      <c r="H10" s="1810"/>
      <c r="I10" s="1810"/>
      <c r="J10" s="1810"/>
    </row>
    <row r="11" spans="1:11" ht="24" customHeight="1" x14ac:dyDescent="0.2">
      <c r="A11" s="1877" t="s">
        <v>535</v>
      </c>
      <c r="B11" s="1877"/>
      <c r="C11" s="1877"/>
      <c r="D11" s="1877"/>
      <c r="E11" s="1877"/>
      <c r="F11" s="1877"/>
      <c r="G11" s="1877"/>
      <c r="H11" s="1877"/>
      <c r="I11" s="1877"/>
      <c r="J11" s="1877"/>
    </row>
    <row r="12" spans="1:11" ht="13.5" customHeight="1" x14ac:dyDescent="0.25">
      <c r="A12" s="1005"/>
      <c r="B12" s="1005"/>
      <c r="C12" s="1008">
        <v>2014</v>
      </c>
      <c r="D12" s="1008" t="s">
        <v>162</v>
      </c>
      <c r="E12" s="1005"/>
      <c r="F12" s="1005"/>
      <c r="G12" s="1005"/>
      <c r="H12" s="1005"/>
    </row>
    <row r="13" spans="1:11" ht="13.5" thickBot="1" x14ac:dyDescent="0.25"/>
    <row r="14" spans="1:11" ht="62.25" customHeight="1" x14ac:dyDescent="0.2">
      <c r="A14" s="303" t="s">
        <v>4</v>
      </c>
      <c r="B14" s="1873" t="s">
        <v>346</v>
      </c>
      <c r="C14" s="221" t="s">
        <v>348</v>
      </c>
      <c r="D14" s="221" t="s">
        <v>530</v>
      </c>
      <c r="E14" s="221" t="s">
        <v>520</v>
      </c>
      <c r="F14" s="222" t="s">
        <v>791</v>
      </c>
      <c r="G14" s="1880" t="s">
        <v>792</v>
      </c>
      <c r="H14" s="222" t="s">
        <v>523</v>
      </c>
    </row>
    <row r="15" spans="1:11" ht="52.5" customHeight="1" thickBot="1" x14ac:dyDescent="0.25">
      <c r="A15" s="302"/>
      <c r="B15" s="1879"/>
      <c r="C15" s="294" t="s">
        <v>6</v>
      </c>
      <c r="D15" s="294" t="s">
        <v>9</v>
      </c>
      <c r="E15" s="294" t="s">
        <v>10</v>
      </c>
      <c r="F15" s="295" t="s">
        <v>793</v>
      </c>
      <c r="G15" s="1881"/>
      <c r="H15" s="296" t="s">
        <v>517</v>
      </c>
    </row>
    <row r="16" spans="1:11" ht="25.5" x14ac:dyDescent="0.2">
      <c r="A16" s="841">
        <v>1611</v>
      </c>
      <c r="B16" s="842" t="s">
        <v>515</v>
      </c>
      <c r="C16" s="204"/>
      <c r="D16" s="306"/>
      <c r="E16" s="592">
        <f t="shared" ref="E16:E55" si="0">IF(D16=0,0,1/D16)</f>
        <v>0</v>
      </c>
      <c r="F16" s="796">
        <f>IF(D16=0,'App.2-CH_MIFRS_DepExp_2013'!K16,+'App.2-CH_MIFRS_DepExp_2013'!K16+((C16*0.5)/D16))</f>
        <v>0</v>
      </c>
      <c r="G16" s="204"/>
      <c r="H16" s="796">
        <f t="shared" ref="H16:H55" si="1">IF(ISERROR(+F16-G16), 0, +F16-G16)</f>
        <v>0</v>
      </c>
    </row>
    <row r="17" spans="1:8" x14ac:dyDescent="0.2">
      <c r="A17" s="828">
        <v>1612</v>
      </c>
      <c r="B17" s="783" t="s">
        <v>650</v>
      </c>
      <c r="C17" s="204"/>
      <c r="D17" s="282"/>
      <c r="E17" s="586">
        <f t="shared" si="0"/>
        <v>0</v>
      </c>
      <c r="F17" s="796">
        <f>IF(D17=0,'App.2-CH_MIFRS_DepExp_2013'!K17,+'App.2-CH_MIFRS_DepExp_2013'!K17+((C17*0.5)/D17))</f>
        <v>0</v>
      </c>
      <c r="G17" s="204"/>
      <c r="H17" s="796">
        <f t="shared" si="1"/>
        <v>0</v>
      </c>
    </row>
    <row r="18" spans="1:8" x14ac:dyDescent="0.2">
      <c r="A18" s="829">
        <v>1805</v>
      </c>
      <c r="B18" s="786" t="s">
        <v>383</v>
      </c>
      <c r="C18" s="204"/>
      <c r="D18" s="282"/>
      <c r="E18" s="586">
        <f t="shared" si="0"/>
        <v>0</v>
      </c>
      <c r="F18" s="796">
        <f>IF(D18=0,'App.2-CH_MIFRS_DepExp_2013'!K18,+'App.2-CH_MIFRS_DepExp_2013'!K18+((C18*0.5)/D18))</f>
        <v>0</v>
      </c>
      <c r="G18" s="204"/>
      <c r="H18" s="796">
        <f t="shared" si="1"/>
        <v>0</v>
      </c>
    </row>
    <row r="19" spans="1:8" x14ac:dyDescent="0.2">
      <c r="A19" s="828">
        <v>1808</v>
      </c>
      <c r="B19" s="787" t="s">
        <v>384</v>
      </c>
      <c r="C19" s="204"/>
      <c r="D19" s="282"/>
      <c r="E19" s="586">
        <f t="shared" si="0"/>
        <v>0</v>
      </c>
      <c r="F19" s="796">
        <f>IF(D19=0,'App.2-CH_MIFRS_DepExp_2013'!K19,+'App.2-CH_MIFRS_DepExp_2013'!K19+((C19*0.5)/D19))</f>
        <v>0</v>
      </c>
      <c r="G19" s="204"/>
      <c r="H19" s="796">
        <f t="shared" si="1"/>
        <v>0</v>
      </c>
    </row>
    <row r="20" spans="1:8" x14ac:dyDescent="0.2">
      <c r="A20" s="828">
        <v>1810</v>
      </c>
      <c r="B20" s="787" t="s">
        <v>417</v>
      </c>
      <c r="C20" s="204"/>
      <c r="D20" s="282"/>
      <c r="E20" s="586">
        <f t="shared" si="0"/>
        <v>0</v>
      </c>
      <c r="F20" s="796">
        <f>IF(D20=0,'App.2-CH_MIFRS_DepExp_2013'!K20,+'App.2-CH_MIFRS_DepExp_2013'!K20+((C20*0.5)/D20))</f>
        <v>0</v>
      </c>
      <c r="G20" s="204"/>
      <c r="H20" s="796">
        <f t="shared" si="1"/>
        <v>0</v>
      </c>
    </row>
    <row r="21" spans="1:8" x14ac:dyDescent="0.2">
      <c r="A21" s="828">
        <v>1815</v>
      </c>
      <c r="B21" s="787" t="s">
        <v>385</v>
      </c>
      <c r="C21" s="204"/>
      <c r="D21" s="282"/>
      <c r="E21" s="586">
        <f t="shared" si="0"/>
        <v>0</v>
      </c>
      <c r="F21" s="796">
        <f>IF(D21=0,'App.2-CH_MIFRS_DepExp_2013'!K21,+'App.2-CH_MIFRS_DepExp_2013'!K21+((C21*0.5)/D21))</f>
        <v>0</v>
      </c>
      <c r="G21" s="204"/>
      <c r="H21" s="796">
        <f t="shared" si="1"/>
        <v>0</v>
      </c>
    </row>
    <row r="22" spans="1:8" x14ac:dyDescent="0.2">
      <c r="A22" s="828">
        <v>1820</v>
      </c>
      <c r="B22" s="783" t="s">
        <v>306</v>
      </c>
      <c r="C22" s="204"/>
      <c r="D22" s="282"/>
      <c r="E22" s="586">
        <f t="shared" si="0"/>
        <v>0</v>
      </c>
      <c r="F22" s="796">
        <f>IF(D22=0,'App.2-CH_MIFRS_DepExp_2013'!K22,+'App.2-CH_MIFRS_DepExp_2013'!K22+((C22*0.5)/D22))</f>
        <v>0</v>
      </c>
      <c r="G22" s="204"/>
      <c r="H22" s="796">
        <f t="shared" si="1"/>
        <v>0</v>
      </c>
    </row>
    <row r="23" spans="1:8" x14ac:dyDescent="0.2">
      <c r="A23" s="828">
        <v>1825</v>
      </c>
      <c r="B23" s="787" t="s">
        <v>386</v>
      </c>
      <c r="C23" s="204"/>
      <c r="D23" s="282"/>
      <c r="E23" s="586">
        <f t="shared" si="0"/>
        <v>0</v>
      </c>
      <c r="F23" s="796">
        <f>IF(D23=0,'App.2-CH_MIFRS_DepExp_2013'!K23,+'App.2-CH_MIFRS_DepExp_2013'!K23+((C23*0.5)/D23))</f>
        <v>0</v>
      </c>
      <c r="G23" s="204"/>
      <c r="H23" s="796">
        <f t="shared" si="1"/>
        <v>0</v>
      </c>
    </row>
    <row r="24" spans="1:8" x14ac:dyDescent="0.2">
      <c r="A24" s="828">
        <v>1830</v>
      </c>
      <c r="B24" s="787" t="s">
        <v>387</v>
      </c>
      <c r="C24" s="204"/>
      <c r="D24" s="282"/>
      <c r="E24" s="586">
        <f t="shared" si="0"/>
        <v>0</v>
      </c>
      <c r="F24" s="796">
        <f>IF(D24=0,'App.2-CH_MIFRS_DepExp_2013'!K24,+'App.2-CH_MIFRS_DepExp_2013'!K24+((C24*0.5)/D24))</f>
        <v>0</v>
      </c>
      <c r="G24" s="204"/>
      <c r="H24" s="796">
        <f t="shared" si="1"/>
        <v>0</v>
      </c>
    </row>
    <row r="25" spans="1:8" x14ac:dyDescent="0.2">
      <c r="A25" s="828">
        <v>1835</v>
      </c>
      <c r="B25" s="787" t="s">
        <v>307</v>
      </c>
      <c r="C25" s="204"/>
      <c r="D25" s="282"/>
      <c r="E25" s="586">
        <f t="shared" si="0"/>
        <v>0</v>
      </c>
      <c r="F25" s="796">
        <f>IF(D25=0,'App.2-CH_MIFRS_DepExp_2013'!K25,+'App.2-CH_MIFRS_DepExp_2013'!K25+((C25*0.5)/D25))</f>
        <v>0</v>
      </c>
      <c r="G25" s="204"/>
      <c r="H25" s="796">
        <f t="shared" si="1"/>
        <v>0</v>
      </c>
    </row>
    <row r="26" spans="1:8" x14ac:dyDescent="0.2">
      <c r="A26" s="828">
        <v>1840</v>
      </c>
      <c r="B26" s="787" t="s">
        <v>308</v>
      </c>
      <c r="C26" s="204"/>
      <c r="D26" s="282"/>
      <c r="E26" s="586">
        <f t="shared" si="0"/>
        <v>0</v>
      </c>
      <c r="F26" s="796">
        <f>IF(D26=0,'App.2-CH_MIFRS_DepExp_2013'!K26,+'App.2-CH_MIFRS_DepExp_2013'!K26+((C26*0.5)/D26))</f>
        <v>0</v>
      </c>
      <c r="G26" s="204"/>
      <c r="H26" s="796">
        <f t="shared" si="1"/>
        <v>0</v>
      </c>
    </row>
    <row r="27" spans="1:8" x14ac:dyDescent="0.2">
      <c r="A27" s="828">
        <v>1845</v>
      </c>
      <c r="B27" s="787" t="s">
        <v>309</v>
      </c>
      <c r="C27" s="204"/>
      <c r="D27" s="282"/>
      <c r="E27" s="586">
        <f t="shared" si="0"/>
        <v>0</v>
      </c>
      <c r="F27" s="796">
        <f>IF(D27=0,'App.2-CH_MIFRS_DepExp_2013'!K27,+'App.2-CH_MIFRS_DepExp_2013'!K27+((C27*0.5)/D27))</f>
        <v>0</v>
      </c>
      <c r="G27" s="204"/>
      <c r="H27" s="796">
        <f t="shared" si="1"/>
        <v>0</v>
      </c>
    </row>
    <row r="28" spans="1:8" x14ac:dyDescent="0.2">
      <c r="A28" s="828">
        <v>1850</v>
      </c>
      <c r="B28" s="787" t="s">
        <v>388</v>
      </c>
      <c r="C28" s="204"/>
      <c r="D28" s="282"/>
      <c r="E28" s="586">
        <f t="shared" si="0"/>
        <v>0</v>
      </c>
      <c r="F28" s="796">
        <f>IF(D28=0,'App.2-CH_MIFRS_DepExp_2013'!K28,+'App.2-CH_MIFRS_DepExp_2013'!K28+((C28*0.5)/D28))</f>
        <v>0</v>
      </c>
      <c r="G28" s="204"/>
      <c r="H28" s="796">
        <f t="shared" si="1"/>
        <v>0</v>
      </c>
    </row>
    <row r="29" spans="1:8" x14ac:dyDescent="0.2">
      <c r="A29" s="828">
        <v>1855</v>
      </c>
      <c r="B29" s="787" t="s">
        <v>310</v>
      </c>
      <c r="C29" s="204"/>
      <c r="D29" s="282"/>
      <c r="E29" s="586">
        <f t="shared" si="0"/>
        <v>0</v>
      </c>
      <c r="F29" s="796">
        <f>IF(D29=0,'App.2-CH_MIFRS_DepExp_2013'!K29,+'App.2-CH_MIFRS_DepExp_2013'!K29+((C29*0.5)/D29))</f>
        <v>0</v>
      </c>
      <c r="G29" s="204"/>
      <c r="H29" s="796">
        <f t="shared" si="1"/>
        <v>0</v>
      </c>
    </row>
    <row r="30" spans="1:8" x14ac:dyDescent="0.2">
      <c r="A30" s="828">
        <v>1860</v>
      </c>
      <c r="B30" s="787" t="s">
        <v>389</v>
      </c>
      <c r="C30" s="204"/>
      <c r="D30" s="282"/>
      <c r="E30" s="586">
        <f t="shared" si="0"/>
        <v>0</v>
      </c>
      <c r="F30" s="796">
        <f>IF(D30=0,'App.2-CH_MIFRS_DepExp_2013'!K30,+'App.2-CH_MIFRS_DepExp_2013'!K30+((C30*0.5)/D30))</f>
        <v>0</v>
      </c>
      <c r="G30" s="204"/>
      <c r="H30" s="796">
        <f t="shared" si="1"/>
        <v>0</v>
      </c>
    </row>
    <row r="31" spans="1:8" x14ac:dyDescent="0.2">
      <c r="A31" s="829">
        <v>1860</v>
      </c>
      <c r="B31" s="786" t="s">
        <v>311</v>
      </c>
      <c r="C31" s="204"/>
      <c r="D31" s="282"/>
      <c r="E31" s="586">
        <f t="shared" si="0"/>
        <v>0</v>
      </c>
      <c r="F31" s="796">
        <f>IF(D31=0,'App.2-CH_MIFRS_DepExp_2013'!K31,+'App.2-CH_MIFRS_DepExp_2013'!K31+((C31*0.5)/D31))</f>
        <v>0</v>
      </c>
      <c r="G31" s="204"/>
      <c r="H31" s="796">
        <f t="shared" si="1"/>
        <v>0</v>
      </c>
    </row>
    <row r="32" spans="1:8" x14ac:dyDescent="0.2">
      <c r="A32" s="829">
        <v>1905</v>
      </c>
      <c r="B32" s="786" t="s">
        <v>383</v>
      </c>
      <c r="C32" s="204"/>
      <c r="D32" s="282"/>
      <c r="E32" s="586">
        <f t="shared" si="0"/>
        <v>0</v>
      </c>
      <c r="F32" s="796">
        <f>IF(D32=0,'App.2-CH_MIFRS_DepExp_2013'!K32,+'App.2-CH_MIFRS_DepExp_2013'!K32+((C32*0.5)/D32))</f>
        <v>0</v>
      </c>
      <c r="G32" s="204"/>
      <c r="H32" s="796">
        <f t="shared" si="1"/>
        <v>0</v>
      </c>
    </row>
    <row r="33" spans="1:8" x14ac:dyDescent="0.2">
      <c r="A33" s="828">
        <v>1908</v>
      </c>
      <c r="B33" s="787" t="s">
        <v>391</v>
      </c>
      <c r="C33" s="204"/>
      <c r="D33" s="282"/>
      <c r="E33" s="586">
        <f t="shared" si="0"/>
        <v>0</v>
      </c>
      <c r="F33" s="796">
        <f>IF(D33=0,'App.2-CH_MIFRS_DepExp_2013'!K33,+'App.2-CH_MIFRS_DepExp_2013'!K33+((C33*0.5)/D33))</f>
        <v>0</v>
      </c>
      <c r="G33" s="204"/>
      <c r="H33" s="796">
        <f t="shared" si="1"/>
        <v>0</v>
      </c>
    </row>
    <row r="34" spans="1:8" x14ac:dyDescent="0.2">
      <c r="A34" s="828">
        <v>1910</v>
      </c>
      <c r="B34" s="787" t="s">
        <v>417</v>
      </c>
      <c r="C34" s="204"/>
      <c r="D34" s="282"/>
      <c r="E34" s="586">
        <f t="shared" si="0"/>
        <v>0</v>
      </c>
      <c r="F34" s="796">
        <f>IF(D34=0,'App.2-CH_MIFRS_DepExp_2013'!K34,+'App.2-CH_MIFRS_DepExp_2013'!K34+((C34*0.5)/D34))</f>
        <v>0</v>
      </c>
      <c r="G34" s="204"/>
      <c r="H34" s="796">
        <f t="shared" si="1"/>
        <v>0</v>
      </c>
    </row>
    <row r="35" spans="1:8" x14ac:dyDescent="0.2">
      <c r="A35" s="828">
        <v>1915</v>
      </c>
      <c r="B35" s="787" t="s">
        <v>312</v>
      </c>
      <c r="C35" s="204"/>
      <c r="D35" s="282"/>
      <c r="E35" s="586">
        <f t="shared" si="0"/>
        <v>0</v>
      </c>
      <c r="F35" s="796">
        <f>IF(D35=0,'App.2-CH_MIFRS_DepExp_2013'!K35,+'App.2-CH_MIFRS_DepExp_2013'!K35+((C35*0.5)/D35))</f>
        <v>0</v>
      </c>
      <c r="G35" s="204"/>
      <c r="H35" s="796">
        <f t="shared" si="1"/>
        <v>0</v>
      </c>
    </row>
    <row r="36" spans="1:8" x14ac:dyDescent="0.2">
      <c r="A36" s="828">
        <v>1915</v>
      </c>
      <c r="B36" s="787" t="s">
        <v>313</v>
      </c>
      <c r="C36" s="204"/>
      <c r="D36" s="282"/>
      <c r="E36" s="586">
        <f t="shared" si="0"/>
        <v>0</v>
      </c>
      <c r="F36" s="796">
        <f>IF(D36=0,'App.2-CH_MIFRS_DepExp_2013'!K36,+'App.2-CH_MIFRS_DepExp_2013'!K36+((C36*0.5)/D36))</f>
        <v>0</v>
      </c>
      <c r="G36" s="204"/>
      <c r="H36" s="796">
        <f t="shared" si="1"/>
        <v>0</v>
      </c>
    </row>
    <row r="37" spans="1:8" x14ac:dyDescent="0.2">
      <c r="A37" s="828">
        <v>1920</v>
      </c>
      <c r="B37" s="787" t="s">
        <v>314</v>
      </c>
      <c r="C37" s="204"/>
      <c r="D37" s="282"/>
      <c r="E37" s="586">
        <f t="shared" si="0"/>
        <v>0</v>
      </c>
      <c r="F37" s="796">
        <f>IF(D37=0,'App.2-CH_MIFRS_DepExp_2013'!K37,+'App.2-CH_MIFRS_DepExp_2013'!K37+((C37*0.5)/D37))</f>
        <v>0</v>
      </c>
      <c r="G37" s="204"/>
      <c r="H37" s="796">
        <f t="shared" si="1"/>
        <v>0</v>
      </c>
    </row>
    <row r="38" spans="1:8" x14ac:dyDescent="0.2">
      <c r="A38" s="830">
        <v>1920</v>
      </c>
      <c r="B38" s="783" t="s">
        <v>316</v>
      </c>
      <c r="C38" s="204"/>
      <c r="D38" s="282"/>
      <c r="E38" s="586">
        <f t="shared" si="0"/>
        <v>0</v>
      </c>
      <c r="F38" s="796">
        <f>IF(D38=0,'App.2-CH_MIFRS_DepExp_2013'!K38,+'App.2-CH_MIFRS_DepExp_2013'!K38+((C38*0.5)/D38))</f>
        <v>0</v>
      </c>
      <c r="G38" s="204"/>
      <c r="H38" s="796">
        <f t="shared" si="1"/>
        <v>0</v>
      </c>
    </row>
    <row r="39" spans="1:8" x14ac:dyDescent="0.2">
      <c r="A39" s="830">
        <v>1920</v>
      </c>
      <c r="B39" s="783" t="s">
        <v>315</v>
      </c>
      <c r="C39" s="204"/>
      <c r="D39" s="282"/>
      <c r="E39" s="586">
        <f t="shared" si="0"/>
        <v>0</v>
      </c>
      <c r="F39" s="796">
        <f>IF(D39=0,'App.2-CH_MIFRS_DepExp_2013'!K39,+'App.2-CH_MIFRS_DepExp_2013'!K39+((C39*0.5)/D39))</f>
        <v>0</v>
      </c>
      <c r="G39" s="204"/>
      <c r="H39" s="796">
        <f t="shared" si="1"/>
        <v>0</v>
      </c>
    </row>
    <row r="40" spans="1:8" x14ac:dyDescent="0.2">
      <c r="A40" s="828">
        <v>1930</v>
      </c>
      <c r="B40" s="787" t="s">
        <v>404</v>
      </c>
      <c r="C40" s="204"/>
      <c r="D40" s="282"/>
      <c r="E40" s="586">
        <f t="shared" si="0"/>
        <v>0</v>
      </c>
      <c r="F40" s="796">
        <f>IF(D40=0,'App.2-CH_MIFRS_DepExp_2013'!K40,+'App.2-CH_MIFRS_DepExp_2013'!K40+((C40*0.5)/D40))</f>
        <v>0</v>
      </c>
      <c r="G40" s="204"/>
      <c r="H40" s="796">
        <f t="shared" si="1"/>
        <v>0</v>
      </c>
    </row>
    <row r="41" spans="1:8" x14ac:dyDescent="0.2">
      <c r="A41" s="828">
        <v>1935</v>
      </c>
      <c r="B41" s="787" t="s">
        <v>405</v>
      </c>
      <c r="C41" s="204"/>
      <c r="D41" s="282"/>
      <c r="E41" s="586">
        <f t="shared" si="0"/>
        <v>0</v>
      </c>
      <c r="F41" s="796">
        <f>IF(D41=0,'App.2-CH_MIFRS_DepExp_2013'!K41,+'App.2-CH_MIFRS_DepExp_2013'!K41+((C41*0.5)/D41))</f>
        <v>0</v>
      </c>
      <c r="G41" s="204"/>
      <c r="H41" s="796">
        <f t="shared" si="1"/>
        <v>0</v>
      </c>
    </row>
    <row r="42" spans="1:8" x14ac:dyDescent="0.2">
      <c r="A42" s="828">
        <v>1940</v>
      </c>
      <c r="B42" s="787" t="s">
        <v>406</v>
      </c>
      <c r="C42" s="204"/>
      <c r="D42" s="282"/>
      <c r="E42" s="586">
        <f t="shared" si="0"/>
        <v>0</v>
      </c>
      <c r="F42" s="796">
        <f>IF(D42=0,'App.2-CH_MIFRS_DepExp_2013'!K42,+'App.2-CH_MIFRS_DepExp_2013'!K42+((C42*0.5)/D42))</f>
        <v>0</v>
      </c>
      <c r="G42" s="204"/>
      <c r="H42" s="796">
        <f t="shared" si="1"/>
        <v>0</v>
      </c>
    </row>
    <row r="43" spans="1:8" x14ac:dyDescent="0.2">
      <c r="A43" s="828">
        <v>1945</v>
      </c>
      <c r="B43" s="787" t="s">
        <v>407</v>
      </c>
      <c r="C43" s="204"/>
      <c r="D43" s="282"/>
      <c r="E43" s="586">
        <f t="shared" si="0"/>
        <v>0</v>
      </c>
      <c r="F43" s="796">
        <f>IF(D43=0,'App.2-CH_MIFRS_DepExp_2013'!K43,+'App.2-CH_MIFRS_DepExp_2013'!K43+((C43*0.5)/D43))</f>
        <v>0</v>
      </c>
      <c r="G43" s="204"/>
      <c r="H43" s="796">
        <f t="shared" si="1"/>
        <v>0</v>
      </c>
    </row>
    <row r="44" spans="1:8" x14ac:dyDescent="0.2">
      <c r="A44" s="828">
        <v>1950</v>
      </c>
      <c r="B44" s="787" t="s">
        <v>317</v>
      </c>
      <c r="C44" s="204"/>
      <c r="D44" s="282"/>
      <c r="E44" s="586">
        <f t="shared" si="0"/>
        <v>0</v>
      </c>
      <c r="F44" s="796">
        <f>IF(D44=0,'App.2-CH_MIFRS_DepExp_2013'!K44,+'App.2-CH_MIFRS_DepExp_2013'!K44+((C44*0.5)/D44))</f>
        <v>0</v>
      </c>
      <c r="G44" s="204"/>
      <c r="H44" s="796">
        <f t="shared" si="1"/>
        <v>0</v>
      </c>
    </row>
    <row r="45" spans="1:8" x14ac:dyDescent="0.2">
      <c r="A45" s="828">
        <v>1955</v>
      </c>
      <c r="B45" s="787" t="s">
        <v>408</v>
      </c>
      <c r="C45" s="204"/>
      <c r="D45" s="282"/>
      <c r="E45" s="586">
        <f t="shared" si="0"/>
        <v>0</v>
      </c>
      <c r="F45" s="796">
        <f>IF(D45=0,'App.2-CH_MIFRS_DepExp_2013'!K45,+'App.2-CH_MIFRS_DepExp_2013'!K45+((C45*0.5)/D45))</f>
        <v>0</v>
      </c>
      <c r="G45" s="204"/>
      <c r="H45" s="796">
        <f t="shared" si="1"/>
        <v>0</v>
      </c>
    </row>
    <row r="46" spans="1:8" x14ac:dyDescent="0.2">
      <c r="A46" s="831">
        <v>1955</v>
      </c>
      <c r="B46" s="790" t="s">
        <v>318</v>
      </c>
      <c r="C46" s="204"/>
      <c r="D46" s="282"/>
      <c r="E46" s="586">
        <f t="shared" si="0"/>
        <v>0</v>
      </c>
      <c r="F46" s="796">
        <f>IF(D46=0,'App.2-CH_MIFRS_DepExp_2013'!K46,+'App.2-CH_MIFRS_DepExp_2013'!K46+((C46*0.5)/D46))</f>
        <v>0</v>
      </c>
      <c r="G46" s="204"/>
      <c r="H46" s="796">
        <f t="shared" si="1"/>
        <v>0</v>
      </c>
    </row>
    <row r="47" spans="1:8" x14ac:dyDescent="0.2">
      <c r="A47" s="830">
        <v>1960</v>
      </c>
      <c r="B47" s="783" t="s">
        <v>319</v>
      </c>
      <c r="C47" s="204"/>
      <c r="D47" s="282"/>
      <c r="E47" s="586">
        <f t="shared" si="0"/>
        <v>0</v>
      </c>
      <c r="F47" s="796">
        <f>IF(D47=0,'App.2-CH_MIFRS_DepExp_2013'!K47,+'App.2-CH_MIFRS_DepExp_2013'!K47+((C47*0.5)/D47))</f>
        <v>0</v>
      </c>
      <c r="G47" s="204"/>
      <c r="H47" s="796">
        <f t="shared" si="1"/>
        <v>0</v>
      </c>
    </row>
    <row r="48" spans="1:8" x14ac:dyDescent="0.2">
      <c r="A48" s="831">
        <v>1970</v>
      </c>
      <c r="B48" s="832" t="s">
        <v>773</v>
      </c>
      <c r="C48" s="204"/>
      <c r="D48" s="282"/>
      <c r="E48" s="586">
        <f t="shared" si="0"/>
        <v>0</v>
      </c>
      <c r="F48" s="796">
        <f>IF(D48=0,'App.2-CH_MIFRS_DepExp_2013'!K48,+'App.2-CH_MIFRS_DepExp_2013'!K48+((C48*0.5)/D48))</f>
        <v>0</v>
      </c>
      <c r="G48" s="204"/>
      <c r="H48" s="796">
        <f t="shared" si="1"/>
        <v>0</v>
      </c>
    </row>
    <row r="49" spans="1:10" x14ac:dyDescent="0.2">
      <c r="A49" s="828">
        <v>1975</v>
      </c>
      <c r="B49" s="787" t="s">
        <v>409</v>
      </c>
      <c r="C49" s="204"/>
      <c r="D49" s="282"/>
      <c r="E49" s="586">
        <f t="shared" si="0"/>
        <v>0</v>
      </c>
      <c r="F49" s="796">
        <f>IF(D49=0,'App.2-CH_MIFRS_DepExp_2013'!K49,+'App.2-CH_MIFRS_DepExp_2013'!K49+((C49*0.5)/D49))</f>
        <v>0</v>
      </c>
      <c r="G49" s="204"/>
      <c r="H49" s="796">
        <f t="shared" si="1"/>
        <v>0</v>
      </c>
    </row>
    <row r="50" spans="1:10" x14ac:dyDescent="0.2">
      <c r="A50" s="828">
        <v>1980</v>
      </c>
      <c r="B50" s="787" t="s">
        <v>410</v>
      </c>
      <c r="C50" s="204"/>
      <c r="D50" s="282"/>
      <c r="E50" s="586">
        <f t="shared" si="0"/>
        <v>0</v>
      </c>
      <c r="F50" s="796">
        <f>IF(D50=0,'App.2-CH_MIFRS_DepExp_2013'!K50,+'App.2-CH_MIFRS_DepExp_2013'!K50+((C50*0.5)/D50))</f>
        <v>0</v>
      </c>
      <c r="G50" s="204"/>
      <c r="H50" s="796">
        <f t="shared" si="1"/>
        <v>0</v>
      </c>
    </row>
    <row r="51" spans="1:10" x14ac:dyDescent="0.2">
      <c r="A51" s="828">
        <v>1985</v>
      </c>
      <c r="B51" s="787" t="s">
        <v>411</v>
      </c>
      <c r="C51" s="204"/>
      <c r="D51" s="282"/>
      <c r="E51" s="586">
        <f t="shared" si="0"/>
        <v>0</v>
      </c>
      <c r="F51" s="796">
        <f>IF(D51=0,'App.2-CH_MIFRS_DepExp_2013'!K51,+'App.2-CH_MIFRS_DepExp_2013'!K51+((C51*0.5)/D51))</f>
        <v>0</v>
      </c>
      <c r="G51" s="204"/>
      <c r="H51" s="796">
        <f t="shared" si="1"/>
        <v>0</v>
      </c>
    </row>
    <row r="52" spans="1:10" x14ac:dyDescent="0.2">
      <c r="A52" s="828">
        <v>1990</v>
      </c>
      <c r="B52" s="791" t="s">
        <v>774</v>
      </c>
      <c r="C52" s="204"/>
      <c r="D52" s="282"/>
      <c r="E52" s="586">
        <f t="shared" si="0"/>
        <v>0</v>
      </c>
      <c r="F52" s="796">
        <f>IF(D52=0,'App.2-CH_MIFRS_DepExp_2013'!K52,+'App.2-CH_MIFRS_DepExp_2013'!K52+((C52*0.5)/D52))</f>
        <v>0</v>
      </c>
      <c r="G52" s="204"/>
      <c r="H52" s="796">
        <f t="shared" si="1"/>
        <v>0</v>
      </c>
    </row>
    <row r="53" spans="1:10" x14ac:dyDescent="0.2">
      <c r="A53" s="828">
        <v>1995</v>
      </c>
      <c r="B53" s="787" t="s">
        <v>412</v>
      </c>
      <c r="C53" s="204"/>
      <c r="D53" s="282"/>
      <c r="E53" s="586">
        <f t="shared" si="0"/>
        <v>0</v>
      </c>
      <c r="F53" s="796">
        <f>IF(D53=0,'App.2-CH_MIFRS_DepExp_2013'!K53,+'App.2-CH_MIFRS_DepExp_2013'!K53+((C53*0.5)/D53))</f>
        <v>0</v>
      </c>
      <c r="G53" s="204"/>
      <c r="H53" s="796">
        <f t="shared" si="1"/>
        <v>0</v>
      </c>
    </row>
    <row r="54" spans="1:10" x14ac:dyDescent="0.2">
      <c r="A54" s="227" t="s">
        <v>13</v>
      </c>
      <c r="B54" s="228"/>
      <c r="C54" s="204"/>
      <c r="D54" s="282"/>
      <c r="E54" s="586">
        <f t="shared" si="0"/>
        <v>0</v>
      </c>
      <c r="F54" s="796">
        <f>IF(D54=0,'App.2-CH_MIFRS_DepExp_2013'!K54,+'App.2-CH_MIFRS_DepExp_2013'!K54+((C54*0.5)/D54))</f>
        <v>0</v>
      </c>
      <c r="G54" s="204"/>
      <c r="H54" s="796">
        <f t="shared" si="1"/>
        <v>0</v>
      </c>
    </row>
    <row r="55" spans="1:10" ht="13.5" thickBot="1" x14ac:dyDescent="0.25">
      <c r="A55" s="229"/>
      <c r="B55" s="230"/>
      <c r="C55" s="204"/>
      <c r="D55" s="283"/>
      <c r="E55" s="593">
        <f t="shared" si="0"/>
        <v>0</v>
      </c>
      <c r="F55" s="796">
        <f>IF(D55=0,'App.2-CH_MIFRS_DepExp_2013'!K55,+'App.2-CH_MIFRS_DepExp_2013'!K55+((C55*0.5)/D55))</f>
        <v>0</v>
      </c>
      <c r="G55" s="204"/>
      <c r="H55" s="796">
        <f t="shared" si="1"/>
        <v>0</v>
      </c>
    </row>
    <row r="56" spans="1:10" ht="14.25" thickTop="1" thickBot="1" x14ac:dyDescent="0.25">
      <c r="A56" s="231"/>
      <c r="B56" s="291" t="s">
        <v>413</v>
      </c>
      <c r="C56" s="796">
        <f>SUM(C16:C55)</f>
        <v>0</v>
      </c>
      <c r="D56" s="292"/>
      <c r="E56" s="235"/>
      <c r="F56" s="796">
        <f>SUM(F16:F55)</f>
        <v>0</v>
      </c>
      <c r="G56" s="796">
        <f>SUM(G16:G55)</f>
        <v>0</v>
      </c>
      <c r="H56" s="796">
        <f>SUM(H16:H55)</f>
        <v>0</v>
      </c>
    </row>
    <row r="57" spans="1:10" x14ac:dyDescent="0.2">
      <c r="A57" s="239"/>
      <c r="B57" s="803" t="s">
        <v>778</v>
      </c>
      <c r="C57" s="176"/>
      <c r="D57" s="176"/>
      <c r="E57" s="176"/>
      <c r="F57" s="204">
        <v>0</v>
      </c>
      <c r="G57" s="176"/>
      <c r="H57" s="176"/>
    </row>
    <row r="58" spans="1:10" x14ac:dyDescent="0.2">
      <c r="B58" s="1869" t="s">
        <v>534</v>
      </c>
      <c r="C58" s="1869"/>
      <c r="D58" s="1869"/>
      <c r="E58" s="1884"/>
      <c r="F58" s="796">
        <f>SUM(F56:F57)</f>
        <v>0</v>
      </c>
    </row>
    <row r="59" spans="1:10" ht="26.25" customHeight="1" x14ac:dyDescent="0.2">
      <c r="A59" s="217" t="s">
        <v>15</v>
      </c>
      <c r="B59" s="236"/>
      <c r="C59" s="236"/>
      <c r="D59" s="236"/>
      <c r="E59" s="236"/>
      <c r="F59" s="236"/>
      <c r="G59" s="236"/>
      <c r="H59" s="236"/>
    </row>
    <row r="60" spans="1:10" ht="27" customHeight="1" x14ac:dyDescent="0.2">
      <c r="A60" s="301">
        <v>1</v>
      </c>
      <c r="B60" s="1790" t="s">
        <v>607</v>
      </c>
      <c r="C60" s="1790"/>
      <c r="D60" s="1790"/>
      <c r="E60" s="1790"/>
      <c r="F60" s="1790"/>
      <c r="G60" s="1790"/>
      <c r="H60" s="1790"/>
      <c r="I60" s="1006"/>
      <c r="J60" s="1006"/>
    </row>
    <row r="61" spans="1:10" ht="12.75" customHeight="1" x14ac:dyDescent="0.2">
      <c r="A61" s="284">
        <v>2</v>
      </c>
      <c r="B61" s="1790" t="s">
        <v>1934</v>
      </c>
      <c r="C61" s="1790"/>
      <c r="D61" s="1790"/>
      <c r="E61" s="1790"/>
      <c r="F61" s="1790"/>
      <c r="G61" s="1790"/>
      <c r="H61" s="1790"/>
      <c r="I61" s="1790"/>
      <c r="J61" s="1790"/>
    </row>
    <row r="62" spans="1:10" x14ac:dyDescent="0.2">
      <c r="A62" s="284"/>
      <c r="B62" s="1790"/>
      <c r="C62" s="1790"/>
      <c r="D62" s="1790"/>
      <c r="E62" s="1790"/>
      <c r="F62" s="1790"/>
      <c r="G62" s="1790"/>
      <c r="H62" s="1790"/>
      <c r="I62" s="1790"/>
      <c r="J62" s="1790"/>
    </row>
    <row r="63" spans="1:10" ht="12.75" customHeight="1" x14ac:dyDescent="0.2">
      <c r="A63" s="217" t="s">
        <v>325</v>
      </c>
      <c r="B63" s="1869" t="s">
        <v>270</v>
      </c>
      <c r="C63" s="1869"/>
      <c r="D63" s="1869"/>
      <c r="E63" s="1869"/>
      <c r="F63" s="1869"/>
      <c r="G63" s="1869"/>
      <c r="H63" s="1869"/>
      <c r="I63" s="1007"/>
      <c r="J63" s="1007"/>
    </row>
    <row r="64" spans="1:10" ht="27" customHeight="1" x14ac:dyDescent="0.2">
      <c r="A64" s="236"/>
      <c r="B64" s="1869"/>
      <c r="C64" s="1869"/>
      <c r="D64" s="1869"/>
      <c r="E64" s="1869"/>
      <c r="F64" s="1869"/>
      <c r="G64" s="1869"/>
      <c r="H64" s="1869"/>
      <c r="I64" s="1007"/>
      <c r="J64" s="1007"/>
    </row>
    <row r="65" spans="1:12" ht="12.75" customHeight="1" x14ac:dyDescent="0.2">
      <c r="A65" s="217"/>
      <c r="B65" s="1869"/>
      <c r="C65" s="1869"/>
      <c r="D65" s="1869"/>
      <c r="E65" s="1869"/>
      <c r="F65" s="1869"/>
      <c r="G65" s="1869"/>
      <c r="H65" s="1869"/>
      <c r="I65" s="675"/>
      <c r="J65" s="675"/>
    </row>
    <row r="66" spans="1:12" ht="27" customHeight="1" x14ac:dyDescent="0.2">
      <c r="A66" s="236"/>
      <c r="B66" s="1869"/>
      <c r="C66" s="1869"/>
      <c r="D66" s="1869"/>
      <c r="E66" s="1869"/>
      <c r="F66" s="1869"/>
      <c r="G66" s="1869"/>
      <c r="H66" s="1869"/>
      <c r="I66" s="675"/>
      <c r="J66" s="675"/>
    </row>
    <row r="67" spans="1:12" x14ac:dyDescent="0.2">
      <c r="K67" s="304"/>
      <c r="L67" s="304"/>
    </row>
    <row r="68" spans="1:12" ht="23.25" customHeight="1" x14ac:dyDescent="0.2">
      <c r="K68" s="304"/>
      <c r="L68" s="304"/>
    </row>
    <row r="69" spans="1:12" x14ac:dyDescent="0.2">
      <c r="A69" s="236"/>
      <c r="B69" s="304"/>
      <c r="C69" s="304"/>
      <c r="D69" s="304"/>
      <c r="E69" s="304"/>
      <c r="F69" s="304"/>
      <c r="G69" s="304"/>
      <c r="H69" s="304"/>
      <c r="I69" s="304"/>
      <c r="J69" s="304"/>
      <c r="K69" s="304"/>
      <c r="L69" s="304"/>
    </row>
    <row r="70" spans="1:12" x14ac:dyDescent="0.2">
      <c r="A70" s="673"/>
      <c r="B70" s="673"/>
      <c r="C70" s="673"/>
      <c r="D70" s="673"/>
      <c r="E70" s="673"/>
      <c r="F70" s="236"/>
      <c r="G70" s="236"/>
      <c r="H70" s="236"/>
    </row>
  </sheetData>
  <mergeCells count="11">
    <mergeCell ref="B65:H66"/>
    <mergeCell ref="A9:J9"/>
    <mergeCell ref="A10:J10"/>
    <mergeCell ref="A11:J11"/>
    <mergeCell ref="B14:B15"/>
    <mergeCell ref="G14:G15"/>
    <mergeCell ref="B58:E58"/>
    <mergeCell ref="B60:H60"/>
    <mergeCell ref="B61:J61"/>
    <mergeCell ref="B62:J62"/>
    <mergeCell ref="B63:H64"/>
  </mergeCells>
  <dataValidations count="1">
    <dataValidation allowBlank="1" showInputMessage="1" showErrorMessage="1" promptTitle="Date Format" prompt="E.g:  &quot;August 1, 2011&quot;" sqref="WVP983052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dataValidations>
  <printOptions horizontalCentered="1"/>
  <pageMargins left="0.74803149606299213" right="0.74803149606299213" top="0.70866141732283472" bottom="0.39370078740157483" header="0.39370078740157483" footer="0.27559055118110237"/>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1"/>
  <sheetViews>
    <sheetView showGridLines="0" topLeftCell="A28" zoomScaleNormal="100" workbookViewId="0">
      <selection activeCell="B52" sqref="B52"/>
    </sheetView>
  </sheetViews>
  <sheetFormatPr defaultRowHeight="12.75" x14ac:dyDescent="0.2"/>
  <cols>
    <col min="2" max="2" width="59.42578125" customWidth="1"/>
    <col min="3" max="3" width="4.85546875" customWidth="1"/>
    <col min="4" max="5" width="3" bestFit="1" customWidth="1"/>
    <col min="6" max="6" width="44.28515625" customWidth="1"/>
  </cols>
  <sheetData>
    <row r="1" spans="1:13" x14ac:dyDescent="0.2">
      <c r="M1" s="612"/>
    </row>
    <row r="2" spans="1:13" x14ac:dyDescent="0.2">
      <c r="M2" s="612"/>
    </row>
    <row r="4" spans="1:13" x14ac:dyDescent="0.2">
      <c r="M4" s="612"/>
    </row>
    <row r="7" spans="1:13" ht="18" x14ac:dyDescent="0.25">
      <c r="C7" s="161"/>
    </row>
    <row r="8" spans="1:13" x14ac:dyDescent="0.2">
      <c r="C8" s="106"/>
    </row>
    <row r="9" spans="1:13" x14ac:dyDescent="0.2">
      <c r="C9" s="110"/>
    </row>
    <row r="10" spans="1:13" x14ac:dyDescent="0.2">
      <c r="C10" s="110"/>
    </row>
    <row r="11" spans="1:13" x14ac:dyDescent="0.2">
      <c r="C11" s="110"/>
    </row>
    <row r="12" spans="1:13" x14ac:dyDescent="0.2">
      <c r="C12" s="110"/>
    </row>
    <row r="13" spans="1:13" ht="25.5" x14ac:dyDescent="0.2">
      <c r="A13" s="193"/>
      <c r="C13" s="110"/>
    </row>
    <row r="14" spans="1:13" x14ac:dyDescent="0.2">
      <c r="B14" s="120"/>
      <c r="C14" s="14"/>
    </row>
    <row r="15" spans="1:13" x14ac:dyDescent="0.2">
      <c r="A15" s="14">
        <v>1</v>
      </c>
      <c r="B15" s="614" t="s">
        <v>655</v>
      </c>
      <c r="C15" s="120"/>
      <c r="E15" s="14">
        <v>35</v>
      </c>
      <c r="F15" s="979" t="s">
        <v>1085</v>
      </c>
      <c r="G15" s="120"/>
    </row>
    <row r="16" spans="1:13" x14ac:dyDescent="0.2">
      <c r="A16" s="14">
        <v>2</v>
      </c>
      <c r="B16" s="120" t="s">
        <v>654</v>
      </c>
      <c r="C16" s="120"/>
      <c r="E16" s="14">
        <v>36</v>
      </c>
      <c r="F16" s="614" t="s">
        <v>1086</v>
      </c>
      <c r="G16" s="120"/>
    </row>
    <row r="17" spans="1:7" x14ac:dyDescent="0.2">
      <c r="A17" s="14">
        <v>3</v>
      </c>
      <c r="B17" s="614" t="s">
        <v>1060</v>
      </c>
      <c r="C17" s="120"/>
      <c r="E17" s="14">
        <v>37</v>
      </c>
      <c r="F17" s="614" t="s">
        <v>1087</v>
      </c>
      <c r="G17" s="120"/>
    </row>
    <row r="18" spans="1:7" x14ac:dyDescent="0.2">
      <c r="A18" s="14">
        <v>4</v>
      </c>
      <c r="B18" s="614" t="s">
        <v>1047</v>
      </c>
      <c r="C18" s="120"/>
      <c r="E18" s="14">
        <v>38</v>
      </c>
      <c r="F18" s="614" t="s">
        <v>1088</v>
      </c>
      <c r="G18" s="120"/>
    </row>
    <row r="19" spans="1:7" x14ac:dyDescent="0.2">
      <c r="A19" s="14">
        <v>5</v>
      </c>
      <c r="B19" s="614" t="s">
        <v>1194</v>
      </c>
      <c r="C19" s="120"/>
      <c r="E19" s="14">
        <v>39</v>
      </c>
      <c r="F19" s="614" t="s">
        <v>1089</v>
      </c>
      <c r="G19" s="120"/>
    </row>
    <row r="20" spans="1:7" x14ac:dyDescent="0.2">
      <c r="A20" s="14">
        <v>6</v>
      </c>
      <c r="B20" s="614" t="s">
        <v>1195</v>
      </c>
      <c r="C20" s="120"/>
      <c r="E20" s="14">
        <v>40</v>
      </c>
      <c r="F20" s="614" t="s">
        <v>1090</v>
      </c>
      <c r="G20" s="120"/>
    </row>
    <row r="21" spans="1:7" x14ac:dyDescent="0.2">
      <c r="A21" s="14">
        <v>7</v>
      </c>
      <c r="B21" s="1417" t="s">
        <v>1242</v>
      </c>
      <c r="C21" s="120"/>
      <c r="E21" s="14">
        <v>41</v>
      </c>
      <c r="F21" s="614" t="s">
        <v>1252</v>
      </c>
      <c r="G21" s="120"/>
    </row>
    <row r="22" spans="1:7" x14ac:dyDescent="0.2">
      <c r="A22" s="14">
        <v>8</v>
      </c>
      <c r="B22" s="1423" t="s">
        <v>1243</v>
      </c>
      <c r="C22" s="120"/>
      <c r="E22" s="14">
        <v>42</v>
      </c>
      <c r="F22" s="1422" t="s">
        <v>1253</v>
      </c>
      <c r="G22" s="120"/>
    </row>
    <row r="23" spans="1:7" x14ac:dyDescent="0.2">
      <c r="A23" s="14">
        <v>9</v>
      </c>
      <c r="B23" s="614" t="s">
        <v>1061</v>
      </c>
      <c r="C23" s="120"/>
      <c r="E23" s="14">
        <v>43</v>
      </c>
      <c r="F23" s="1422" t="s">
        <v>1254</v>
      </c>
      <c r="G23" s="120"/>
    </row>
    <row r="24" spans="1:7" x14ac:dyDescent="0.2">
      <c r="A24" s="14">
        <v>10</v>
      </c>
      <c r="B24" s="614" t="s">
        <v>823</v>
      </c>
      <c r="C24" s="120"/>
      <c r="E24" s="14">
        <v>44</v>
      </c>
      <c r="F24" s="1422" t="s">
        <v>1949</v>
      </c>
      <c r="G24" s="120"/>
    </row>
    <row r="25" spans="1:7" x14ac:dyDescent="0.2">
      <c r="A25" s="14">
        <v>11</v>
      </c>
      <c r="B25" s="981" t="s">
        <v>1239</v>
      </c>
      <c r="C25" s="120"/>
      <c r="E25" s="14">
        <v>45</v>
      </c>
      <c r="F25" s="614" t="s">
        <v>1091</v>
      </c>
      <c r="G25" s="120"/>
    </row>
    <row r="26" spans="1:7" x14ac:dyDescent="0.2">
      <c r="A26" s="14">
        <v>12</v>
      </c>
      <c r="B26" s="981" t="s">
        <v>1062</v>
      </c>
      <c r="C26" s="120"/>
      <c r="E26" s="14">
        <v>46</v>
      </c>
      <c r="F26" s="614" t="s">
        <v>1092</v>
      </c>
      <c r="G26" s="120"/>
    </row>
    <row r="27" spans="1:7" x14ac:dyDescent="0.2">
      <c r="A27" s="14">
        <v>13</v>
      </c>
      <c r="B27" s="981" t="s">
        <v>1063</v>
      </c>
      <c r="C27" s="120"/>
      <c r="E27" s="14">
        <v>47</v>
      </c>
      <c r="F27" s="1422" t="s">
        <v>1786</v>
      </c>
      <c r="G27" s="120"/>
    </row>
    <row r="28" spans="1:7" x14ac:dyDescent="0.2">
      <c r="A28" s="14">
        <v>14</v>
      </c>
      <c r="B28" s="981" t="s">
        <v>1064</v>
      </c>
      <c r="C28" s="120"/>
      <c r="E28" s="14">
        <v>48</v>
      </c>
      <c r="F28" s="1422" t="s">
        <v>1787</v>
      </c>
      <c r="G28" s="376"/>
    </row>
    <row r="29" spans="1:7" x14ac:dyDescent="0.2">
      <c r="A29" s="14">
        <v>15</v>
      </c>
      <c r="B29" s="981" t="s">
        <v>1065</v>
      </c>
      <c r="C29" s="120"/>
      <c r="E29" s="14">
        <v>49</v>
      </c>
      <c r="F29" s="1422" t="s">
        <v>1788</v>
      </c>
      <c r="G29" s="376"/>
    </row>
    <row r="30" spans="1:7" x14ac:dyDescent="0.2">
      <c r="A30" s="14">
        <v>16</v>
      </c>
      <c r="B30" s="981" t="s">
        <v>1066</v>
      </c>
      <c r="C30" s="120"/>
      <c r="E30" s="14">
        <v>50</v>
      </c>
      <c r="F30" s="614" t="s">
        <v>1093</v>
      </c>
      <c r="G30" s="376"/>
    </row>
    <row r="31" spans="1:7" x14ac:dyDescent="0.2">
      <c r="A31" s="14">
        <v>17</v>
      </c>
      <c r="B31" s="981" t="s">
        <v>1068</v>
      </c>
      <c r="C31" s="120"/>
      <c r="E31" s="14">
        <v>51</v>
      </c>
      <c r="F31" s="614" t="s">
        <v>1094</v>
      </c>
      <c r="G31" s="120"/>
    </row>
    <row r="32" spans="1:7" x14ac:dyDescent="0.2">
      <c r="A32" s="14">
        <v>18</v>
      </c>
      <c r="B32" s="981" t="s">
        <v>1067</v>
      </c>
      <c r="C32" s="377"/>
      <c r="E32" s="14">
        <v>52</v>
      </c>
      <c r="F32" s="614" t="s">
        <v>1095</v>
      </c>
      <c r="G32" s="120"/>
    </row>
    <row r="33" spans="1:9" x14ac:dyDescent="0.2">
      <c r="A33" s="14">
        <v>19</v>
      </c>
      <c r="B33" s="981" t="s">
        <v>1069</v>
      </c>
      <c r="C33" s="120"/>
      <c r="E33" s="14">
        <v>53</v>
      </c>
      <c r="F33" s="614" t="s">
        <v>1096</v>
      </c>
      <c r="G33" s="120"/>
    </row>
    <row r="34" spans="1:9" x14ac:dyDescent="0.2">
      <c r="A34" s="14">
        <v>20</v>
      </c>
      <c r="B34" s="981" t="s">
        <v>1070</v>
      </c>
      <c r="C34" s="613"/>
      <c r="E34" s="14">
        <v>54</v>
      </c>
      <c r="F34" s="614" t="s">
        <v>1097</v>
      </c>
      <c r="I34" s="13"/>
    </row>
    <row r="35" spans="1:9" x14ac:dyDescent="0.2">
      <c r="A35" s="14">
        <v>21</v>
      </c>
      <c r="B35" s="981" t="s">
        <v>1071</v>
      </c>
      <c r="C35" s="13"/>
      <c r="E35" s="14">
        <v>55</v>
      </c>
      <c r="F35" s="614" t="s">
        <v>1098</v>
      </c>
      <c r="I35" s="13"/>
    </row>
    <row r="36" spans="1:9" x14ac:dyDescent="0.2">
      <c r="A36" s="14">
        <v>22</v>
      </c>
      <c r="B36" s="981" t="s">
        <v>1072</v>
      </c>
      <c r="C36" s="13"/>
      <c r="E36" s="14">
        <v>56</v>
      </c>
      <c r="F36" s="614" t="s">
        <v>1099</v>
      </c>
      <c r="I36" s="13"/>
    </row>
    <row r="37" spans="1:9" x14ac:dyDescent="0.2">
      <c r="A37" s="14">
        <v>23</v>
      </c>
      <c r="B37" s="981" t="s">
        <v>1073</v>
      </c>
      <c r="C37" s="13"/>
      <c r="E37" s="14">
        <v>57</v>
      </c>
      <c r="F37" s="614" t="s">
        <v>1100</v>
      </c>
      <c r="I37" s="13"/>
    </row>
    <row r="38" spans="1:9" ht="12.75" customHeight="1" x14ac:dyDescent="0.2">
      <c r="A38" s="14">
        <v>24</v>
      </c>
      <c r="B38" s="614" t="s">
        <v>1074</v>
      </c>
      <c r="C38" s="13"/>
      <c r="D38" s="612"/>
      <c r="E38" s="14">
        <v>58</v>
      </c>
      <c r="F38" s="614" t="s">
        <v>1101</v>
      </c>
      <c r="I38" s="13"/>
    </row>
    <row r="39" spans="1:9" x14ac:dyDescent="0.2">
      <c r="A39" s="14">
        <v>25</v>
      </c>
      <c r="B39" s="979" t="s">
        <v>1075</v>
      </c>
      <c r="C39" s="188"/>
      <c r="D39" s="612"/>
      <c r="E39" s="14">
        <v>59</v>
      </c>
      <c r="F39" s="614" t="s">
        <v>1102</v>
      </c>
      <c r="I39" s="13"/>
    </row>
    <row r="40" spans="1:9" x14ac:dyDescent="0.2">
      <c r="A40" s="14">
        <v>26</v>
      </c>
      <c r="B40" s="979" t="s">
        <v>1076</v>
      </c>
      <c r="C40" s="13"/>
      <c r="D40" s="612"/>
      <c r="E40" s="14">
        <v>60</v>
      </c>
      <c r="F40" s="614" t="s">
        <v>1103</v>
      </c>
      <c r="I40" s="188"/>
    </row>
    <row r="41" spans="1:9" ht="12.75" customHeight="1" x14ac:dyDescent="0.2">
      <c r="A41" s="14">
        <v>27</v>
      </c>
      <c r="B41" s="979" t="s">
        <v>1077</v>
      </c>
      <c r="C41" s="541"/>
      <c r="D41" s="612"/>
      <c r="E41" s="14">
        <v>61</v>
      </c>
      <c r="F41" s="614" t="s">
        <v>1104</v>
      </c>
    </row>
    <row r="42" spans="1:9" x14ac:dyDescent="0.2">
      <c r="A42" s="14">
        <v>28</v>
      </c>
      <c r="B42" s="979" t="s">
        <v>1078</v>
      </c>
      <c r="C42" s="541"/>
      <c r="D42" s="612"/>
      <c r="E42" s="14">
        <v>62</v>
      </c>
      <c r="F42" s="614" t="s">
        <v>1105</v>
      </c>
    </row>
    <row r="43" spans="1:9" x14ac:dyDescent="0.2">
      <c r="A43" s="14">
        <v>29</v>
      </c>
      <c r="B43" s="979" t="s">
        <v>1079</v>
      </c>
      <c r="D43" s="612"/>
      <c r="E43" s="14">
        <v>63</v>
      </c>
      <c r="F43" s="614" t="s">
        <v>1106</v>
      </c>
    </row>
    <row r="44" spans="1:9" x14ac:dyDescent="0.2">
      <c r="A44" s="14">
        <v>30</v>
      </c>
      <c r="B44" s="979" t="s">
        <v>1080</v>
      </c>
      <c r="D44" s="612"/>
      <c r="E44" s="14">
        <v>64</v>
      </c>
      <c r="F44" s="614" t="s">
        <v>1107</v>
      </c>
    </row>
    <row r="45" spans="1:9" x14ac:dyDescent="0.2">
      <c r="A45" s="14">
        <v>31</v>
      </c>
      <c r="B45" s="979" t="s">
        <v>1081</v>
      </c>
      <c r="D45" s="612"/>
      <c r="E45" s="14">
        <v>65</v>
      </c>
      <c r="F45" s="981" t="s">
        <v>1108</v>
      </c>
    </row>
    <row r="46" spans="1:9" x14ac:dyDescent="0.2">
      <c r="A46" s="14">
        <v>32</v>
      </c>
      <c r="B46" s="979" t="s">
        <v>1082</v>
      </c>
      <c r="D46" s="612"/>
      <c r="E46" s="14">
        <v>66</v>
      </c>
      <c r="F46" s="979" t="s">
        <v>1109</v>
      </c>
    </row>
    <row r="47" spans="1:9" x14ac:dyDescent="0.2">
      <c r="A47" s="14">
        <v>33</v>
      </c>
      <c r="B47" s="980" t="s">
        <v>1083</v>
      </c>
      <c r="D47" s="612"/>
      <c r="E47" s="14">
        <v>67</v>
      </c>
      <c r="F47" s="614" t="s">
        <v>1244</v>
      </c>
    </row>
    <row r="48" spans="1:9" x14ac:dyDescent="0.2">
      <c r="A48" s="14">
        <v>34</v>
      </c>
      <c r="B48" s="981" t="s">
        <v>1084</v>
      </c>
      <c r="D48" s="612"/>
    </row>
    <row r="49" spans="1:7" x14ac:dyDescent="0.2">
      <c r="D49" s="612"/>
    </row>
    <row r="50" spans="1:7" x14ac:dyDescent="0.2">
      <c r="D50" s="612"/>
    </row>
    <row r="51" spans="1:7" ht="15.75" x14ac:dyDescent="0.25">
      <c r="B51" s="983" t="s">
        <v>1110</v>
      </c>
      <c r="D51" s="612"/>
    </row>
    <row r="52" spans="1:7" x14ac:dyDescent="0.2">
      <c r="A52" s="982"/>
      <c r="B52" t="s">
        <v>1111</v>
      </c>
      <c r="D52" s="612"/>
    </row>
    <row r="53" spans="1:7" x14ac:dyDescent="0.2">
      <c r="A53" s="984"/>
      <c r="B53" s="120" t="s">
        <v>1942</v>
      </c>
      <c r="D53" s="612"/>
    </row>
    <row r="54" spans="1:7" x14ac:dyDescent="0.2">
      <c r="A54" s="985"/>
      <c r="B54" t="s">
        <v>1112</v>
      </c>
      <c r="D54" s="612"/>
    </row>
    <row r="55" spans="1:7" x14ac:dyDescent="0.2">
      <c r="A55" s="986"/>
      <c r="B55" s="120" t="s">
        <v>1943</v>
      </c>
      <c r="D55" s="612"/>
    </row>
    <row r="56" spans="1:7" x14ac:dyDescent="0.2">
      <c r="D56" s="612"/>
    </row>
    <row r="57" spans="1:7" x14ac:dyDescent="0.2">
      <c r="D57" s="612"/>
    </row>
    <row r="58" spans="1:7" x14ac:dyDescent="0.2">
      <c r="D58" s="612"/>
      <c r="G58" s="120"/>
    </row>
    <row r="59" spans="1:7" x14ac:dyDescent="0.2">
      <c r="D59" s="612"/>
    </row>
    <row r="60" spans="1:7" x14ac:dyDescent="0.2">
      <c r="D60" s="612"/>
    </row>
    <row r="61" spans="1:7" x14ac:dyDescent="0.2">
      <c r="D61" s="612"/>
      <c r="G61" s="120"/>
    </row>
    <row r="62" spans="1:7" x14ac:dyDescent="0.2">
      <c r="D62" s="612"/>
    </row>
    <row r="63" spans="1:7" x14ac:dyDescent="0.2">
      <c r="D63" s="612"/>
    </row>
    <row r="64" spans="1:7" x14ac:dyDescent="0.2">
      <c r="D64" s="612"/>
    </row>
    <row r="65" spans="4:13" x14ac:dyDescent="0.2">
      <c r="D65" s="612"/>
    </row>
    <row r="66" spans="4:13" x14ac:dyDescent="0.2">
      <c r="D66" s="612"/>
    </row>
    <row r="67" spans="4:13" x14ac:dyDescent="0.2">
      <c r="D67" s="612"/>
      <c r="M67" s="612"/>
    </row>
    <row r="68" spans="4:13" x14ac:dyDescent="0.2">
      <c r="D68" s="612"/>
      <c r="M68" s="612"/>
    </row>
    <row r="69" spans="4:13" x14ac:dyDescent="0.2">
      <c r="D69" s="612"/>
      <c r="G69" s="120"/>
    </row>
    <row r="70" spans="4:13" x14ac:dyDescent="0.2">
      <c r="D70" s="612"/>
    </row>
    <row r="71" spans="4:13" x14ac:dyDescent="0.2">
      <c r="D71" s="612"/>
    </row>
  </sheetData>
  <phoneticPr fontId="11" type="noConversion"/>
  <hyperlinks>
    <hyperlink ref="B15" location="'LDC Info'!A1" display="LDC Info"/>
    <hyperlink ref="B18" location="'List of Key References'!OLE_LINK7" display="List of Key References"/>
    <hyperlink ref="B17" location="'COS Flowchart'!A1" display="COS Flowchart"/>
    <hyperlink ref="B19" location="'App.2-AA_Capital Projects'!A1" display="Appendix 2-AA: Capital Projects Table"/>
    <hyperlink ref="B22" location="'App.2-BA2_Fix Asset Cont.MIFRS'!Print_Area" display="Appendix 2-BA2: Fixed Asset Continuity Schedule (MIFRS)"/>
    <hyperlink ref="B23" location="'Appendix 2-BB Service Life Comp'!A1" display="Appendix 2-BB Service Life Comp"/>
    <hyperlink ref="B24" location="'Instruction for App. 2-C MIFRS'!A1" display="Instruction for App. 2-C MIFRS"/>
    <hyperlink ref="B25" location="'App.2-CA_CGAAP_DepExp_2011'!A1" display="App.2-CA_CGAAP_DepExp_2011"/>
    <hyperlink ref="B26" location="'App.2-CB_MIFRS_DepExp_2011'!A1" display="App.2-CB_MIFRS_DepExp_2011"/>
    <hyperlink ref="B27" location="'App.2-CC_MIFRS_DepExp_2012'!A1" display="App.2-CC_MIFRS_DepExp_2012"/>
    <hyperlink ref="B28" location="'App.2-CD_MIFRS_DepExp_2013'!A1" display="App.2-CD_MIFRS_DepExp_2013"/>
    <hyperlink ref="B29" location="'App.2-CE_MIFRS_DepExp_2014'!A1" display="App.2-CE_MIFRS_DepExp_2014"/>
    <hyperlink ref="B30" location="'App.2-CF_CGAAP_DepExp_2012'!A1" display="App.2-CF_CGAAP_DepExp_2012"/>
    <hyperlink ref="B31" location="'App.2-CG_MIFRS_DepExp_2012'!A1" display="App.2-CG_MIFRS_DepExp_2012"/>
    <hyperlink ref="B32" location="'App.2-CH_MIFRS_DepExp_2013'!A1" display="App.2-CH_MIFRS_DepExp_2013"/>
    <hyperlink ref="B33" location="'App.2-CI_MIFRS_DepExp_2014'!A1" display="App.2-CI_MIFRS_DepExp_2014"/>
    <hyperlink ref="B34" location="'App.2-CJ_CGAAP_DepExp_2012'!A1" display="App.2-CJ_CGAAP_DepExp_2012"/>
    <hyperlink ref="B35" location="'App.2-CK_CGAAP_DepExp_2013'!A1" display="App.2-CK_CGAAP_DepExp_2013"/>
    <hyperlink ref="B36" location="'App.2-CL_MIFRS_DepExp_2013'!A1" display="App.2-CL_MIFRS_DepExp_2013"/>
    <hyperlink ref="B37" location="'App.2-CM_MIFRS_DepExp_2014'!A1" display="App.2-CM_MIFRS_DepExp_2014"/>
    <hyperlink ref="B38" location="'Instruction for App. 2-C CGAAP'!A1" display="Instruction for App. 2-C CGAAP"/>
    <hyperlink ref="B39" location="'App.2-CN_OldCGAAP_DepExp_2012'!A1" display="App.2-CN_OldCGAAP_DepExp_2012"/>
    <hyperlink ref="B40" location="'App.2-CO_NewCGAAP_DepExp_2012'!A1" display="App.2-CO_NewCGAAP_DepExp_2012"/>
    <hyperlink ref="B41" location="'App.2-CP_NewCGAAP_DepExp_2013'!A1" display="App.2-CP_NewCGAAP_DepExp_2013"/>
    <hyperlink ref="B42" location="'App.2-CQ NewCGAAP_DepExp_2014'!A1" display="App.2-CQ NewCGAAP_DepExp_2014"/>
    <hyperlink ref="B43" location="'App.2-CR_OldCGAAP_DepExp_2012'!A1" display="App.2-CR_OldCGAAP_DepExp_2012"/>
    <hyperlink ref="B44" location="'App.2-CS_OldCGAAP_DepExp_2013'!A1" display="App.2-CS_OldCGAAP_DepExp_2013"/>
    <hyperlink ref="B45" location="'App.2-CT_NewCGAAP_DepExp_2013'!A1" display="App.2-CT_NewCGAAP_DepExp_2013"/>
    <hyperlink ref="B46" location="'App.2-CU_NewCGAAP_DepExp_2014'!A1" display="App.2-CU_NewCGAAP_DepExp_2014"/>
    <hyperlink ref="B47" location="'App.2-CV_USGAAP_DepExp'!A1" display="App.2-CV_USGAAP_DepExp"/>
    <hyperlink ref="B48" location="'App.2-DA_Overhead'!A1" display="App.2-DA_Overhead"/>
    <hyperlink ref="F15" location="'App.2-DB_Overhead'!A1" display="App.2-DB_Overhead"/>
    <hyperlink ref="F16" location="'App.2-EA_PP&amp;E Deferral Account'!A1" display="App.2-EA_PP&amp;E Deferral Account"/>
    <hyperlink ref="F17" location="'App.2-EB_PP&amp;E Deferral Account'!A1" display="App.2-EB_PP&amp;E Deferral Account"/>
    <hyperlink ref="F18" location="'App.2-EC_PP&amp;E Deferral Account'!A1" display="App.2-EC_PP&amp;E Deferral Account"/>
    <hyperlink ref="F19" location="'App.2-ED_Account 1576 (2012)'!A1" display="App.2-ED_Account 1576 (2012)"/>
    <hyperlink ref="F20" location="'App.2-EE_Account 1576 (2013)'!A1" display="App.2-EE_Account 1576 (2013)"/>
    <hyperlink ref="F21" location="'App.2-FA Proposed REG Invest.'!A1" display="App.2-FA Proposed REG Invest."/>
    <hyperlink ref="F22" location="'App.2-FB Calc of REG Improvemnt'!A1" display="Appendix 2-FB: Calculation of Renewable Generation Connection Direct Benefits/Provincial Amount: Renewable Enabling Improvement Investments"/>
    <hyperlink ref="F23" location="'App.2-FC Calc of REG Expansion'!A1" display="Appendix 2-FC: Calculation of Renewable Generation Connection Direct Benefits/Provincial Amount: Renewable Expansion Investments"/>
    <hyperlink ref="F24" location="'App.2-G SQI'!A1" display="App.2-G SQI"/>
    <hyperlink ref="F25" location="'App.2-H_Other_Oper_Rev'!A1" display="App.2-H_Other_Oper_Rev"/>
    <hyperlink ref="F26" location="'App.2-I LF_CDM_WF'!A1" display="App.2-I LF_CDM_WF"/>
    <hyperlink ref="F27" location="'App.2-JA_OM&amp;A_Summary_Analys'!Print_Area" display="Appendix 2-JA: Summary of Recoverable OM&amp;A Expenses"/>
    <hyperlink ref="F28" location="'App.2-JB_OM&amp;A_Cost _Drivers'!A1" display="Appendix 2-JB: Recoverable OM&amp;A Cost Driver Table"/>
    <hyperlink ref="F30" location="'App.2-K_Employee Costs'!A1" display="App.2-K_Employee Costs"/>
    <hyperlink ref="F31" location="'App.2-L_OM&amp;A_per_Cust_FTEE'!A1" display="App.2-L_OM&amp;A_per_Cust_FTEE"/>
    <hyperlink ref="F32" location="'App.2-M_Regulatory_Costs'!A1" display="App.2-M_Regulatory_Costs"/>
    <hyperlink ref="F33" location="'App.2-N_Corp_Cost_Allocation'!A1" display="App.2-N_Corp_Cost_Allocation"/>
    <hyperlink ref="F34" location="'App.2-OA Capital Structure'!A1" display="App.2-OA Capital Structure"/>
    <hyperlink ref="F35" location="'App.2-OB_Debt Instruments'!A1" display="App.2-OB_Debt Instruments"/>
    <hyperlink ref="F36" location="'App.2-P_Cost_Allocation'!A1" display="App.2-P_Cost_Allocation"/>
    <hyperlink ref="F37" location="'App.2-Q_Cost of Serv. Emb. Dx'!A1" display="App.2-Q_Cost of Serv. Emb. Dx"/>
    <hyperlink ref="F38" location="'App.2-R_Loss Factors'!A1" display="App.2-R_Loss Factors"/>
    <hyperlink ref="F39" location="'App.2-S_Stranded Meters'!A1" display="App.2-S_Stranded Meters"/>
    <hyperlink ref="F40" location="'App.2-TA_1592_Tax_Variance'!A1" display="App.2-TA_1592_Tax_Variance"/>
    <hyperlink ref="F41" location="'App.2-TB_1592_HST-OVAT'!A1" display="App.2-TB_1592_HST-OVAT"/>
    <hyperlink ref="F42" location="'App.2-U_IFRS Transition Costs'!A1" display="App.2-U_IFRS Transition Costs"/>
    <hyperlink ref="F43" location="'App.2-V_Rev_Reconciliation'!A1" display="App.2-V_Rev_Reconciliation"/>
    <hyperlink ref="F44" location="'App.2-W_Bill Impacts'!A1" display="App.2-W_Bill Impacts"/>
    <hyperlink ref="F45" location="'App.2-YA_MIFRS Summary Impacts'!A1" display="App.2-YA_MIFRS Summary Impacts"/>
    <hyperlink ref="F46" location="'App. 2-YB_CGAAP Summary Impacts'!A1" display="App. 2-YB_CGAAP Summary Impacts"/>
    <hyperlink ref="B20" location="'App.2-AB_Capital Expenditures'!A1" display="Appendix 2-AB: Capital Expenditures"/>
    <hyperlink ref="F47" location="'App. 2-Z_Tariff'!A1" display="Tariff Schedule"/>
    <hyperlink ref="F29" location="'App.2-JC_OMA Programs'!A1" display="Appendix 2-JC: OMA Programs Table"/>
    <hyperlink ref="B21" location="'App.2-BA1_Fix Asset Cont.CGAAP'!Print_Area" display="Appendix 2-BA1: Fixed Asset Continuity Schedule (CGAAP/ASPE/USGAAP)"/>
  </hyperlinks>
  <pageMargins left="0.75" right="0.75" top="1" bottom="1" header="0.5" footer="0.5"/>
  <pageSetup scale="5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78"/>
  <sheetViews>
    <sheetView showGridLines="0" zoomScaleNormal="100" workbookViewId="0">
      <selection activeCell="A10" sqref="A10:L10"/>
    </sheetView>
  </sheetViews>
  <sheetFormatPr defaultRowHeight="12.75" x14ac:dyDescent="0.2"/>
  <cols>
    <col min="1" max="1" width="9.140625" style="216"/>
    <col min="2" max="2" width="40.28515625" style="216" bestFit="1" customWidth="1"/>
    <col min="3" max="5" width="13" style="216" customWidth="1"/>
    <col min="6" max="6" width="10" style="216" customWidth="1"/>
    <col min="7" max="7" width="17.85546875" style="216" customWidth="1"/>
    <col min="8" max="8" width="7.7109375" style="216" customWidth="1"/>
    <col min="9" max="9" width="12.28515625" style="216" customWidth="1"/>
    <col min="10" max="10" width="12.7109375" style="216" customWidth="1"/>
    <col min="11" max="11" width="16.85546875" style="216" customWidth="1"/>
    <col min="12" max="12" width="13" style="216" customWidth="1"/>
    <col min="13" max="257" width="9.140625" style="216"/>
    <col min="258" max="258" width="2.7109375" style="216" customWidth="1"/>
    <col min="259" max="259" width="9.140625" style="216"/>
    <col min="260" max="260" width="40.28515625" style="216" bestFit="1" customWidth="1"/>
    <col min="261" max="261" width="10.7109375" style="216" customWidth="1"/>
    <col min="262" max="262" width="10" style="216" customWidth="1"/>
    <col min="263" max="263" width="17.85546875" style="216" customWidth="1"/>
    <col min="264" max="264" width="7.7109375" style="216" customWidth="1"/>
    <col min="265" max="265" width="12.28515625" style="216" customWidth="1"/>
    <col min="266" max="266" width="12.7109375" style="216" customWidth="1"/>
    <col min="267" max="267" width="13.5703125" style="216" customWidth="1"/>
    <col min="268" max="268" width="13" style="216" customWidth="1"/>
    <col min="269" max="513" width="9.140625" style="216"/>
    <col min="514" max="514" width="2.7109375" style="216" customWidth="1"/>
    <col min="515" max="515" width="9.140625" style="216"/>
    <col min="516" max="516" width="40.28515625" style="216" bestFit="1" customWidth="1"/>
    <col min="517" max="517" width="10.7109375" style="216" customWidth="1"/>
    <col min="518" max="518" width="10" style="216" customWidth="1"/>
    <col min="519" max="519" width="17.85546875" style="216" customWidth="1"/>
    <col min="520" max="520" width="7.7109375" style="216" customWidth="1"/>
    <col min="521" max="521" width="12.28515625" style="216" customWidth="1"/>
    <col min="522" max="522" width="12.7109375" style="216" customWidth="1"/>
    <col min="523" max="523" width="13.5703125" style="216" customWidth="1"/>
    <col min="524" max="524" width="13" style="216" customWidth="1"/>
    <col min="525" max="769" width="9.140625" style="216"/>
    <col min="770" max="770" width="2.7109375" style="216" customWidth="1"/>
    <col min="771" max="771" width="9.140625" style="216"/>
    <col min="772" max="772" width="40.28515625" style="216" bestFit="1" customWidth="1"/>
    <col min="773" max="773" width="10.7109375" style="216" customWidth="1"/>
    <col min="774" max="774" width="10" style="216" customWidth="1"/>
    <col min="775" max="775" width="17.85546875" style="216" customWidth="1"/>
    <col min="776" max="776" width="7.7109375" style="216" customWidth="1"/>
    <col min="777" max="777" width="12.28515625" style="216" customWidth="1"/>
    <col min="778" max="778" width="12.7109375" style="216" customWidth="1"/>
    <col min="779" max="779" width="13.5703125" style="216" customWidth="1"/>
    <col min="780" max="780" width="13" style="216" customWidth="1"/>
    <col min="781" max="1025" width="9.140625" style="216"/>
    <col min="1026" max="1026" width="2.7109375" style="216" customWidth="1"/>
    <col min="1027" max="1027" width="9.140625" style="216"/>
    <col min="1028" max="1028" width="40.28515625" style="216" bestFit="1" customWidth="1"/>
    <col min="1029" max="1029" width="10.7109375" style="216" customWidth="1"/>
    <col min="1030" max="1030" width="10" style="216" customWidth="1"/>
    <col min="1031" max="1031" width="17.85546875" style="216" customWidth="1"/>
    <col min="1032" max="1032" width="7.7109375" style="216" customWidth="1"/>
    <col min="1033" max="1033" width="12.28515625" style="216" customWidth="1"/>
    <col min="1034" max="1034" width="12.7109375" style="216" customWidth="1"/>
    <col min="1035" max="1035" width="13.5703125" style="216" customWidth="1"/>
    <col min="1036" max="1036" width="13" style="216" customWidth="1"/>
    <col min="1037" max="1281" width="9.140625" style="216"/>
    <col min="1282" max="1282" width="2.7109375" style="216" customWidth="1"/>
    <col min="1283" max="1283" width="9.140625" style="216"/>
    <col min="1284" max="1284" width="40.28515625" style="216" bestFit="1" customWidth="1"/>
    <col min="1285" max="1285" width="10.7109375" style="216" customWidth="1"/>
    <col min="1286" max="1286" width="10" style="216" customWidth="1"/>
    <col min="1287" max="1287" width="17.85546875" style="216" customWidth="1"/>
    <col min="1288" max="1288" width="7.7109375" style="216" customWidth="1"/>
    <col min="1289" max="1289" width="12.28515625" style="216" customWidth="1"/>
    <col min="1290" max="1290" width="12.7109375" style="216" customWidth="1"/>
    <col min="1291" max="1291" width="13.5703125" style="216" customWidth="1"/>
    <col min="1292" max="1292" width="13" style="216" customWidth="1"/>
    <col min="1293" max="1537" width="9.140625" style="216"/>
    <col min="1538" max="1538" width="2.7109375" style="216" customWidth="1"/>
    <col min="1539" max="1539" width="9.140625" style="216"/>
    <col min="1540" max="1540" width="40.28515625" style="216" bestFit="1" customWidth="1"/>
    <col min="1541" max="1541" width="10.7109375" style="216" customWidth="1"/>
    <col min="1542" max="1542" width="10" style="216" customWidth="1"/>
    <col min="1543" max="1543" width="17.85546875" style="216" customWidth="1"/>
    <col min="1544" max="1544" width="7.7109375" style="216" customWidth="1"/>
    <col min="1545" max="1545" width="12.28515625" style="216" customWidth="1"/>
    <col min="1546" max="1546" width="12.7109375" style="216" customWidth="1"/>
    <col min="1547" max="1547" width="13.5703125" style="216" customWidth="1"/>
    <col min="1548" max="1548" width="13" style="216" customWidth="1"/>
    <col min="1549" max="1793" width="9.140625" style="216"/>
    <col min="1794" max="1794" width="2.7109375" style="216" customWidth="1"/>
    <col min="1795" max="1795" width="9.140625" style="216"/>
    <col min="1796" max="1796" width="40.28515625" style="216" bestFit="1" customWidth="1"/>
    <col min="1797" max="1797" width="10.7109375" style="216" customWidth="1"/>
    <col min="1798" max="1798" width="10" style="216" customWidth="1"/>
    <col min="1799" max="1799" width="17.85546875" style="216" customWidth="1"/>
    <col min="1800" max="1800" width="7.7109375" style="216" customWidth="1"/>
    <col min="1801" max="1801" width="12.28515625" style="216" customWidth="1"/>
    <col min="1802" max="1802" width="12.7109375" style="216" customWidth="1"/>
    <col min="1803" max="1803" width="13.5703125" style="216" customWidth="1"/>
    <col min="1804" max="1804" width="13" style="216" customWidth="1"/>
    <col min="1805" max="2049" width="9.140625" style="216"/>
    <col min="2050" max="2050" width="2.7109375" style="216" customWidth="1"/>
    <col min="2051" max="2051" width="9.140625" style="216"/>
    <col min="2052" max="2052" width="40.28515625" style="216" bestFit="1" customWidth="1"/>
    <col min="2053" max="2053" width="10.7109375" style="216" customWidth="1"/>
    <col min="2054" max="2054" width="10" style="216" customWidth="1"/>
    <col min="2055" max="2055" width="17.85546875" style="216" customWidth="1"/>
    <col min="2056" max="2056" width="7.7109375" style="216" customWidth="1"/>
    <col min="2057" max="2057" width="12.28515625" style="216" customWidth="1"/>
    <col min="2058" max="2058" width="12.7109375" style="216" customWidth="1"/>
    <col min="2059" max="2059" width="13.5703125" style="216" customWidth="1"/>
    <col min="2060" max="2060" width="13" style="216" customWidth="1"/>
    <col min="2061" max="2305" width="9.140625" style="216"/>
    <col min="2306" max="2306" width="2.7109375" style="216" customWidth="1"/>
    <col min="2307" max="2307" width="9.140625" style="216"/>
    <col min="2308" max="2308" width="40.28515625" style="216" bestFit="1" customWidth="1"/>
    <col min="2309" max="2309" width="10.7109375" style="216" customWidth="1"/>
    <col min="2310" max="2310" width="10" style="216" customWidth="1"/>
    <col min="2311" max="2311" width="17.85546875" style="216" customWidth="1"/>
    <col min="2312" max="2312" width="7.7109375" style="216" customWidth="1"/>
    <col min="2313" max="2313" width="12.28515625" style="216" customWidth="1"/>
    <col min="2314" max="2314" width="12.7109375" style="216" customWidth="1"/>
    <col min="2315" max="2315" width="13.5703125" style="216" customWidth="1"/>
    <col min="2316" max="2316" width="13" style="216" customWidth="1"/>
    <col min="2317" max="2561" width="9.140625" style="216"/>
    <col min="2562" max="2562" width="2.7109375" style="216" customWidth="1"/>
    <col min="2563" max="2563" width="9.140625" style="216"/>
    <col min="2564" max="2564" width="40.28515625" style="216" bestFit="1" customWidth="1"/>
    <col min="2565" max="2565" width="10.7109375" style="216" customWidth="1"/>
    <col min="2566" max="2566" width="10" style="216" customWidth="1"/>
    <col min="2567" max="2567" width="17.85546875" style="216" customWidth="1"/>
    <col min="2568" max="2568" width="7.7109375" style="216" customWidth="1"/>
    <col min="2569" max="2569" width="12.28515625" style="216" customWidth="1"/>
    <col min="2570" max="2570" width="12.7109375" style="216" customWidth="1"/>
    <col min="2571" max="2571" width="13.5703125" style="216" customWidth="1"/>
    <col min="2572" max="2572" width="13" style="216" customWidth="1"/>
    <col min="2573" max="2817" width="9.140625" style="216"/>
    <col min="2818" max="2818" width="2.7109375" style="216" customWidth="1"/>
    <col min="2819" max="2819" width="9.140625" style="216"/>
    <col min="2820" max="2820" width="40.28515625" style="216" bestFit="1" customWidth="1"/>
    <col min="2821" max="2821" width="10.7109375" style="216" customWidth="1"/>
    <col min="2822" max="2822" width="10" style="216" customWidth="1"/>
    <col min="2823" max="2823" width="17.85546875" style="216" customWidth="1"/>
    <col min="2824" max="2824" width="7.7109375" style="216" customWidth="1"/>
    <col min="2825" max="2825" width="12.28515625" style="216" customWidth="1"/>
    <col min="2826" max="2826" width="12.7109375" style="216" customWidth="1"/>
    <col min="2827" max="2827" width="13.5703125" style="216" customWidth="1"/>
    <col min="2828" max="2828" width="13" style="216" customWidth="1"/>
    <col min="2829" max="3073" width="9.140625" style="216"/>
    <col min="3074" max="3074" width="2.7109375" style="216" customWidth="1"/>
    <col min="3075" max="3075" width="9.140625" style="216"/>
    <col min="3076" max="3076" width="40.28515625" style="216" bestFit="1" customWidth="1"/>
    <col min="3077" max="3077" width="10.7109375" style="216" customWidth="1"/>
    <col min="3078" max="3078" width="10" style="216" customWidth="1"/>
    <col min="3079" max="3079" width="17.85546875" style="216" customWidth="1"/>
    <col min="3080" max="3080" width="7.7109375" style="216" customWidth="1"/>
    <col min="3081" max="3081" width="12.28515625" style="216" customWidth="1"/>
    <col min="3082" max="3082" width="12.7109375" style="216" customWidth="1"/>
    <col min="3083" max="3083" width="13.5703125" style="216" customWidth="1"/>
    <col min="3084" max="3084" width="13" style="216" customWidth="1"/>
    <col min="3085" max="3329" width="9.140625" style="216"/>
    <col min="3330" max="3330" width="2.7109375" style="216" customWidth="1"/>
    <col min="3331" max="3331" width="9.140625" style="216"/>
    <col min="3332" max="3332" width="40.28515625" style="216" bestFit="1" customWidth="1"/>
    <col min="3333" max="3333" width="10.7109375" style="216" customWidth="1"/>
    <col min="3334" max="3334" width="10" style="216" customWidth="1"/>
    <col min="3335" max="3335" width="17.85546875" style="216" customWidth="1"/>
    <col min="3336" max="3336" width="7.7109375" style="216" customWidth="1"/>
    <col min="3337" max="3337" width="12.28515625" style="216" customWidth="1"/>
    <col min="3338" max="3338" width="12.7109375" style="216" customWidth="1"/>
    <col min="3339" max="3339" width="13.5703125" style="216" customWidth="1"/>
    <col min="3340" max="3340" width="13" style="216" customWidth="1"/>
    <col min="3341" max="3585" width="9.140625" style="216"/>
    <col min="3586" max="3586" width="2.7109375" style="216" customWidth="1"/>
    <col min="3587" max="3587" width="9.140625" style="216"/>
    <col min="3588" max="3588" width="40.28515625" style="216" bestFit="1" customWidth="1"/>
    <col min="3589" max="3589" width="10.7109375" style="216" customWidth="1"/>
    <col min="3590" max="3590" width="10" style="216" customWidth="1"/>
    <col min="3591" max="3591" width="17.85546875" style="216" customWidth="1"/>
    <col min="3592" max="3592" width="7.7109375" style="216" customWidth="1"/>
    <col min="3593" max="3593" width="12.28515625" style="216" customWidth="1"/>
    <col min="3594" max="3594" width="12.7109375" style="216" customWidth="1"/>
    <col min="3595" max="3595" width="13.5703125" style="216" customWidth="1"/>
    <col min="3596" max="3596" width="13" style="216" customWidth="1"/>
    <col min="3597" max="3841" width="9.140625" style="216"/>
    <col min="3842" max="3842" width="2.7109375" style="216" customWidth="1"/>
    <col min="3843" max="3843" width="9.140625" style="216"/>
    <col min="3844" max="3844" width="40.28515625" style="216" bestFit="1" customWidth="1"/>
    <col min="3845" max="3845" width="10.7109375" style="216" customWidth="1"/>
    <col min="3846" max="3846" width="10" style="216" customWidth="1"/>
    <col min="3847" max="3847" width="17.85546875" style="216" customWidth="1"/>
    <col min="3848" max="3848" width="7.7109375" style="216" customWidth="1"/>
    <col min="3849" max="3849" width="12.28515625" style="216" customWidth="1"/>
    <col min="3850" max="3850" width="12.7109375" style="216" customWidth="1"/>
    <col min="3851" max="3851" width="13.5703125" style="216" customWidth="1"/>
    <col min="3852" max="3852" width="13" style="216" customWidth="1"/>
    <col min="3853" max="4097" width="9.140625" style="216"/>
    <col min="4098" max="4098" width="2.7109375" style="216" customWidth="1"/>
    <col min="4099" max="4099" width="9.140625" style="216"/>
    <col min="4100" max="4100" width="40.28515625" style="216" bestFit="1" customWidth="1"/>
    <col min="4101" max="4101" width="10.7109375" style="216" customWidth="1"/>
    <col min="4102" max="4102" width="10" style="216" customWidth="1"/>
    <col min="4103" max="4103" width="17.85546875" style="216" customWidth="1"/>
    <col min="4104" max="4104" width="7.7109375" style="216" customWidth="1"/>
    <col min="4105" max="4105" width="12.28515625" style="216" customWidth="1"/>
    <col min="4106" max="4106" width="12.7109375" style="216" customWidth="1"/>
    <col min="4107" max="4107" width="13.5703125" style="216" customWidth="1"/>
    <col min="4108" max="4108" width="13" style="216" customWidth="1"/>
    <col min="4109" max="4353" width="9.140625" style="216"/>
    <col min="4354" max="4354" width="2.7109375" style="216" customWidth="1"/>
    <col min="4355" max="4355" width="9.140625" style="216"/>
    <col min="4356" max="4356" width="40.28515625" style="216" bestFit="1" customWidth="1"/>
    <col min="4357" max="4357" width="10.7109375" style="216" customWidth="1"/>
    <col min="4358" max="4358" width="10" style="216" customWidth="1"/>
    <col min="4359" max="4359" width="17.85546875" style="216" customWidth="1"/>
    <col min="4360" max="4360" width="7.7109375" style="216" customWidth="1"/>
    <col min="4361" max="4361" width="12.28515625" style="216" customWidth="1"/>
    <col min="4362" max="4362" width="12.7109375" style="216" customWidth="1"/>
    <col min="4363" max="4363" width="13.5703125" style="216" customWidth="1"/>
    <col min="4364" max="4364" width="13" style="216" customWidth="1"/>
    <col min="4365" max="4609" width="9.140625" style="216"/>
    <col min="4610" max="4610" width="2.7109375" style="216" customWidth="1"/>
    <col min="4611" max="4611" width="9.140625" style="216"/>
    <col min="4612" max="4612" width="40.28515625" style="216" bestFit="1" customWidth="1"/>
    <col min="4613" max="4613" width="10.7109375" style="216" customWidth="1"/>
    <col min="4614" max="4614" width="10" style="216" customWidth="1"/>
    <col min="4615" max="4615" width="17.85546875" style="216" customWidth="1"/>
    <col min="4616" max="4616" width="7.7109375" style="216" customWidth="1"/>
    <col min="4617" max="4617" width="12.28515625" style="216" customWidth="1"/>
    <col min="4618" max="4618" width="12.7109375" style="216" customWidth="1"/>
    <col min="4619" max="4619" width="13.5703125" style="216" customWidth="1"/>
    <col min="4620" max="4620" width="13" style="216" customWidth="1"/>
    <col min="4621" max="4865" width="9.140625" style="216"/>
    <col min="4866" max="4866" width="2.7109375" style="216" customWidth="1"/>
    <col min="4867" max="4867" width="9.140625" style="216"/>
    <col min="4868" max="4868" width="40.28515625" style="216" bestFit="1" customWidth="1"/>
    <col min="4869" max="4869" width="10.7109375" style="216" customWidth="1"/>
    <col min="4870" max="4870" width="10" style="216" customWidth="1"/>
    <col min="4871" max="4871" width="17.85546875" style="216" customWidth="1"/>
    <col min="4872" max="4872" width="7.7109375" style="216" customWidth="1"/>
    <col min="4873" max="4873" width="12.28515625" style="216" customWidth="1"/>
    <col min="4874" max="4874" width="12.7109375" style="216" customWidth="1"/>
    <col min="4875" max="4875" width="13.5703125" style="216" customWidth="1"/>
    <col min="4876" max="4876" width="13" style="216" customWidth="1"/>
    <col min="4877" max="5121" width="9.140625" style="216"/>
    <col min="5122" max="5122" width="2.7109375" style="216" customWidth="1"/>
    <col min="5123" max="5123" width="9.140625" style="216"/>
    <col min="5124" max="5124" width="40.28515625" style="216" bestFit="1" customWidth="1"/>
    <col min="5125" max="5125" width="10.7109375" style="216" customWidth="1"/>
    <col min="5126" max="5126" width="10" style="216" customWidth="1"/>
    <col min="5127" max="5127" width="17.85546875" style="216" customWidth="1"/>
    <col min="5128" max="5128" width="7.7109375" style="216" customWidth="1"/>
    <col min="5129" max="5129" width="12.28515625" style="216" customWidth="1"/>
    <col min="5130" max="5130" width="12.7109375" style="216" customWidth="1"/>
    <col min="5131" max="5131" width="13.5703125" style="216" customWidth="1"/>
    <col min="5132" max="5132" width="13" style="216" customWidth="1"/>
    <col min="5133" max="5377" width="9.140625" style="216"/>
    <col min="5378" max="5378" width="2.7109375" style="216" customWidth="1"/>
    <col min="5379" max="5379" width="9.140625" style="216"/>
    <col min="5380" max="5380" width="40.28515625" style="216" bestFit="1" customWidth="1"/>
    <col min="5381" max="5381" width="10.7109375" style="216" customWidth="1"/>
    <col min="5382" max="5382" width="10" style="216" customWidth="1"/>
    <col min="5383" max="5383" width="17.85546875" style="216" customWidth="1"/>
    <col min="5384" max="5384" width="7.7109375" style="216" customWidth="1"/>
    <col min="5385" max="5385" width="12.28515625" style="216" customWidth="1"/>
    <col min="5386" max="5386" width="12.7109375" style="216" customWidth="1"/>
    <col min="5387" max="5387" width="13.5703125" style="216" customWidth="1"/>
    <col min="5388" max="5388" width="13" style="216" customWidth="1"/>
    <col min="5389" max="5633" width="9.140625" style="216"/>
    <col min="5634" max="5634" width="2.7109375" style="216" customWidth="1"/>
    <col min="5635" max="5635" width="9.140625" style="216"/>
    <col min="5636" max="5636" width="40.28515625" style="216" bestFit="1" customWidth="1"/>
    <col min="5637" max="5637" width="10.7109375" style="216" customWidth="1"/>
    <col min="5638" max="5638" width="10" style="216" customWidth="1"/>
    <col min="5639" max="5639" width="17.85546875" style="216" customWidth="1"/>
    <col min="5640" max="5640" width="7.7109375" style="216" customWidth="1"/>
    <col min="5641" max="5641" width="12.28515625" style="216" customWidth="1"/>
    <col min="5642" max="5642" width="12.7109375" style="216" customWidth="1"/>
    <col min="5643" max="5643" width="13.5703125" style="216" customWidth="1"/>
    <col min="5644" max="5644" width="13" style="216" customWidth="1"/>
    <col min="5645" max="5889" width="9.140625" style="216"/>
    <col min="5890" max="5890" width="2.7109375" style="216" customWidth="1"/>
    <col min="5891" max="5891" width="9.140625" style="216"/>
    <col min="5892" max="5892" width="40.28515625" style="216" bestFit="1" customWidth="1"/>
    <col min="5893" max="5893" width="10.7109375" style="216" customWidth="1"/>
    <col min="5894" max="5894" width="10" style="216" customWidth="1"/>
    <col min="5895" max="5895" width="17.85546875" style="216" customWidth="1"/>
    <col min="5896" max="5896" width="7.7109375" style="216" customWidth="1"/>
    <col min="5897" max="5897" width="12.28515625" style="216" customWidth="1"/>
    <col min="5898" max="5898" width="12.7109375" style="216" customWidth="1"/>
    <col min="5899" max="5899" width="13.5703125" style="216" customWidth="1"/>
    <col min="5900" max="5900" width="13" style="216" customWidth="1"/>
    <col min="5901" max="6145" width="9.140625" style="216"/>
    <col min="6146" max="6146" width="2.7109375" style="216" customWidth="1"/>
    <col min="6147" max="6147" width="9.140625" style="216"/>
    <col min="6148" max="6148" width="40.28515625" style="216" bestFit="1" customWidth="1"/>
    <col min="6149" max="6149" width="10.7109375" style="216" customWidth="1"/>
    <col min="6150" max="6150" width="10" style="216" customWidth="1"/>
    <col min="6151" max="6151" width="17.85546875" style="216" customWidth="1"/>
    <col min="6152" max="6152" width="7.7109375" style="216" customWidth="1"/>
    <col min="6153" max="6153" width="12.28515625" style="216" customWidth="1"/>
    <col min="6154" max="6154" width="12.7109375" style="216" customWidth="1"/>
    <col min="6155" max="6155" width="13.5703125" style="216" customWidth="1"/>
    <col min="6156" max="6156" width="13" style="216" customWidth="1"/>
    <col min="6157" max="6401" width="9.140625" style="216"/>
    <col min="6402" max="6402" width="2.7109375" style="216" customWidth="1"/>
    <col min="6403" max="6403" width="9.140625" style="216"/>
    <col min="6404" max="6404" width="40.28515625" style="216" bestFit="1" customWidth="1"/>
    <col min="6405" max="6405" width="10.7109375" style="216" customWidth="1"/>
    <col min="6406" max="6406" width="10" style="216" customWidth="1"/>
    <col min="6407" max="6407" width="17.85546875" style="216" customWidth="1"/>
    <col min="6408" max="6408" width="7.7109375" style="216" customWidth="1"/>
    <col min="6409" max="6409" width="12.28515625" style="216" customWidth="1"/>
    <col min="6410" max="6410" width="12.7109375" style="216" customWidth="1"/>
    <col min="6411" max="6411" width="13.5703125" style="216" customWidth="1"/>
    <col min="6412" max="6412" width="13" style="216" customWidth="1"/>
    <col min="6413" max="6657" width="9.140625" style="216"/>
    <col min="6658" max="6658" width="2.7109375" style="216" customWidth="1"/>
    <col min="6659" max="6659" width="9.140625" style="216"/>
    <col min="6660" max="6660" width="40.28515625" style="216" bestFit="1" customWidth="1"/>
    <col min="6661" max="6661" width="10.7109375" style="216" customWidth="1"/>
    <col min="6662" max="6662" width="10" style="216" customWidth="1"/>
    <col min="6663" max="6663" width="17.85546875" style="216" customWidth="1"/>
    <col min="6664" max="6664" width="7.7109375" style="216" customWidth="1"/>
    <col min="6665" max="6665" width="12.28515625" style="216" customWidth="1"/>
    <col min="6666" max="6666" width="12.7109375" style="216" customWidth="1"/>
    <col min="6667" max="6667" width="13.5703125" style="216" customWidth="1"/>
    <col min="6668" max="6668" width="13" style="216" customWidth="1"/>
    <col min="6669" max="6913" width="9.140625" style="216"/>
    <col min="6914" max="6914" width="2.7109375" style="216" customWidth="1"/>
    <col min="6915" max="6915" width="9.140625" style="216"/>
    <col min="6916" max="6916" width="40.28515625" style="216" bestFit="1" customWidth="1"/>
    <col min="6917" max="6917" width="10.7109375" style="216" customWidth="1"/>
    <col min="6918" max="6918" width="10" style="216" customWidth="1"/>
    <col min="6919" max="6919" width="17.85546875" style="216" customWidth="1"/>
    <col min="6920" max="6920" width="7.7109375" style="216" customWidth="1"/>
    <col min="6921" max="6921" width="12.28515625" style="216" customWidth="1"/>
    <col min="6922" max="6922" width="12.7109375" style="216" customWidth="1"/>
    <col min="6923" max="6923" width="13.5703125" style="216" customWidth="1"/>
    <col min="6924" max="6924" width="13" style="216" customWidth="1"/>
    <col min="6925" max="7169" width="9.140625" style="216"/>
    <col min="7170" max="7170" width="2.7109375" style="216" customWidth="1"/>
    <col min="7171" max="7171" width="9.140625" style="216"/>
    <col min="7172" max="7172" width="40.28515625" style="216" bestFit="1" customWidth="1"/>
    <col min="7173" max="7173" width="10.7109375" style="216" customWidth="1"/>
    <col min="7174" max="7174" width="10" style="216" customWidth="1"/>
    <col min="7175" max="7175" width="17.85546875" style="216" customWidth="1"/>
    <col min="7176" max="7176" width="7.7109375" style="216" customWidth="1"/>
    <col min="7177" max="7177" width="12.28515625" style="216" customWidth="1"/>
    <col min="7178" max="7178" width="12.7109375" style="216" customWidth="1"/>
    <col min="7179" max="7179" width="13.5703125" style="216" customWidth="1"/>
    <col min="7180" max="7180" width="13" style="216" customWidth="1"/>
    <col min="7181" max="7425" width="9.140625" style="216"/>
    <col min="7426" max="7426" width="2.7109375" style="216" customWidth="1"/>
    <col min="7427" max="7427" width="9.140625" style="216"/>
    <col min="7428" max="7428" width="40.28515625" style="216" bestFit="1" customWidth="1"/>
    <col min="7429" max="7429" width="10.7109375" style="216" customWidth="1"/>
    <col min="7430" max="7430" width="10" style="216" customWidth="1"/>
    <col min="7431" max="7431" width="17.85546875" style="216" customWidth="1"/>
    <col min="7432" max="7432" width="7.7109375" style="216" customWidth="1"/>
    <col min="7433" max="7433" width="12.28515625" style="216" customWidth="1"/>
    <col min="7434" max="7434" width="12.7109375" style="216" customWidth="1"/>
    <col min="7435" max="7435" width="13.5703125" style="216" customWidth="1"/>
    <col min="7436" max="7436" width="13" style="216" customWidth="1"/>
    <col min="7437" max="7681" width="9.140625" style="216"/>
    <col min="7682" max="7682" width="2.7109375" style="216" customWidth="1"/>
    <col min="7683" max="7683" width="9.140625" style="216"/>
    <col min="7684" max="7684" width="40.28515625" style="216" bestFit="1" customWidth="1"/>
    <col min="7685" max="7685" width="10.7109375" style="216" customWidth="1"/>
    <col min="7686" max="7686" width="10" style="216" customWidth="1"/>
    <col min="7687" max="7687" width="17.85546875" style="216" customWidth="1"/>
    <col min="7688" max="7688" width="7.7109375" style="216" customWidth="1"/>
    <col min="7689" max="7689" width="12.28515625" style="216" customWidth="1"/>
    <col min="7690" max="7690" width="12.7109375" style="216" customWidth="1"/>
    <col min="7691" max="7691" width="13.5703125" style="216" customWidth="1"/>
    <col min="7692" max="7692" width="13" style="216" customWidth="1"/>
    <col min="7693" max="7937" width="9.140625" style="216"/>
    <col min="7938" max="7938" width="2.7109375" style="216" customWidth="1"/>
    <col min="7939" max="7939" width="9.140625" style="216"/>
    <col min="7940" max="7940" width="40.28515625" style="216" bestFit="1" customWidth="1"/>
    <col min="7941" max="7941" width="10.7109375" style="216" customWidth="1"/>
    <col min="7942" max="7942" width="10" style="216" customWidth="1"/>
    <col min="7943" max="7943" width="17.85546875" style="216" customWidth="1"/>
    <col min="7944" max="7944" width="7.7109375" style="216" customWidth="1"/>
    <col min="7945" max="7945" width="12.28515625" style="216" customWidth="1"/>
    <col min="7946" max="7946" width="12.7109375" style="216" customWidth="1"/>
    <col min="7947" max="7947" width="13.5703125" style="216" customWidth="1"/>
    <col min="7948" max="7948" width="13" style="216" customWidth="1"/>
    <col min="7949" max="8193" width="9.140625" style="216"/>
    <col min="8194" max="8194" width="2.7109375" style="216" customWidth="1"/>
    <col min="8195" max="8195" width="9.140625" style="216"/>
    <col min="8196" max="8196" width="40.28515625" style="216" bestFit="1" customWidth="1"/>
    <col min="8197" max="8197" width="10.7109375" style="216" customWidth="1"/>
    <col min="8198" max="8198" width="10" style="216" customWidth="1"/>
    <col min="8199" max="8199" width="17.85546875" style="216" customWidth="1"/>
    <col min="8200" max="8200" width="7.7109375" style="216" customWidth="1"/>
    <col min="8201" max="8201" width="12.28515625" style="216" customWidth="1"/>
    <col min="8202" max="8202" width="12.7109375" style="216" customWidth="1"/>
    <col min="8203" max="8203" width="13.5703125" style="216" customWidth="1"/>
    <col min="8204" max="8204" width="13" style="216" customWidth="1"/>
    <col min="8205" max="8449" width="9.140625" style="216"/>
    <col min="8450" max="8450" width="2.7109375" style="216" customWidth="1"/>
    <col min="8451" max="8451" width="9.140625" style="216"/>
    <col min="8452" max="8452" width="40.28515625" style="216" bestFit="1" customWidth="1"/>
    <col min="8453" max="8453" width="10.7109375" style="216" customWidth="1"/>
    <col min="8454" max="8454" width="10" style="216" customWidth="1"/>
    <col min="8455" max="8455" width="17.85546875" style="216" customWidth="1"/>
    <col min="8456" max="8456" width="7.7109375" style="216" customWidth="1"/>
    <col min="8457" max="8457" width="12.28515625" style="216" customWidth="1"/>
    <col min="8458" max="8458" width="12.7109375" style="216" customWidth="1"/>
    <col min="8459" max="8459" width="13.5703125" style="216" customWidth="1"/>
    <col min="8460" max="8460" width="13" style="216" customWidth="1"/>
    <col min="8461" max="8705" width="9.140625" style="216"/>
    <col min="8706" max="8706" width="2.7109375" style="216" customWidth="1"/>
    <col min="8707" max="8707" width="9.140625" style="216"/>
    <col min="8708" max="8708" width="40.28515625" style="216" bestFit="1" customWidth="1"/>
    <col min="8709" max="8709" width="10.7109375" style="216" customWidth="1"/>
    <col min="8710" max="8710" width="10" style="216" customWidth="1"/>
    <col min="8711" max="8711" width="17.85546875" style="216" customWidth="1"/>
    <col min="8712" max="8712" width="7.7109375" style="216" customWidth="1"/>
    <col min="8713" max="8713" width="12.28515625" style="216" customWidth="1"/>
    <col min="8714" max="8714" width="12.7109375" style="216" customWidth="1"/>
    <col min="8715" max="8715" width="13.5703125" style="216" customWidth="1"/>
    <col min="8716" max="8716" width="13" style="216" customWidth="1"/>
    <col min="8717" max="8961" width="9.140625" style="216"/>
    <col min="8962" max="8962" width="2.7109375" style="216" customWidth="1"/>
    <col min="8963" max="8963" width="9.140625" style="216"/>
    <col min="8964" max="8964" width="40.28515625" style="216" bestFit="1" customWidth="1"/>
    <col min="8965" max="8965" width="10.7109375" style="216" customWidth="1"/>
    <col min="8966" max="8966" width="10" style="216" customWidth="1"/>
    <col min="8967" max="8967" width="17.85546875" style="216" customWidth="1"/>
    <col min="8968" max="8968" width="7.7109375" style="216" customWidth="1"/>
    <col min="8969" max="8969" width="12.28515625" style="216" customWidth="1"/>
    <col min="8970" max="8970" width="12.7109375" style="216" customWidth="1"/>
    <col min="8971" max="8971" width="13.5703125" style="216" customWidth="1"/>
    <col min="8972" max="8972" width="13" style="216" customWidth="1"/>
    <col min="8973" max="9217" width="9.140625" style="216"/>
    <col min="9218" max="9218" width="2.7109375" style="216" customWidth="1"/>
    <col min="9219" max="9219" width="9.140625" style="216"/>
    <col min="9220" max="9220" width="40.28515625" style="216" bestFit="1" customWidth="1"/>
    <col min="9221" max="9221" width="10.7109375" style="216" customWidth="1"/>
    <col min="9222" max="9222" width="10" style="216" customWidth="1"/>
    <col min="9223" max="9223" width="17.85546875" style="216" customWidth="1"/>
    <col min="9224" max="9224" width="7.7109375" style="216" customWidth="1"/>
    <col min="9225" max="9225" width="12.28515625" style="216" customWidth="1"/>
    <col min="9226" max="9226" width="12.7109375" style="216" customWidth="1"/>
    <col min="9227" max="9227" width="13.5703125" style="216" customWidth="1"/>
    <col min="9228" max="9228" width="13" style="216" customWidth="1"/>
    <col min="9229" max="9473" width="9.140625" style="216"/>
    <col min="9474" max="9474" width="2.7109375" style="216" customWidth="1"/>
    <col min="9475" max="9475" width="9.140625" style="216"/>
    <col min="9476" max="9476" width="40.28515625" style="216" bestFit="1" customWidth="1"/>
    <col min="9477" max="9477" width="10.7109375" style="216" customWidth="1"/>
    <col min="9478" max="9478" width="10" style="216" customWidth="1"/>
    <col min="9479" max="9479" width="17.85546875" style="216" customWidth="1"/>
    <col min="9480" max="9480" width="7.7109375" style="216" customWidth="1"/>
    <col min="9481" max="9481" width="12.28515625" style="216" customWidth="1"/>
    <col min="9482" max="9482" width="12.7109375" style="216" customWidth="1"/>
    <col min="9483" max="9483" width="13.5703125" style="216" customWidth="1"/>
    <col min="9484" max="9484" width="13" style="216" customWidth="1"/>
    <col min="9485" max="9729" width="9.140625" style="216"/>
    <col min="9730" max="9730" width="2.7109375" style="216" customWidth="1"/>
    <col min="9731" max="9731" width="9.140625" style="216"/>
    <col min="9732" max="9732" width="40.28515625" style="216" bestFit="1" customWidth="1"/>
    <col min="9733" max="9733" width="10.7109375" style="216" customWidth="1"/>
    <col min="9734" max="9734" width="10" style="216" customWidth="1"/>
    <col min="9735" max="9735" width="17.85546875" style="216" customWidth="1"/>
    <col min="9736" max="9736" width="7.7109375" style="216" customWidth="1"/>
    <col min="9737" max="9737" width="12.28515625" style="216" customWidth="1"/>
    <col min="9738" max="9738" width="12.7109375" style="216" customWidth="1"/>
    <col min="9739" max="9739" width="13.5703125" style="216" customWidth="1"/>
    <col min="9740" max="9740" width="13" style="216" customWidth="1"/>
    <col min="9741" max="9985" width="9.140625" style="216"/>
    <col min="9986" max="9986" width="2.7109375" style="216" customWidth="1"/>
    <col min="9987" max="9987" width="9.140625" style="216"/>
    <col min="9988" max="9988" width="40.28515625" style="216" bestFit="1" customWidth="1"/>
    <col min="9989" max="9989" width="10.7109375" style="216" customWidth="1"/>
    <col min="9990" max="9990" width="10" style="216" customWidth="1"/>
    <col min="9991" max="9991" width="17.85546875" style="216" customWidth="1"/>
    <col min="9992" max="9992" width="7.7109375" style="216" customWidth="1"/>
    <col min="9993" max="9993" width="12.28515625" style="216" customWidth="1"/>
    <col min="9994" max="9994" width="12.7109375" style="216" customWidth="1"/>
    <col min="9995" max="9995" width="13.5703125" style="216" customWidth="1"/>
    <col min="9996" max="9996" width="13" style="216" customWidth="1"/>
    <col min="9997" max="10241" width="9.140625" style="216"/>
    <col min="10242" max="10242" width="2.7109375" style="216" customWidth="1"/>
    <col min="10243" max="10243" width="9.140625" style="216"/>
    <col min="10244" max="10244" width="40.28515625" style="216" bestFit="1" customWidth="1"/>
    <col min="10245" max="10245" width="10.7109375" style="216" customWidth="1"/>
    <col min="10246" max="10246" width="10" style="216" customWidth="1"/>
    <col min="10247" max="10247" width="17.85546875" style="216" customWidth="1"/>
    <col min="10248" max="10248" width="7.7109375" style="216" customWidth="1"/>
    <col min="10249" max="10249" width="12.28515625" style="216" customWidth="1"/>
    <col min="10250" max="10250" width="12.7109375" style="216" customWidth="1"/>
    <col min="10251" max="10251" width="13.5703125" style="216" customWidth="1"/>
    <col min="10252" max="10252" width="13" style="216" customWidth="1"/>
    <col min="10253" max="10497" width="9.140625" style="216"/>
    <col min="10498" max="10498" width="2.7109375" style="216" customWidth="1"/>
    <col min="10499" max="10499" width="9.140625" style="216"/>
    <col min="10500" max="10500" width="40.28515625" style="216" bestFit="1" customWidth="1"/>
    <col min="10501" max="10501" width="10.7109375" style="216" customWidth="1"/>
    <col min="10502" max="10502" width="10" style="216" customWidth="1"/>
    <col min="10503" max="10503" width="17.85546875" style="216" customWidth="1"/>
    <col min="10504" max="10504" width="7.7109375" style="216" customWidth="1"/>
    <col min="10505" max="10505" width="12.28515625" style="216" customWidth="1"/>
    <col min="10506" max="10506" width="12.7109375" style="216" customWidth="1"/>
    <col min="10507" max="10507" width="13.5703125" style="216" customWidth="1"/>
    <col min="10508" max="10508" width="13" style="216" customWidth="1"/>
    <col min="10509" max="10753" width="9.140625" style="216"/>
    <col min="10754" max="10754" width="2.7109375" style="216" customWidth="1"/>
    <col min="10755" max="10755" width="9.140625" style="216"/>
    <col min="10756" max="10756" width="40.28515625" style="216" bestFit="1" customWidth="1"/>
    <col min="10757" max="10757" width="10.7109375" style="216" customWidth="1"/>
    <col min="10758" max="10758" width="10" style="216" customWidth="1"/>
    <col min="10759" max="10759" width="17.85546875" style="216" customWidth="1"/>
    <col min="10760" max="10760" width="7.7109375" style="216" customWidth="1"/>
    <col min="10761" max="10761" width="12.28515625" style="216" customWidth="1"/>
    <col min="10762" max="10762" width="12.7109375" style="216" customWidth="1"/>
    <col min="10763" max="10763" width="13.5703125" style="216" customWidth="1"/>
    <col min="10764" max="10764" width="13" style="216" customWidth="1"/>
    <col min="10765" max="11009" width="9.140625" style="216"/>
    <col min="11010" max="11010" width="2.7109375" style="216" customWidth="1"/>
    <col min="11011" max="11011" width="9.140625" style="216"/>
    <col min="11012" max="11012" width="40.28515625" style="216" bestFit="1" customWidth="1"/>
    <col min="11013" max="11013" width="10.7109375" style="216" customWidth="1"/>
    <col min="11014" max="11014" width="10" style="216" customWidth="1"/>
    <col min="11015" max="11015" width="17.85546875" style="216" customWidth="1"/>
    <col min="11016" max="11016" width="7.7109375" style="216" customWidth="1"/>
    <col min="11017" max="11017" width="12.28515625" style="216" customWidth="1"/>
    <col min="11018" max="11018" width="12.7109375" style="216" customWidth="1"/>
    <col min="11019" max="11019" width="13.5703125" style="216" customWidth="1"/>
    <col min="11020" max="11020" width="13" style="216" customWidth="1"/>
    <col min="11021" max="11265" width="9.140625" style="216"/>
    <col min="11266" max="11266" width="2.7109375" style="216" customWidth="1"/>
    <col min="11267" max="11267" width="9.140625" style="216"/>
    <col min="11268" max="11268" width="40.28515625" style="216" bestFit="1" customWidth="1"/>
    <col min="11269" max="11269" width="10.7109375" style="216" customWidth="1"/>
    <col min="11270" max="11270" width="10" style="216" customWidth="1"/>
    <col min="11271" max="11271" width="17.85546875" style="216" customWidth="1"/>
    <col min="11272" max="11272" width="7.7109375" style="216" customWidth="1"/>
    <col min="11273" max="11273" width="12.28515625" style="216" customWidth="1"/>
    <col min="11274" max="11274" width="12.7109375" style="216" customWidth="1"/>
    <col min="11275" max="11275" width="13.5703125" style="216" customWidth="1"/>
    <col min="11276" max="11276" width="13" style="216" customWidth="1"/>
    <col min="11277" max="11521" width="9.140625" style="216"/>
    <col min="11522" max="11522" width="2.7109375" style="216" customWidth="1"/>
    <col min="11523" max="11523" width="9.140625" style="216"/>
    <col min="11524" max="11524" width="40.28515625" style="216" bestFit="1" customWidth="1"/>
    <col min="11525" max="11525" width="10.7109375" style="216" customWidth="1"/>
    <col min="11526" max="11526" width="10" style="216" customWidth="1"/>
    <col min="11527" max="11527" width="17.85546875" style="216" customWidth="1"/>
    <col min="11528" max="11528" width="7.7109375" style="216" customWidth="1"/>
    <col min="11529" max="11529" width="12.28515625" style="216" customWidth="1"/>
    <col min="11530" max="11530" width="12.7109375" style="216" customWidth="1"/>
    <col min="11531" max="11531" width="13.5703125" style="216" customWidth="1"/>
    <col min="11532" max="11532" width="13" style="216" customWidth="1"/>
    <col min="11533" max="11777" width="9.140625" style="216"/>
    <col min="11778" max="11778" width="2.7109375" style="216" customWidth="1"/>
    <col min="11779" max="11779" width="9.140625" style="216"/>
    <col min="11780" max="11780" width="40.28515625" style="216" bestFit="1" customWidth="1"/>
    <col min="11781" max="11781" width="10.7109375" style="216" customWidth="1"/>
    <col min="11782" max="11782" width="10" style="216" customWidth="1"/>
    <col min="11783" max="11783" width="17.85546875" style="216" customWidth="1"/>
    <col min="11784" max="11784" width="7.7109375" style="216" customWidth="1"/>
    <col min="11785" max="11785" width="12.28515625" style="216" customWidth="1"/>
    <col min="11786" max="11786" width="12.7109375" style="216" customWidth="1"/>
    <col min="11787" max="11787" width="13.5703125" style="216" customWidth="1"/>
    <col min="11788" max="11788" width="13" style="216" customWidth="1"/>
    <col min="11789" max="12033" width="9.140625" style="216"/>
    <col min="12034" max="12034" width="2.7109375" style="216" customWidth="1"/>
    <col min="12035" max="12035" width="9.140625" style="216"/>
    <col min="12036" max="12036" width="40.28515625" style="216" bestFit="1" customWidth="1"/>
    <col min="12037" max="12037" width="10.7109375" style="216" customWidth="1"/>
    <col min="12038" max="12038" width="10" style="216" customWidth="1"/>
    <col min="12039" max="12039" width="17.85546875" style="216" customWidth="1"/>
    <col min="12040" max="12040" width="7.7109375" style="216" customWidth="1"/>
    <col min="12041" max="12041" width="12.28515625" style="216" customWidth="1"/>
    <col min="12042" max="12042" width="12.7109375" style="216" customWidth="1"/>
    <col min="12043" max="12043" width="13.5703125" style="216" customWidth="1"/>
    <col min="12044" max="12044" width="13" style="216" customWidth="1"/>
    <col min="12045" max="12289" width="9.140625" style="216"/>
    <col min="12290" max="12290" width="2.7109375" style="216" customWidth="1"/>
    <col min="12291" max="12291" width="9.140625" style="216"/>
    <col min="12292" max="12292" width="40.28515625" style="216" bestFit="1" customWidth="1"/>
    <col min="12293" max="12293" width="10.7109375" style="216" customWidth="1"/>
    <col min="12294" max="12294" width="10" style="216" customWidth="1"/>
    <col min="12295" max="12295" width="17.85546875" style="216" customWidth="1"/>
    <col min="12296" max="12296" width="7.7109375" style="216" customWidth="1"/>
    <col min="12297" max="12297" width="12.28515625" style="216" customWidth="1"/>
    <col min="12298" max="12298" width="12.7109375" style="216" customWidth="1"/>
    <col min="12299" max="12299" width="13.5703125" style="216" customWidth="1"/>
    <col min="12300" max="12300" width="13" style="216" customWidth="1"/>
    <col min="12301" max="12545" width="9.140625" style="216"/>
    <col min="12546" max="12546" width="2.7109375" style="216" customWidth="1"/>
    <col min="12547" max="12547" width="9.140625" style="216"/>
    <col min="12548" max="12548" width="40.28515625" style="216" bestFit="1" customWidth="1"/>
    <col min="12549" max="12549" width="10.7109375" style="216" customWidth="1"/>
    <col min="12550" max="12550" width="10" style="216" customWidth="1"/>
    <col min="12551" max="12551" width="17.85546875" style="216" customWidth="1"/>
    <col min="12552" max="12552" width="7.7109375" style="216" customWidth="1"/>
    <col min="12553" max="12553" width="12.28515625" style="216" customWidth="1"/>
    <col min="12554" max="12554" width="12.7109375" style="216" customWidth="1"/>
    <col min="12555" max="12555" width="13.5703125" style="216" customWidth="1"/>
    <col min="12556" max="12556" width="13" style="216" customWidth="1"/>
    <col min="12557" max="12801" width="9.140625" style="216"/>
    <col min="12802" max="12802" width="2.7109375" style="216" customWidth="1"/>
    <col min="12803" max="12803" width="9.140625" style="216"/>
    <col min="12804" max="12804" width="40.28515625" style="216" bestFit="1" customWidth="1"/>
    <col min="12805" max="12805" width="10.7109375" style="216" customWidth="1"/>
    <col min="12806" max="12806" width="10" style="216" customWidth="1"/>
    <col min="12807" max="12807" width="17.85546875" style="216" customWidth="1"/>
    <col min="12808" max="12808" width="7.7109375" style="216" customWidth="1"/>
    <col min="12809" max="12809" width="12.28515625" style="216" customWidth="1"/>
    <col min="12810" max="12810" width="12.7109375" style="216" customWidth="1"/>
    <col min="12811" max="12811" width="13.5703125" style="216" customWidth="1"/>
    <col min="12812" max="12812" width="13" style="216" customWidth="1"/>
    <col min="12813" max="13057" width="9.140625" style="216"/>
    <col min="13058" max="13058" width="2.7109375" style="216" customWidth="1"/>
    <col min="13059" max="13059" width="9.140625" style="216"/>
    <col min="13060" max="13060" width="40.28515625" style="216" bestFit="1" customWidth="1"/>
    <col min="13061" max="13061" width="10.7109375" style="216" customWidth="1"/>
    <col min="13062" max="13062" width="10" style="216" customWidth="1"/>
    <col min="13063" max="13063" width="17.85546875" style="216" customWidth="1"/>
    <col min="13064" max="13064" width="7.7109375" style="216" customWidth="1"/>
    <col min="13065" max="13065" width="12.28515625" style="216" customWidth="1"/>
    <col min="13066" max="13066" width="12.7109375" style="216" customWidth="1"/>
    <col min="13067" max="13067" width="13.5703125" style="216" customWidth="1"/>
    <col min="13068" max="13068" width="13" style="216" customWidth="1"/>
    <col min="13069" max="13313" width="9.140625" style="216"/>
    <col min="13314" max="13314" width="2.7109375" style="216" customWidth="1"/>
    <col min="13315" max="13315" width="9.140625" style="216"/>
    <col min="13316" max="13316" width="40.28515625" style="216" bestFit="1" customWidth="1"/>
    <col min="13317" max="13317" width="10.7109375" style="216" customWidth="1"/>
    <col min="13318" max="13318" width="10" style="216" customWidth="1"/>
    <col min="13319" max="13319" width="17.85546875" style="216" customWidth="1"/>
    <col min="13320" max="13320" width="7.7109375" style="216" customWidth="1"/>
    <col min="13321" max="13321" width="12.28515625" style="216" customWidth="1"/>
    <col min="13322" max="13322" width="12.7109375" style="216" customWidth="1"/>
    <col min="13323" max="13323" width="13.5703125" style="216" customWidth="1"/>
    <col min="13324" max="13324" width="13" style="216" customWidth="1"/>
    <col min="13325" max="13569" width="9.140625" style="216"/>
    <col min="13570" max="13570" width="2.7109375" style="216" customWidth="1"/>
    <col min="13571" max="13571" width="9.140625" style="216"/>
    <col min="13572" max="13572" width="40.28515625" style="216" bestFit="1" customWidth="1"/>
    <col min="13573" max="13573" width="10.7109375" style="216" customWidth="1"/>
    <col min="13574" max="13574" width="10" style="216" customWidth="1"/>
    <col min="13575" max="13575" width="17.85546875" style="216" customWidth="1"/>
    <col min="13576" max="13576" width="7.7109375" style="216" customWidth="1"/>
    <col min="13577" max="13577" width="12.28515625" style="216" customWidth="1"/>
    <col min="13578" max="13578" width="12.7109375" style="216" customWidth="1"/>
    <col min="13579" max="13579" width="13.5703125" style="216" customWidth="1"/>
    <col min="13580" max="13580" width="13" style="216" customWidth="1"/>
    <col min="13581" max="13825" width="9.140625" style="216"/>
    <col min="13826" max="13826" width="2.7109375" style="216" customWidth="1"/>
    <col min="13827" max="13827" width="9.140625" style="216"/>
    <col min="13828" max="13828" width="40.28515625" style="216" bestFit="1" customWidth="1"/>
    <col min="13829" max="13829" width="10.7109375" style="216" customWidth="1"/>
    <col min="13830" max="13830" width="10" style="216" customWidth="1"/>
    <col min="13831" max="13831" width="17.85546875" style="216" customWidth="1"/>
    <col min="13832" max="13832" width="7.7109375" style="216" customWidth="1"/>
    <col min="13833" max="13833" width="12.28515625" style="216" customWidth="1"/>
    <col min="13834" max="13834" width="12.7109375" style="216" customWidth="1"/>
    <col min="13835" max="13835" width="13.5703125" style="216" customWidth="1"/>
    <col min="13836" max="13836" width="13" style="216" customWidth="1"/>
    <col min="13837" max="14081" width="9.140625" style="216"/>
    <col min="14082" max="14082" width="2.7109375" style="216" customWidth="1"/>
    <col min="14083" max="14083" width="9.140625" style="216"/>
    <col min="14084" max="14084" width="40.28515625" style="216" bestFit="1" customWidth="1"/>
    <col min="14085" max="14085" width="10.7109375" style="216" customWidth="1"/>
    <col min="14086" max="14086" width="10" style="216" customWidth="1"/>
    <col min="14087" max="14087" width="17.85546875" style="216" customWidth="1"/>
    <col min="14088" max="14088" width="7.7109375" style="216" customWidth="1"/>
    <col min="14089" max="14089" width="12.28515625" style="216" customWidth="1"/>
    <col min="14090" max="14090" width="12.7109375" style="216" customWidth="1"/>
    <col min="14091" max="14091" width="13.5703125" style="216" customWidth="1"/>
    <col min="14092" max="14092" width="13" style="216" customWidth="1"/>
    <col min="14093" max="14337" width="9.140625" style="216"/>
    <col min="14338" max="14338" width="2.7109375" style="216" customWidth="1"/>
    <col min="14339" max="14339" width="9.140625" style="216"/>
    <col min="14340" max="14340" width="40.28515625" style="216" bestFit="1" customWidth="1"/>
    <col min="14341" max="14341" width="10.7109375" style="216" customWidth="1"/>
    <col min="14342" max="14342" width="10" style="216" customWidth="1"/>
    <col min="14343" max="14343" width="17.85546875" style="216" customWidth="1"/>
    <col min="14344" max="14344" width="7.7109375" style="216" customWidth="1"/>
    <col min="14345" max="14345" width="12.28515625" style="216" customWidth="1"/>
    <col min="14346" max="14346" width="12.7109375" style="216" customWidth="1"/>
    <col min="14347" max="14347" width="13.5703125" style="216" customWidth="1"/>
    <col min="14348" max="14348" width="13" style="216" customWidth="1"/>
    <col min="14349" max="14593" width="9.140625" style="216"/>
    <col min="14594" max="14594" width="2.7109375" style="216" customWidth="1"/>
    <col min="14595" max="14595" width="9.140625" style="216"/>
    <col min="14596" max="14596" width="40.28515625" style="216" bestFit="1" customWidth="1"/>
    <col min="14597" max="14597" width="10.7109375" style="216" customWidth="1"/>
    <col min="14598" max="14598" width="10" style="216" customWidth="1"/>
    <col min="14599" max="14599" width="17.85546875" style="216" customWidth="1"/>
    <col min="14600" max="14600" width="7.7109375" style="216" customWidth="1"/>
    <col min="14601" max="14601" width="12.28515625" style="216" customWidth="1"/>
    <col min="14602" max="14602" width="12.7109375" style="216" customWidth="1"/>
    <col min="14603" max="14603" width="13.5703125" style="216" customWidth="1"/>
    <col min="14604" max="14604" width="13" style="216" customWidth="1"/>
    <col min="14605" max="14849" width="9.140625" style="216"/>
    <col min="14850" max="14850" width="2.7109375" style="216" customWidth="1"/>
    <col min="14851" max="14851" width="9.140625" style="216"/>
    <col min="14852" max="14852" width="40.28515625" style="216" bestFit="1" customWidth="1"/>
    <col min="14853" max="14853" width="10.7109375" style="216" customWidth="1"/>
    <col min="14854" max="14854" width="10" style="216" customWidth="1"/>
    <col min="14855" max="14855" width="17.85546875" style="216" customWidth="1"/>
    <col min="14856" max="14856" width="7.7109375" style="216" customWidth="1"/>
    <col min="14857" max="14857" width="12.28515625" style="216" customWidth="1"/>
    <col min="14858" max="14858" width="12.7109375" style="216" customWidth="1"/>
    <col min="14859" max="14859" width="13.5703125" style="216" customWidth="1"/>
    <col min="14860" max="14860" width="13" style="216" customWidth="1"/>
    <col min="14861" max="15105" width="9.140625" style="216"/>
    <col min="15106" max="15106" width="2.7109375" style="216" customWidth="1"/>
    <col min="15107" max="15107" width="9.140625" style="216"/>
    <col min="15108" max="15108" width="40.28515625" style="216" bestFit="1" customWidth="1"/>
    <col min="15109" max="15109" width="10.7109375" style="216" customWidth="1"/>
    <col min="15110" max="15110" width="10" style="216" customWidth="1"/>
    <col min="15111" max="15111" width="17.85546875" style="216" customWidth="1"/>
    <col min="15112" max="15112" width="7.7109375" style="216" customWidth="1"/>
    <col min="15113" max="15113" width="12.28515625" style="216" customWidth="1"/>
    <col min="15114" max="15114" width="12.7109375" style="216" customWidth="1"/>
    <col min="15115" max="15115" width="13.5703125" style="216" customWidth="1"/>
    <col min="15116" max="15116" width="13" style="216" customWidth="1"/>
    <col min="15117" max="15361" width="9.140625" style="216"/>
    <col min="15362" max="15362" width="2.7109375" style="216" customWidth="1"/>
    <col min="15363" max="15363" width="9.140625" style="216"/>
    <col min="15364" max="15364" width="40.28515625" style="216" bestFit="1" customWidth="1"/>
    <col min="15365" max="15365" width="10.7109375" style="216" customWidth="1"/>
    <col min="15366" max="15366" width="10" style="216" customWidth="1"/>
    <col min="15367" max="15367" width="17.85546875" style="216" customWidth="1"/>
    <col min="15368" max="15368" width="7.7109375" style="216" customWidth="1"/>
    <col min="15369" max="15369" width="12.28515625" style="216" customWidth="1"/>
    <col min="15370" max="15370" width="12.7109375" style="216" customWidth="1"/>
    <col min="15371" max="15371" width="13.5703125" style="216" customWidth="1"/>
    <col min="15372" max="15372" width="13" style="216" customWidth="1"/>
    <col min="15373" max="15617" width="9.140625" style="216"/>
    <col min="15618" max="15618" width="2.7109375" style="216" customWidth="1"/>
    <col min="15619" max="15619" width="9.140625" style="216"/>
    <col min="15620" max="15620" width="40.28515625" style="216" bestFit="1" customWidth="1"/>
    <col min="15621" max="15621" width="10.7109375" style="216" customWidth="1"/>
    <col min="15622" max="15622" width="10" style="216" customWidth="1"/>
    <col min="15623" max="15623" width="17.85546875" style="216" customWidth="1"/>
    <col min="15624" max="15624" width="7.7109375" style="216" customWidth="1"/>
    <col min="15625" max="15625" width="12.28515625" style="216" customWidth="1"/>
    <col min="15626" max="15626" width="12.7109375" style="216" customWidth="1"/>
    <col min="15627" max="15627" width="13.5703125" style="216" customWidth="1"/>
    <col min="15628" max="15628" width="13" style="216" customWidth="1"/>
    <col min="15629" max="15873" width="9.140625" style="216"/>
    <col min="15874" max="15874" width="2.7109375" style="216" customWidth="1"/>
    <col min="15875" max="15875" width="9.140625" style="216"/>
    <col min="15876" max="15876" width="40.28515625" style="216" bestFit="1" customWidth="1"/>
    <col min="15877" max="15877" width="10.7109375" style="216" customWidth="1"/>
    <col min="15878" max="15878" width="10" style="216" customWidth="1"/>
    <col min="15879" max="15879" width="17.85546875" style="216" customWidth="1"/>
    <col min="15880" max="15880" width="7.7109375" style="216" customWidth="1"/>
    <col min="15881" max="15881" width="12.28515625" style="216" customWidth="1"/>
    <col min="15882" max="15882" width="12.7109375" style="216" customWidth="1"/>
    <col min="15883" max="15883" width="13.5703125" style="216" customWidth="1"/>
    <col min="15884" max="15884" width="13" style="216" customWidth="1"/>
    <col min="15885" max="16129" width="9.140625" style="216"/>
    <col min="16130" max="16130" width="2.7109375" style="216" customWidth="1"/>
    <col min="16131" max="16131" width="9.140625" style="216"/>
    <col min="16132" max="16132" width="40.28515625" style="216" bestFit="1" customWidth="1"/>
    <col min="16133" max="16133" width="10.7109375" style="216" customWidth="1"/>
    <col min="16134" max="16134" width="10" style="216" customWidth="1"/>
    <col min="16135" max="16135" width="17.85546875" style="216" customWidth="1"/>
    <col min="16136" max="16136" width="7.7109375" style="216" customWidth="1"/>
    <col min="16137" max="16137" width="12.28515625" style="216" customWidth="1"/>
    <col min="16138" max="16138" width="12.7109375" style="216" customWidth="1"/>
    <col min="16139" max="16139" width="13.5703125" style="216" customWidth="1"/>
    <col min="16140" max="16140" width="13" style="216" customWidth="1"/>
    <col min="16141" max="16384" width="9.140625" style="216"/>
  </cols>
  <sheetData>
    <row r="1" spans="1:13" x14ac:dyDescent="0.2">
      <c r="H1" s="218"/>
      <c r="I1" s="219"/>
      <c r="J1" s="219"/>
      <c r="K1" s="217" t="s">
        <v>419</v>
      </c>
      <c r="L1" s="766" t="str">
        <f>EBNUMBER</f>
        <v>EB-2014-0113</v>
      </c>
      <c r="M1" s="219"/>
    </row>
    <row r="2" spans="1:13" x14ac:dyDescent="0.2">
      <c r="H2" s="218"/>
      <c r="I2" s="219"/>
      <c r="J2" s="219"/>
      <c r="K2" s="217" t="s">
        <v>420</v>
      </c>
      <c r="L2" s="767">
        <v>2</v>
      </c>
      <c r="M2" s="219"/>
    </row>
    <row r="3" spans="1:13" x14ac:dyDescent="0.2">
      <c r="H3" s="218"/>
      <c r="I3" s="219"/>
      <c r="J3" s="219"/>
      <c r="K3" s="217" t="s">
        <v>421</v>
      </c>
      <c r="L3" s="767">
        <v>2</v>
      </c>
      <c r="M3" s="219"/>
    </row>
    <row r="4" spans="1:13" x14ac:dyDescent="0.2">
      <c r="H4" s="218"/>
      <c r="I4" s="219"/>
      <c r="J4" s="219"/>
      <c r="K4" s="217" t="s">
        <v>422</v>
      </c>
      <c r="L4" s="767">
        <v>2</v>
      </c>
      <c r="M4" s="219"/>
    </row>
    <row r="5" spans="1:13" x14ac:dyDescent="0.2">
      <c r="H5" s="218"/>
      <c r="I5" s="219"/>
      <c r="J5" s="219"/>
      <c r="K5" s="217" t="s">
        <v>423</v>
      </c>
      <c r="L5" s="768"/>
      <c r="M5" s="219"/>
    </row>
    <row r="6" spans="1:13" x14ac:dyDescent="0.2">
      <c r="H6" s="218"/>
      <c r="I6" s="219"/>
      <c r="J6" s="219"/>
      <c r="K6" s="217"/>
      <c r="L6" s="766"/>
      <c r="M6" s="219"/>
    </row>
    <row r="7" spans="1:13" x14ac:dyDescent="0.2">
      <c r="H7" s="218"/>
      <c r="I7" s="219"/>
      <c r="J7" s="220"/>
      <c r="K7" s="217" t="s">
        <v>424</v>
      </c>
      <c r="L7" s="1467">
        <v>42119</v>
      </c>
      <c r="M7" s="220"/>
    </row>
    <row r="9" spans="1:13" ht="18" x14ac:dyDescent="0.2">
      <c r="A9" s="1810" t="s">
        <v>2149</v>
      </c>
      <c r="B9" s="1810"/>
      <c r="C9" s="1810"/>
      <c r="D9" s="1810"/>
      <c r="E9" s="1810"/>
      <c r="F9" s="1810"/>
      <c r="G9" s="1810"/>
      <c r="H9" s="1810"/>
      <c r="I9" s="1810"/>
      <c r="J9" s="1810"/>
      <c r="K9" s="1810"/>
      <c r="L9" s="1810"/>
    </row>
    <row r="10" spans="1:13" ht="18" x14ac:dyDescent="0.2">
      <c r="A10" s="1810" t="s">
        <v>3</v>
      </c>
      <c r="B10" s="1810"/>
      <c r="C10" s="1810"/>
      <c r="D10" s="1810"/>
      <c r="E10" s="1810"/>
      <c r="F10" s="1810"/>
      <c r="G10" s="1810"/>
      <c r="H10" s="1810"/>
      <c r="I10" s="1810"/>
      <c r="J10" s="1810"/>
      <c r="K10" s="1810"/>
      <c r="L10" s="1810"/>
    </row>
    <row r="11" spans="1:13" ht="21.75" customHeight="1" x14ac:dyDescent="0.2">
      <c r="A11" s="1877" t="s">
        <v>795</v>
      </c>
      <c r="B11" s="1877"/>
      <c r="C11" s="1877"/>
      <c r="D11" s="1877"/>
      <c r="E11" s="1877"/>
      <c r="F11" s="1877"/>
      <c r="G11" s="1877"/>
      <c r="H11" s="1877"/>
      <c r="I11" s="1877"/>
      <c r="J11" s="1877"/>
      <c r="K11" s="1877"/>
      <c r="L11" s="1877"/>
    </row>
    <row r="12" spans="1:13" ht="13.5" customHeight="1" x14ac:dyDescent="0.25">
      <c r="A12" s="671"/>
      <c r="B12" s="671"/>
      <c r="C12" s="676" t="s">
        <v>40</v>
      </c>
      <c r="D12" s="664">
        <v>2012</v>
      </c>
      <c r="E12" s="676" t="s">
        <v>161</v>
      </c>
      <c r="H12" s="671"/>
      <c r="I12" s="671"/>
      <c r="J12" s="671"/>
    </row>
    <row r="13" spans="1:13" ht="15" customHeight="1" thickBot="1" x14ac:dyDescent="0.25"/>
    <row r="14" spans="1:13" ht="61.5" customHeight="1" x14ac:dyDescent="0.2">
      <c r="A14" s="1871" t="s">
        <v>4</v>
      </c>
      <c r="B14" s="1873" t="s">
        <v>346</v>
      </c>
      <c r="C14" s="221" t="s">
        <v>717</v>
      </c>
      <c r="D14" s="221" t="s">
        <v>710</v>
      </c>
      <c r="E14" s="221" t="s">
        <v>711</v>
      </c>
      <c r="F14" s="221" t="s">
        <v>348</v>
      </c>
      <c r="G14" s="221" t="s">
        <v>7</v>
      </c>
      <c r="H14" s="221" t="s">
        <v>8</v>
      </c>
      <c r="I14" s="221" t="s">
        <v>416</v>
      </c>
      <c r="J14" s="222" t="s">
        <v>536</v>
      </c>
      <c r="K14" s="1880" t="s">
        <v>709</v>
      </c>
      <c r="L14" s="222" t="s">
        <v>523</v>
      </c>
    </row>
    <row r="15" spans="1:13" ht="19.5" customHeight="1" thickBot="1" x14ac:dyDescent="0.25">
      <c r="A15" s="1878"/>
      <c r="B15" s="1879"/>
      <c r="C15" s="223" t="s">
        <v>5</v>
      </c>
      <c r="D15" s="223" t="s">
        <v>712</v>
      </c>
      <c r="E15" s="223" t="s">
        <v>713</v>
      </c>
      <c r="F15" s="223" t="s">
        <v>6</v>
      </c>
      <c r="G15" s="224" t="s">
        <v>716</v>
      </c>
      <c r="H15" s="294" t="s">
        <v>9</v>
      </c>
      <c r="I15" s="294" t="s">
        <v>10</v>
      </c>
      <c r="J15" s="296" t="s">
        <v>12</v>
      </c>
      <c r="K15" s="1881"/>
      <c r="L15" s="296" t="s">
        <v>517</v>
      </c>
    </row>
    <row r="16" spans="1:13" ht="25.5" x14ac:dyDescent="0.2">
      <c r="A16" s="843">
        <v>1611</v>
      </c>
      <c r="B16" s="839" t="s">
        <v>515</v>
      </c>
      <c r="C16" s="204"/>
      <c r="D16" s="204"/>
      <c r="E16" s="796">
        <f>C16-D16</f>
        <v>0</v>
      </c>
      <c r="F16" s="204"/>
      <c r="G16" s="796">
        <f>E16+0.5*F16</f>
        <v>0</v>
      </c>
      <c r="H16" s="293"/>
      <c r="I16" s="594" t="str">
        <f t="shared" ref="I16:I55" si="0">IF(H16=0,"",1/H16)</f>
        <v/>
      </c>
      <c r="J16" s="796">
        <f t="shared" ref="J16:J55" si="1">IF(H16=0,0,G16/H16)</f>
        <v>0</v>
      </c>
      <c r="K16" s="204"/>
      <c r="L16" s="796">
        <f>IF(ISERROR(+J16-K16), "", +J16-K16)</f>
        <v>0</v>
      </c>
    </row>
    <row r="17" spans="1:12" ht="25.5" x14ac:dyDescent="0.2">
      <c r="A17" s="828">
        <v>1612</v>
      </c>
      <c r="B17" s="783" t="s">
        <v>650</v>
      </c>
      <c r="C17" s="204"/>
      <c r="D17" s="204"/>
      <c r="E17" s="796">
        <f t="shared" ref="E17:E55" si="2">C17-D17</f>
        <v>0</v>
      </c>
      <c r="F17" s="204"/>
      <c r="G17" s="796">
        <f t="shared" ref="G17:G55" si="3">E17+0.5*F17</f>
        <v>0</v>
      </c>
      <c r="H17" s="282"/>
      <c r="I17" s="586" t="str">
        <f t="shared" si="0"/>
        <v/>
      </c>
      <c r="J17" s="796">
        <f t="shared" si="1"/>
        <v>0</v>
      </c>
      <c r="K17" s="204"/>
      <c r="L17" s="796">
        <f t="shared" ref="L17:L55" si="4">IF(ISERROR(+J17-K17), "", +J17-K17)</f>
        <v>0</v>
      </c>
    </row>
    <row r="18" spans="1:12" x14ac:dyDescent="0.2">
      <c r="A18" s="829">
        <v>1805</v>
      </c>
      <c r="B18" s="786" t="s">
        <v>383</v>
      </c>
      <c r="C18" s="204"/>
      <c r="D18" s="204"/>
      <c r="E18" s="796">
        <f t="shared" si="2"/>
        <v>0</v>
      </c>
      <c r="F18" s="204"/>
      <c r="G18" s="796">
        <f t="shared" si="3"/>
        <v>0</v>
      </c>
      <c r="H18" s="282"/>
      <c r="I18" s="586" t="str">
        <f t="shared" si="0"/>
        <v/>
      </c>
      <c r="J18" s="796">
        <f t="shared" si="1"/>
        <v>0</v>
      </c>
      <c r="K18" s="204"/>
      <c r="L18" s="796">
        <f t="shared" si="4"/>
        <v>0</v>
      </c>
    </row>
    <row r="19" spans="1:12" x14ac:dyDescent="0.2">
      <c r="A19" s="828">
        <v>1808</v>
      </c>
      <c r="B19" s="787" t="s">
        <v>384</v>
      </c>
      <c r="C19" s="204"/>
      <c r="D19" s="204"/>
      <c r="E19" s="796">
        <f t="shared" si="2"/>
        <v>0</v>
      </c>
      <c r="F19" s="204"/>
      <c r="G19" s="796">
        <f t="shared" si="3"/>
        <v>0</v>
      </c>
      <c r="H19" s="282"/>
      <c r="I19" s="586" t="str">
        <f t="shared" si="0"/>
        <v/>
      </c>
      <c r="J19" s="796">
        <f t="shared" si="1"/>
        <v>0</v>
      </c>
      <c r="K19" s="204"/>
      <c r="L19" s="796">
        <f t="shared" si="4"/>
        <v>0</v>
      </c>
    </row>
    <row r="20" spans="1:12" x14ac:dyDescent="0.2">
      <c r="A20" s="828">
        <v>1810</v>
      </c>
      <c r="B20" s="787" t="s">
        <v>417</v>
      </c>
      <c r="C20" s="204"/>
      <c r="D20" s="204"/>
      <c r="E20" s="796">
        <f t="shared" si="2"/>
        <v>0</v>
      </c>
      <c r="F20" s="204"/>
      <c r="G20" s="796">
        <f t="shared" si="3"/>
        <v>0</v>
      </c>
      <c r="H20" s="282"/>
      <c r="I20" s="586" t="str">
        <f t="shared" si="0"/>
        <v/>
      </c>
      <c r="J20" s="796">
        <f t="shared" si="1"/>
        <v>0</v>
      </c>
      <c r="K20" s="204"/>
      <c r="L20" s="796">
        <f t="shared" si="4"/>
        <v>0</v>
      </c>
    </row>
    <row r="21" spans="1:12" x14ac:dyDescent="0.2">
      <c r="A21" s="828">
        <v>1815</v>
      </c>
      <c r="B21" s="787" t="s">
        <v>385</v>
      </c>
      <c r="C21" s="204"/>
      <c r="D21" s="204"/>
      <c r="E21" s="796">
        <f t="shared" si="2"/>
        <v>0</v>
      </c>
      <c r="F21" s="204"/>
      <c r="G21" s="796">
        <f t="shared" si="3"/>
        <v>0</v>
      </c>
      <c r="H21" s="282"/>
      <c r="I21" s="586" t="str">
        <f t="shared" si="0"/>
        <v/>
      </c>
      <c r="J21" s="796">
        <f t="shared" si="1"/>
        <v>0</v>
      </c>
      <c r="K21" s="204"/>
      <c r="L21" s="796">
        <f t="shared" si="4"/>
        <v>0</v>
      </c>
    </row>
    <row r="22" spans="1:12" x14ac:dyDescent="0.2">
      <c r="A22" s="828">
        <v>1820</v>
      </c>
      <c r="B22" s="783" t="s">
        <v>306</v>
      </c>
      <c r="C22" s="204"/>
      <c r="D22" s="204"/>
      <c r="E22" s="796">
        <f t="shared" si="2"/>
        <v>0</v>
      </c>
      <c r="F22" s="204"/>
      <c r="G22" s="796">
        <f t="shared" si="3"/>
        <v>0</v>
      </c>
      <c r="H22" s="282"/>
      <c r="I22" s="586" t="str">
        <f t="shared" si="0"/>
        <v/>
      </c>
      <c r="J22" s="796">
        <f t="shared" si="1"/>
        <v>0</v>
      </c>
      <c r="K22" s="204"/>
      <c r="L22" s="796">
        <f t="shared" si="4"/>
        <v>0</v>
      </c>
    </row>
    <row r="23" spans="1:12" x14ac:dyDescent="0.2">
      <c r="A23" s="828">
        <v>1825</v>
      </c>
      <c r="B23" s="787" t="s">
        <v>386</v>
      </c>
      <c r="C23" s="204"/>
      <c r="D23" s="204"/>
      <c r="E23" s="796">
        <f t="shared" si="2"/>
        <v>0</v>
      </c>
      <c r="F23" s="204"/>
      <c r="G23" s="796">
        <f t="shared" si="3"/>
        <v>0</v>
      </c>
      <c r="H23" s="282"/>
      <c r="I23" s="586" t="str">
        <f t="shared" si="0"/>
        <v/>
      </c>
      <c r="J23" s="796">
        <f t="shared" si="1"/>
        <v>0</v>
      </c>
      <c r="K23" s="204"/>
      <c r="L23" s="796">
        <f t="shared" si="4"/>
        <v>0</v>
      </c>
    </row>
    <row r="24" spans="1:12" x14ac:dyDescent="0.2">
      <c r="A24" s="828">
        <v>1830</v>
      </c>
      <c r="B24" s="787" t="s">
        <v>387</v>
      </c>
      <c r="C24" s="204"/>
      <c r="D24" s="204"/>
      <c r="E24" s="796">
        <f t="shared" si="2"/>
        <v>0</v>
      </c>
      <c r="F24" s="204"/>
      <c r="G24" s="796">
        <f t="shared" si="3"/>
        <v>0</v>
      </c>
      <c r="H24" s="282"/>
      <c r="I24" s="586" t="str">
        <f t="shared" si="0"/>
        <v/>
      </c>
      <c r="J24" s="796">
        <f t="shared" si="1"/>
        <v>0</v>
      </c>
      <c r="K24" s="204"/>
      <c r="L24" s="796">
        <f t="shared" si="4"/>
        <v>0</v>
      </c>
    </row>
    <row r="25" spans="1:12" x14ac:dyDescent="0.2">
      <c r="A25" s="828">
        <v>1835</v>
      </c>
      <c r="B25" s="787" t="s">
        <v>307</v>
      </c>
      <c r="C25" s="204"/>
      <c r="D25" s="204"/>
      <c r="E25" s="796">
        <f t="shared" si="2"/>
        <v>0</v>
      </c>
      <c r="F25" s="204"/>
      <c r="G25" s="796">
        <f t="shared" si="3"/>
        <v>0</v>
      </c>
      <c r="H25" s="282"/>
      <c r="I25" s="586" t="str">
        <f t="shared" si="0"/>
        <v/>
      </c>
      <c r="J25" s="796">
        <f t="shared" si="1"/>
        <v>0</v>
      </c>
      <c r="K25" s="204"/>
      <c r="L25" s="796">
        <f t="shared" si="4"/>
        <v>0</v>
      </c>
    </row>
    <row r="26" spans="1:12" x14ac:dyDescent="0.2">
      <c r="A26" s="828">
        <v>1840</v>
      </c>
      <c r="B26" s="787" t="s">
        <v>308</v>
      </c>
      <c r="C26" s="204"/>
      <c r="D26" s="204"/>
      <c r="E26" s="796">
        <f t="shared" si="2"/>
        <v>0</v>
      </c>
      <c r="F26" s="204"/>
      <c r="G26" s="796">
        <f t="shared" si="3"/>
        <v>0</v>
      </c>
      <c r="H26" s="282"/>
      <c r="I26" s="586" t="str">
        <f t="shared" si="0"/>
        <v/>
      </c>
      <c r="J26" s="796">
        <f t="shared" si="1"/>
        <v>0</v>
      </c>
      <c r="K26" s="204"/>
      <c r="L26" s="796">
        <f t="shared" si="4"/>
        <v>0</v>
      </c>
    </row>
    <row r="27" spans="1:12" x14ac:dyDescent="0.2">
      <c r="A27" s="828">
        <v>1845</v>
      </c>
      <c r="B27" s="787" t="s">
        <v>309</v>
      </c>
      <c r="C27" s="204"/>
      <c r="D27" s="204"/>
      <c r="E27" s="796">
        <f t="shared" si="2"/>
        <v>0</v>
      </c>
      <c r="F27" s="204"/>
      <c r="G27" s="796">
        <f t="shared" si="3"/>
        <v>0</v>
      </c>
      <c r="H27" s="282"/>
      <c r="I27" s="586" t="str">
        <f t="shared" si="0"/>
        <v/>
      </c>
      <c r="J27" s="796">
        <f t="shared" si="1"/>
        <v>0</v>
      </c>
      <c r="K27" s="204"/>
      <c r="L27" s="796">
        <f t="shared" si="4"/>
        <v>0</v>
      </c>
    </row>
    <row r="28" spans="1:12" x14ac:dyDescent="0.2">
      <c r="A28" s="828">
        <v>1850</v>
      </c>
      <c r="B28" s="787" t="s">
        <v>388</v>
      </c>
      <c r="C28" s="204"/>
      <c r="D28" s="204"/>
      <c r="E28" s="796">
        <f t="shared" si="2"/>
        <v>0</v>
      </c>
      <c r="F28" s="204"/>
      <c r="G28" s="796">
        <f t="shared" si="3"/>
        <v>0</v>
      </c>
      <c r="H28" s="282"/>
      <c r="I28" s="586" t="str">
        <f t="shared" si="0"/>
        <v/>
      </c>
      <c r="J28" s="796">
        <f t="shared" si="1"/>
        <v>0</v>
      </c>
      <c r="K28" s="204"/>
      <c r="L28" s="796">
        <f t="shared" si="4"/>
        <v>0</v>
      </c>
    </row>
    <row r="29" spans="1:12" x14ac:dyDescent="0.2">
      <c r="A29" s="828">
        <v>1855</v>
      </c>
      <c r="B29" s="787" t="s">
        <v>310</v>
      </c>
      <c r="C29" s="204"/>
      <c r="D29" s="204"/>
      <c r="E29" s="796">
        <f t="shared" si="2"/>
        <v>0</v>
      </c>
      <c r="F29" s="204"/>
      <c r="G29" s="796">
        <f t="shared" si="3"/>
        <v>0</v>
      </c>
      <c r="H29" s="282"/>
      <c r="I29" s="586" t="str">
        <f t="shared" si="0"/>
        <v/>
      </c>
      <c r="J29" s="796">
        <f t="shared" si="1"/>
        <v>0</v>
      </c>
      <c r="K29" s="204"/>
      <c r="L29" s="796">
        <f t="shared" si="4"/>
        <v>0</v>
      </c>
    </row>
    <row r="30" spans="1:12" x14ac:dyDescent="0.2">
      <c r="A30" s="828">
        <v>1860</v>
      </c>
      <c r="B30" s="787" t="s">
        <v>389</v>
      </c>
      <c r="C30" s="204"/>
      <c r="D30" s="204"/>
      <c r="E30" s="796">
        <f t="shared" si="2"/>
        <v>0</v>
      </c>
      <c r="F30" s="204"/>
      <c r="G30" s="796">
        <f t="shared" si="3"/>
        <v>0</v>
      </c>
      <c r="H30" s="282"/>
      <c r="I30" s="586" t="str">
        <f t="shared" si="0"/>
        <v/>
      </c>
      <c r="J30" s="796">
        <f t="shared" si="1"/>
        <v>0</v>
      </c>
      <c r="K30" s="204"/>
      <c r="L30" s="796">
        <f t="shared" si="4"/>
        <v>0</v>
      </c>
    </row>
    <row r="31" spans="1:12" x14ac:dyDescent="0.2">
      <c r="A31" s="829">
        <v>1860</v>
      </c>
      <c r="B31" s="786" t="s">
        <v>311</v>
      </c>
      <c r="C31" s="204"/>
      <c r="D31" s="204"/>
      <c r="E31" s="796">
        <f t="shared" si="2"/>
        <v>0</v>
      </c>
      <c r="F31" s="204"/>
      <c r="G31" s="796">
        <f t="shared" si="3"/>
        <v>0</v>
      </c>
      <c r="H31" s="282"/>
      <c r="I31" s="586" t="str">
        <f t="shared" si="0"/>
        <v/>
      </c>
      <c r="J31" s="796">
        <f t="shared" si="1"/>
        <v>0</v>
      </c>
      <c r="K31" s="204"/>
      <c r="L31" s="796">
        <f t="shared" si="4"/>
        <v>0</v>
      </c>
    </row>
    <row r="32" spans="1:12" x14ac:dyDescent="0.2">
      <c r="A32" s="829">
        <v>1905</v>
      </c>
      <c r="B32" s="786" t="s">
        <v>383</v>
      </c>
      <c r="C32" s="204"/>
      <c r="D32" s="204"/>
      <c r="E32" s="796">
        <f t="shared" si="2"/>
        <v>0</v>
      </c>
      <c r="F32" s="204"/>
      <c r="G32" s="796">
        <f t="shared" si="3"/>
        <v>0</v>
      </c>
      <c r="H32" s="282"/>
      <c r="I32" s="586" t="str">
        <f t="shared" si="0"/>
        <v/>
      </c>
      <c r="J32" s="796">
        <f t="shared" si="1"/>
        <v>0</v>
      </c>
      <c r="K32" s="204"/>
      <c r="L32" s="796">
        <f t="shared" si="4"/>
        <v>0</v>
      </c>
    </row>
    <row r="33" spans="1:12" x14ac:dyDescent="0.2">
      <c r="A33" s="828">
        <v>1908</v>
      </c>
      <c r="B33" s="787" t="s">
        <v>391</v>
      </c>
      <c r="C33" s="204"/>
      <c r="D33" s="204"/>
      <c r="E33" s="796">
        <f t="shared" si="2"/>
        <v>0</v>
      </c>
      <c r="F33" s="204"/>
      <c r="G33" s="796">
        <f t="shared" si="3"/>
        <v>0</v>
      </c>
      <c r="H33" s="282"/>
      <c r="I33" s="586" t="str">
        <f t="shared" si="0"/>
        <v/>
      </c>
      <c r="J33" s="796">
        <f t="shared" si="1"/>
        <v>0</v>
      </c>
      <c r="K33" s="204"/>
      <c r="L33" s="796">
        <f t="shared" si="4"/>
        <v>0</v>
      </c>
    </row>
    <row r="34" spans="1:12" x14ac:dyDescent="0.2">
      <c r="A34" s="828">
        <v>1910</v>
      </c>
      <c r="B34" s="787" t="s">
        <v>417</v>
      </c>
      <c r="C34" s="204"/>
      <c r="D34" s="204"/>
      <c r="E34" s="796">
        <f t="shared" si="2"/>
        <v>0</v>
      </c>
      <c r="F34" s="204"/>
      <c r="G34" s="796">
        <f t="shared" si="3"/>
        <v>0</v>
      </c>
      <c r="H34" s="282"/>
      <c r="I34" s="586" t="str">
        <f t="shared" si="0"/>
        <v/>
      </c>
      <c r="J34" s="796">
        <f t="shared" si="1"/>
        <v>0</v>
      </c>
      <c r="K34" s="204"/>
      <c r="L34" s="796">
        <f t="shared" si="4"/>
        <v>0</v>
      </c>
    </row>
    <row r="35" spans="1:12" x14ac:dyDescent="0.2">
      <c r="A35" s="828">
        <v>1915</v>
      </c>
      <c r="B35" s="787" t="s">
        <v>312</v>
      </c>
      <c r="C35" s="204"/>
      <c r="D35" s="204"/>
      <c r="E35" s="796">
        <f t="shared" si="2"/>
        <v>0</v>
      </c>
      <c r="F35" s="204"/>
      <c r="G35" s="796">
        <f t="shared" si="3"/>
        <v>0</v>
      </c>
      <c r="H35" s="282"/>
      <c r="I35" s="586" t="str">
        <f t="shared" si="0"/>
        <v/>
      </c>
      <c r="J35" s="796">
        <f t="shared" si="1"/>
        <v>0</v>
      </c>
      <c r="K35" s="204"/>
      <c r="L35" s="796">
        <f t="shared" si="4"/>
        <v>0</v>
      </c>
    </row>
    <row r="36" spans="1:12" x14ac:dyDescent="0.2">
      <c r="A36" s="828">
        <v>1915</v>
      </c>
      <c r="B36" s="787" t="s">
        <v>313</v>
      </c>
      <c r="C36" s="204"/>
      <c r="D36" s="204"/>
      <c r="E36" s="796">
        <f t="shared" si="2"/>
        <v>0</v>
      </c>
      <c r="F36" s="204"/>
      <c r="G36" s="796">
        <f t="shared" si="3"/>
        <v>0</v>
      </c>
      <c r="H36" s="282"/>
      <c r="I36" s="586" t="str">
        <f t="shared" si="0"/>
        <v/>
      </c>
      <c r="J36" s="796">
        <f t="shared" si="1"/>
        <v>0</v>
      </c>
      <c r="K36" s="204"/>
      <c r="L36" s="796">
        <f t="shared" si="4"/>
        <v>0</v>
      </c>
    </row>
    <row r="37" spans="1:12" x14ac:dyDescent="0.2">
      <c r="A37" s="828">
        <v>1920</v>
      </c>
      <c r="B37" s="787" t="s">
        <v>314</v>
      </c>
      <c r="C37" s="204"/>
      <c r="D37" s="204"/>
      <c r="E37" s="796">
        <f t="shared" si="2"/>
        <v>0</v>
      </c>
      <c r="F37" s="204"/>
      <c r="G37" s="796">
        <f t="shared" si="3"/>
        <v>0</v>
      </c>
      <c r="H37" s="282"/>
      <c r="I37" s="586" t="str">
        <f t="shared" si="0"/>
        <v/>
      </c>
      <c r="J37" s="796">
        <f t="shared" si="1"/>
        <v>0</v>
      </c>
      <c r="K37" s="204"/>
      <c r="L37" s="796">
        <f t="shared" si="4"/>
        <v>0</v>
      </c>
    </row>
    <row r="38" spans="1:12" x14ac:dyDescent="0.2">
      <c r="A38" s="830">
        <v>1920</v>
      </c>
      <c r="B38" s="783" t="s">
        <v>316</v>
      </c>
      <c r="C38" s="204"/>
      <c r="D38" s="204"/>
      <c r="E38" s="796">
        <f t="shared" si="2"/>
        <v>0</v>
      </c>
      <c r="F38" s="204"/>
      <c r="G38" s="796">
        <f t="shared" si="3"/>
        <v>0</v>
      </c>
      <c r="H38" s="282"/>
      <c r="I38" s="586" t="str">
        <f t="shared" si="0"/>
        <v/>
      </c>
      <c r="J38" s="796">
        <f t="shared" si="1"/>
        <v>0</v>
      </c>
      <c r="K38" s="204"/>
      <c r="L38" s="796">
        <f t="shared" si="4"/>
        <v>0</v>
      </c>
    </row>
    <row r="39" spans="1:12" x14ac:dyDescent="0.2">
      <c r="A39" s="830">
        <v>1920</v>
      </c>
      <c r="B39" s="783" t="s">
        <v>315</v>
      </c>
      <c r="C39" s="204"/>
      <c r="D39" s="204"/>
      <c r="E39" s="796">
        <f t="shared" si="2"/>
        <v>0</v>
      </c>
      <c r="F39" s="204"/>
      <c r="G39" s="796">
        <f t="shared" si="3"/>
        <v>0</v>
      </c>
      <c r="H39" s="282"/>
      <c r="I39" s="586" t="str">
        <f t="shared" si="0"/>
        <v/>
      </c>
      <c r="J39" s="796">
        <f t="shared" si="1"/>
        <v>0</v>
      </c>
      <c r="K39" s="204"/>
      <c r="L39" s="796">
        <f t="shared" si="4"/>
        <v>0</v>
      </c>
    </row>
    <row r="40" spans="1:12" x14ac:dyDescent="0.2">
      <c r="A40" s="828">
        <v>1930</v>
      </c>
      <c r="B40" s="787" t="s">
        <v>404</v>
      </c>
      <c r="C40" s="204"/>
      <c r="D40" s="204"/>
      <c r="E40" s="796">
        <f t="shared" si="2"/>
        <v>0</v>
      </c>
      <c r="F40" s="204"/>
      <c r="G40" s="796">
        <f t="shared" si="3"/>
        <v>0</v>
      </c>
      <c r="H40" s="282"/>
      <c r="I40" s="586" t="str">
        <f t="shared" si="0"/>
        <v/>
      </c>
      <c r="J40" s="796">
        <f t="shared" si="1"/>
        <v>0</v>
      </c>
      <c r="K40" s="204"/>
      <c r="L40" s="796">
        <f t="shared" si="4"/>
        <v>0</v>
      </c>
    </row>
    <row r="41" spans="1:12" x14ac:dyDescent="0.2">
      <c r="A41" s="828">
        <v>1935</v>
      </c>
      <c r="B41" s="787" t="s">
        <v>405</v>
      </c>
      <c r="C41" s="204"/>
      <c r="D41" s="204"/>
      <c r="E41" s="796">
        <f t="shared" si="2"/>
        <v>0</v>
      </c>
      <c r="F41" s="204"/>
      <c r="G41" s="796">
        <f t="shared" si="3"/>
        <v>0</v>
      </c>
      <c r="H41" s="282"/>
      <c r="I41" s="586" t="str">
        <f t="shared" si="0"/>
        <v/>
      </c>
      <c r="J41" s="796">
        <f t="shared" si="1"/>
        <v>0</v>
      </c>
      <c r="K41" s="204"/>
      <c r="L41" s="796">
        <f t="shared" si="4"/>
        <v>0</v>
      </c>
    </row>
    <row r="42" spans="1:12" x14ac:dyDescent="0.2">
      <c r="A42" s="828">
        <v>1940</v>
      </c>
      <c r="B42" s="787" t="s">
        <v>406</v>
      </c>
      <c r="C42" s="204"/>
      <c r="D42" s="204"/>
      <c r="E42" s="796">
        <f t="shared" si="2"/>
        <v>0</v>
      </c>
      <c r="F42" s="204"/>
      <c r="G42" s="796">
        <f t="shared" si="3"/>
        <v>0</v>
      </c>
      <c r="H42" s="282"/>
      <c r="I42" s="586" t="str">
        <f t="shared" si="0"/>
        <v/>
      </c>
      <c r="J42" s="796">
        <f t="shared" si="1"/>
        <v>0</v>
      </c>
      <c r="K42" s="204"/>
      <c r="L42" s="796">
        <f t="shared" si="4"/>
        <v>0</v>
      </c>
    </row>
    <row r="43" spans="1:12" x14ac:dyDescent="0.2">
      <c r="A43" s="828">
        <v>1945</v>
      </c>
      <c r="B43" s="787" t="s">
        <v>407</v>
      </c>
      <c r="C43" s="204"/>
      <c r="D43" s="204"/>
      <c r="E43" s="796">
        <f t="shared" si="2"/>
        <v>0</v>
      </c>
      <c r="F43" s="204"/>
      <c r="G43" s="796">
        <f t="shared" si="3"/>
        <v>0</v>
      </c>
      <c r="H43" s="282"/>
      <c r="I43" s="586" t="str">
        <f t="shared" si="0"/>
        <v/>
      </c>
      <c r="J43" s="796">
        <f t="shared" si="1"/>
        <v>0</v>
      </c>
      <c r="K43" s="204"/>
      <c r="L43" s="796">
        <f t="shared" si="4"/>
        <v>0</v>
      </c>
    </row>
    <row r="44" spans="1:12" x14ac:dyDescent="0.2">
      <c r="A44" s="828">
        <v>1950</v>
      </c>
      <c r="B44" s="787" t="s">
        <v>317</v>
      </c>
      <c r="C44" s="204"/>
      <c r="D44" s="204"/>
      <c r="E44" s="796">
        <f t="shared" si="2"/>
        <v>0</v>
      </c>
      <c r="F44" s="204"/>
      <c r="G44" s="796">
        <f t="shared" si="3"/>
        <v>0</v>
      </c>
      <c r="H44" s="282"/>
      <c r="I44" s="586" t="str">
        <f t="shared" si="0"/>
        <v/>
      </c>
      <c r="J44" s="796">
        <f t="shared" si="1"/>
        <v>0</v>
      </c>
      <c r="K44" s="204"/>
      <c r="L44" s="796">
        <f t="shared" si="4"/>
        <v>0</v>
      </c>
    </row>
    <row r="45" spans="1:12" x14ac:dyDescent="0.2">
      <c r="A45" s="828">
        <v>1955</v>
      </c>
      <c r="B45" s="787" t="s">
        <v>408</v>
      </c>
      <c r="C45" s="204"/>
      <c r="D45" s="204"/>
      <c r="E45" s="796">
        <f t="shared" si="2"/>
        <v>0</v>
      </c>
      <c r="F45" s="204"/>
      <c r="G45" s="796">
        <f t="shared" si="3"/>
        <v>0</v>
      </c>
      <c r="H45" s="282"/>
      <c r="I45" s="586" t="str">
        <f t="shared" si="0"/>
        <v/>
      </c>
      <c r="J45" s="796">
        <f t="shared" si="1"/>
        <v>0</v>
      </c>
      <c r="K45" s="204"/>
      <c r="L45" s="796">
        <f t="shared" si="4"/>
        <v>0</v>
      </c>
    </row>
    <row r="46" spans="1:12" x14ac:dyDescent="0.2">
      <c r="A46" s="831">
        <v>1955</v>
      </c>
      <c r="B46" s="790" t="s">
        <v>318</v>
      </c>
      <c r="C46" s="204"/>
      <c r="D46" s="204"/>
      <c r="E46" s="796">
        <f t="shared" si="2"/>
        <v>0</v>
      </c>
      <c r="F46" s="204"/>
      <c r="G46" s="796">
        <f t="shared" si="3"/>
        <v>0</v>
      </c>
      <c r="H46" s="282"/>
      <c r="I46" s="586" t="str">
        <f t="shared" si="0"/>
        <v/>
      </c>
      <c r="J46" s="796">
        <f t="shared" si="1"/>
        <v>0</v>
      </c>
      <c r="K46" s="204"/>
      <c r="L46" s="796">
        <f t="shared" si="4"/>
        <v>0</v>
      </c>
    </row>
    <row r="47" spans="1:12" x14ac:dyDescent="0.2">
      <c r="A47" s="830">
        <v>1960</v>
      </c>
      <c r="B47" s="783" t="s">
        <v>319</v>
      </c>
      <c r="C47" s="204"/>
      <c r="D47" s="204"/>
      <c r="E47" s="796">
        <f t="shared" si="2"/>
        <v>0</v>
      </c>
      <c r="F47" s="204"/>
      <c r="G47" s="796">
        <f t="shared" si="3"/>
        <v>0</v>
      </c>
      <c r="H47" s="282"/>
      <c r="I47" s="586" t="str">
        <f t="shared" si="0"/>
        <v/>
      </c>
      <c r="J47" s="796">
        <f t="shared" si="1"/>
        <v>0</v>
      </c>
      <c r="K47" s="204"/>
      <c r="L47" s="796">
        <f t="shared" si="4"/>
        <v>0</v>
      </c>
    </row>
    <row r="48" spans="1:12" x14ac:dyDescent="0.2">
      <c r="A48" s="831">
        <v>1970</v>
      </c>
      <c r="B48" s="832" t="s">
        <v>773</v>
      </c>
      <c r="C48" s="204"/>
      <c r="D48" s="204"/>
      <c r="E48" s="796">
        <f t="shared" si="2"/>
        <v>0</v>
      </c>
      <c r="F48" s="204"/>
      <c r="G48" s="796">
        <f t="shared" si="3"/>
        <v>0</v>
      </c>
      <c r="H48" s="282"/>
      <c r="I48" s="586" t="str">
        <f t="shared" si="0"/>
        <v/>
      </c>
      <c r="J48" s="796">
        <f t="shared" si="1"/>
        <v>0</v>
      </c>
      <c r="K48" s="204"/>
      <c r="L48" s="796">
        <f t="shared" si="4"/>
        <v>0</v>
      </c>
    </row>
    <row r="49" spans="1:14" x14ac:dyDescent="0.2">
      <c r="A49" s="828">
        <v>1975</v>
      </c>
      <c r="B49" s="787" t="s">
        <v>409</v>
      </c>
      <c r="C49" s="204"/>
      <c r="D49" s="204"/>
      <c r="E49" s="796">
        <f t="shared" si="2"/>
        <v>0</v>
      </c>
      <c r="F49" s="204"/>
      <c r="G49" s="796">
        <f t="shared" si="3"/>
        <v>0</v>
      </c>
      <c r="H49" s="282"/>
      <c r="I49" s="586" t="str">
        <f t="shared" si="0"/>
        <v/>
      </c>
      <c r="J49" s="796">
        <f t="shared" si="1"/>
        <v>0</v>
      </c>
      <c r="K49" s="204"/>
      <c r="L49" s="796">
        <f t="shared" si="4"/>
        <v>0</v>
      </c>
    </row>
    <row r="50" spans="1:14" x14ac:dyDescent="0.2">
      <c r="A50" s="828">
        <v>1980</v>
      </c>
      <c r="B50" s="787" t="s">
        <v>410</v>
      </c>
      <c r="C50" s="204"/>
      <c r="D50" s="204"/>
      <c r="E50" s="796">
        <f t="shared" si="2"/>
        <v>0</v>
      </c>
      <c r="F50" s="204"/>
      <c r="G50" s="796">
        <f t="shared" si="3"/>
        <v>0</v>
      </c>
      <c r="H50" s="282"/>
      <c r="I50" s="586" t="str">
        <f t="shared" si="0"/>
        <v/>
      </c>
      <c r="J50" s="796">
        <f t="shared" si="1"/>
        <v>0</v>
      </c>
      <c r="K50" s="204"/>
      <c r="L50" s="796">
        <f t="shared" si="4"/>
        <v>0</v>
      </c>
    </row>
    <row r="51" spans="1:14" x14ac:dyDescent="0.2">
      <c r="A51" s="828">
        <v>1985</v>
      </c>
      <c r="B51" s="787" t="s">
        <v>411</v>
      </c>
      <c r="C51" s="204"/>
      <c r="D51" s="204"/>
      <c r="E51" s="796">
        <f t="shared" si="2"/>
        <v>0</v>
      </c>
      <c r="F51" s="204"/>
      <c r="G51" s="796">
        <f t="shared" si="3"/>
        <v>0</v>
      </c>
      <c r="H51" s="282"/>
      <c r="I51" s="586" t="str">
        <f t="shared" si="0"/>
        <v/>
      </c>
      <c r="J51" s="796">
        <f t="shared" si="1"/>
        <v>0</v>
      </c>
      <c r="K51" s="204"/>
      <c r="L51" s="796">
        <f t="shared" si="4"/>
        <v>0</v>
      </c>
    </row>
    <row r="52" spans="1:14" x14ac:dyDescent="0.2">
      <c r="A52" s="828">
        <v>1990</v>
      </c>
      <c r="B52" s="791" t="s">
        <v>774</v>
      </c>
      <c r="C52" s="204"/>
      <c r="D52" s="204"/>
      <c r="E52" s="796">
        <f t="shared" si="2"/>
        <v>0</v>
      </c>
      <c r="F52" s="204"/>
      <c r="G52" s="796">
        <f t="shared" si="3"/>
        <v>0</v>
      </c>
      <c r="H52" s="282"/>
      <c r="I52" s="586" t="str">
        <f t="shared" si="0"/>
        <v/>
      </c>
      <c r="J52" s="796">
        <f t="shared" si="1"/>
        <v>0</v>
      </c>
      <c r="K52" s="204"/>
      <c r="L52" s="796">
        <f t="shared" si="4"/>
        <v>0</v>
      </c>
    </row>
    <row r="53" spans="1:14" x14ac:dyDescent="0.2">
      <c r="A53" s="828">
        <v>1995</v>
      </c>
      <c r="B53" s="787" t="s">
        <v>412</v>
      </c>
      <c r="C53" s="204"/>
      <c r="D53" s="204"/>
      <c r="E53" s="796">
        <f t="shared" si="2"/>
        <v>0</v>
      </c>
      <c r="F53" s="204"/>
      <c r="G53" s="796">
        <f t="shared" si="3"/>
        <v>0</v>
      </c>
      <c r="H53" s="282"/>
      <c r="I53" s="586" t="str">
        <f t="shared" si="0"/>
        <v/>
      </c>
      <c r="J53" s="796">
        <f t="shared" si="1"/>
        <v>0</v>
      </c>
      <c r="K53" s="204"/>
      <c r="L53" s="796">
        <f t="shared" si="4"/>
        <v>0</v>
      </c>
    </row>
    <row r="54" spans="1:14" x14ac:dyDescent="0.2">
      <c r="A54" s="227" t="s">
        <v>13</v>
      </c>
      <c r="B54" s="228"/>
      <c r="C54" s="204"/>
      <c r="D54" s="204"/>
      <c r="E54" s="796">
        <f t="shared" si="2"/>
        <v>0</v>
      </c>
      <c r="F54" s="204"/>
      <c r="G54" s="796">
        <f t="shared" si="3"/>
        <v>0</v>
      </c>
      <c r="H54" s="282"/>
      <c r="I54" s="586" t="str">
        <f t="shared" si="0"/>
        <v/>
      </c>
      <c r="J54" s="796">
        <f t="shared" si="1"/>
        <v>0</v>
      </c>
      <c r="K54" s="204"/>
      <c r="L54" s="796">
        <f t="shared" si="4"/>
        <v>0</v>
      </c>
    </row>
    <row r="55" spans="1:14" ht="13.5" thickBot="1" x14ac:dyDescent="0.25">
      <c r="A55" s="229"/>
      <c r="B55" s="230"/>
      <c r="C55" s="204"/>
      <c r="D55" s="204"/>
      <c r="E55" s="796">
        <f t="shared" si="2"/>
        <v>0</v>
      </c>
      <c r="F55" s="204"/>
      <c r="G55" s="796">
        <f t="shared" si="3"/>
        <v>0</v>
      </c>
      <c r="H55" s="283"/>
      <c r="I55" s="593" t="str">
        <f t="shared" si="0"/>
        <v/>
      </c>
      <c r="J55" s="796">
        <f t="shared" si="1"/>
        <v>0</v>
      </c>
      <c r="K55" s="204"/>
      <c r="L55" s="796">
        <f t="shared" si="4"/>
        <v>0</v>
      </c>
    </row>
    <row r="56" spans="1:14" ht="14.25" thickTop="1" thickBot="1" x14ac:dyDescent="0.25">
      <c r="A56" s="231"/>
      <c r="B56" s="232" t="s">
        <v>413</v>
      </c>
      <c r="C56" s="796">
        <f>SUM(C16:C55)</f>
        <v>0</v>
      </c>
      <c r="D56" s="796">
        <f>SUM(D16:D55)</f>
        <v>0</v>
      </c>
      <c r="E56" s="796">
        <f>SUM(E16:E55)</f>
        <v>0</v>
      </c>
      <c r="F56" s="796">
        <f>SUM(F16:F55)</f>
        <v>0</v>
      </c>
      <c r="G56" s="796">
        <f>SUM(G16:G55)</f>
        <v>0</v>
      </c>
      <c r="H56" s="234"/>
      <c r="I56" s="588"/>
      <c r="J56" s="796">
        <f>SUM(J16:J55)</f>
        <v>0</v>
      </c>
      <c r="K56" s="796">
        <f>SUM(K16:K55)</f>
        <v>0</v>
      </c>
      <c r="L56" s="796">
        <f>SUM(L16:L55)</f>
        <v>0</v>
      </c>
    </row>
    <row r="58" spans="1:14" x14ac:dyDescent="0.2">
      <c r="A58" s="217" t="s">
        <v>15</v>
      </c>
      <c r="B58" s="236"/>
      <c r="C58" s="236"/>
      <c r="D58" s="236"/>
      <c r="E58" s="236"/>
      <c r="F58" s="236"/>
      <c r="G58" s="236"/>
      <c r="H58" s="236"/>
      <c r="I58" s="236"/>
      <c r="J58" s="236"/>
    </row>
    <row r="59" spans="1:14" ht="27.75" customHeight="1" x14ac:dyDescent="0.2">
      <c r="A59" s="301">
        <v>1</v>
      </c>
      <c r="B59" s="1790" t="s">
        <v>607</v>
      </c>
      <c r="C59" s="1790"/>
      <c r="D59" s="1790"/>
      <c r="E59" s="1790"/>
      <c r="F59" s="1790"/>
      <c r="G59" s="1790"/>
      <c r="H59" s="1790"/>
      <c r="I59" s="1790"/>
      <c r="J59" s="1790"/>
      <c r="K59" s="1790"/>
      <c r="L59" s="1790"/>
    </row>
    <row r="60" spans="1:14" x14ac:dyDescent="0.2">
      <c r="A60" s="284">
        <v>2</v>
      </c>
      <c r="B60" s="1857" t="s">
        <v>1934</v>
      </c>
      <c r="C60" s="1857"/>
      <c r="D60" s="1857"/>
      <c r="E60" s="1857"/>
      <c r="F60" s="1857"/>
      <c r="G60" s="1857"/>
      <c r="H60" s="1857"/>
      <c r="I60" s="1857"/>
      <c r="J60" s="1857"/>
      <c r="K60" s="1857"/>
      <c r="L60" s="1857"/>
    </row>
    <row r="61" spans="1:14" ht="36" customHeight="1" x14ac:dyDescent="0.2">
      <c r="A61" s="1877" t="s">
        <v>325</v>
      </c>
      <c r="B61" s="1866" t="s">
        <v>270</v>
      </c>
      <c r="C61" s="1866"/>
      <c r="D61" s="1866"/>
      <c r="E61" s="1866"/>
      <c r="F61" s="1866"/>
      <c r="G61" s="1866"/>
      <c r="H61" s="1866"/>
      <c r="I61" s="1866"/>
      <c r="J61" s="1866"/>
      <c r="K61" s="1866"/>
      <c r="L61" s="1866"/>
      <c r="M61" s="675"/>
      <c r="N61" s="675"/>
    </row>
    <row r="62" spans="1:14" x14ac:dyDescent="0.2">
      <c r="A62" s="1877"/>
      <c r="B62" s="1866"/>
      <c r="C62" s="1866"/>
      <c r="D62" s="1866"/>
      <c r="E62" s="1866"/>
      <c r="F62" s="1866"/>
      <c r="G62" s="1866"/>
      <c r="H62" s="1866"/>
      <c r="I62" s="1866"/>
      <c r="J62" s="1866"/>
      <c r="K62" s="1866"/>
      <c r="L62" s="1866"/>
      <c r="M62" s="675"/>
      <c r="N62" s="675"/>
    </row>
    <row r="63" spans="1:14" x14ac:dyDescent="0.2">
      <c r="A63" s="1877"/>
      <c r="B63" s="1866"/>
      <c r="C63" s="1866"/>
      <c r="D63" s="1866"/>
      <c r="E63" s="1866"/>
      <c r="F63" s="1866"/>
      <c r="G63" s="1866"/>
      <c r="H63" s="1866"/>
      <c r="I63" s="1866"/>
      <c r="J63" s="1866"/>
      <c r="K63" s="1866"/>
      <c r="L63" s="1866"/>
      <c r="M63" s="675"/>
      <c r="N63" s="675"/>
    </row>
    <row r="74" spans="1:10" ht="12.75" customHeight="1" x14ac:dyDescent="0.2"/>
    <row r="75" spans="1:10" x14ac:dyDescent="0.2">
      <c r="A75" s="673"/>
      <c r="B75" s="673"/>
      <c r="C75" s="673"/>
      <c r="D75" s="673"/>
      <c r="E75" s="673"/>
      <c r="F75" s="673"/>
      <c r="G75" s="673"/>
      <c r="H75" s="673"/>
      <c r="I75" s="673"/>
      <c r="J75" s="236"/>
    </row>
    <row r="76" spans="1:10" x14ac:dyDescent="0.2">
      <c r="A76" s="217"/>
    </row>
    <row r="77" spans="1:10" x14ac:dyDescent="0.2">
      <c r="A77" s="236"/>
    </row>
    <row r="78" spans="1:10" x14ac:dyDescent="0.2">
      <c r="A78" s="236"/>
    </row>
  </sheetData>
  <mergeCells count="10">
    <mergeCell ref="B59:L59"/>
    <mergeCell ref="B60:L60"/>
    <mergeCell ref="B61:L63"/>
    <mergeCell ref="A9:L9"/>
    <mergeCell ref="A10:L10"/>
    <mergeCell ref="A11:L11"/>
    <mergeCell ref="A14:A15"/>
    <mergeCell ref="B14:B15"/>
    <mergeCell ref="K14:K15"/>
    <mergeCell ref="A61:A63"/>
  </mergeCells>
  <dataValidations count="1">
    <dataValidation allowBlank="1" showInputMessage="1" showErrorMessage="1" promptTitle="Date Format" prompt="E.g:  &quot;August 1, 2011&quot;"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dataValidations>
  <printOptions horizontalCentered="1"/>
  <pageMargins left="0.74803149606299213" right="0.74803149606299213" top="0.70866141732283472" bottom="0.39370078740157483" header="0.39370078740157483" footer="0.27559055118110237"/>
  <pageSetup scale="4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64"/>
  <sheetViews>
    <sheetView showGridLines="0" zoomScaleNormal="100" workbookViewId="0">
      <selection activeCell="A10" sqref="A10:L10"/>
    </sheetView>
  </sheetViews>
  <sheetFormatPr defaultRowHeight="12.75" x14ac:dyDescent="0.2"/>
  <cols>
    <col min="1" max="1" width="9.140625" style="216"/>
    <col min="2" max="2" width="40.28515625" style="216" bestFit="1" customWidth="1"/>
    <col min="3" max="4" width="12" style="216" customWidth="1"/>
    <col min="5" max="5" width="13" style="216" customWidth="1"/>
    <col min="6" max="6" width="10" style="216" customWidth="1"/>
    <col min="7" max="7" width="17.85546875" style="216" customWidth="1"/>
    <col min="8" max="8" width="7.7109375" style="216" customWidth="1"/>
    <col min="9" max="9" width="12.28515625" style="216" customWidth="1"/>
    <col min="10" max="10" width="12.7109375" style="216" customWidth="1"/>
    <col min="11" max="11" width="21.42578125" style="216" customWidth="1"/>
    <col min="12" max="12" width="11.42578125" style="216" customWidth="1"/>
    <col min="13" max="257" width="9.140625" style="216"/>
    <col min="258" max="258" width="2.7109375" style="216" customWidth="1"/>
    <col min="259" max="259" width="9.140625" style="216"/>
    <col min="260" max="260" width="40.28515625" style="216" bestFit="1" customWidth="1"/>
    <col min="261" max="261" width="10.7109375" style="216" customWidth="1"/>
    <col min="262" max="262" width="10" style="216" customWidth="1"/>
    <col min="263" max="263" width="17.85546875" style="216" customWidth="1"/>
    <col min="264" max="264" width="7.7109375" style="216" customWidth="1"/>
    <col min="265" max="265" width="12.28515625" style="216" customWidth="1"/>
    <col min="266" max="266" width="12.7109375" style="216" customWidth="1"/>
    <col min="267" max="267" width="14.140625" style="216" customWidth="1"/>
    <col min="268" max="268" width="11.140625" style="216" customWidth="1"/>
    <col min="269" max="513" width="9.140625" style="216"/>
    <col min="514" max="514" width="2.7109375" style="216" customWidth="1"/>
    <col min="515" max="515" width="9.140625" style="216"/>
    <col min="516" max="516" width="40.28515625" style="216" bestFit="1" customWidth="1"/>
    <col min="517" max="517" width="10.7109375" style="216" customWidth="1"/>
    <col min="518" max="518" width="10" style="216" customWidth="1"/>
    <col min="519" max="519" width="17.85546875" style="216" customWidth="1"/>
    <col min="520" max="520" width="7.7109375" style="216" customWidth="1"/>
    <col min="521" max="521" width="12.28515625" style="216" customWidth="1"/>
    <col min="522" max="522" width="12.7109375" style="216" customWidth="1"/>
    <col min="523" max="523" width="14.140625" style="216" customWidth="1"/>
    <col min="524" max="524" width="11.140625" style="216" customWidth="1"/>
    <col min="525" max="769" width="9.140625" style="216"/>
    <col min="770" max="770" width="2.7109375" style="216" customWidth="1"/>
    <col min="771" max="771" width="9.140625" style="216"/>
    <col min="772" max="772" width="40.28515625" style="216" bestFit="1" customWidth="1"/>
    <col min="773" max="773" width="10.7109375" style="216" customWidth="1"/>
    <col min="774" max="774" width="10" style="216" customWidth="1"/>
    <col min="775" max="775" width="17.85546875" style="216" customWidth="1"/>
    <col min="776" max="776" width="7.7109375" style="216" customWidth="1"/>
    <col min="777" max="777" width="12.28515625" style="216" customWidth="1"/>
    <col min="778" max="778" width="12.7109375" style="216" customWidth="1"/>
    <col min="779" max="779" width="14.140625" style="216" customWidth="1"/>
    <col min="780" max="780" width="11.140625" style="216" customWidth="1"/>
    <col min="781" max="1025" width="9.140625" style="216"/>
    <col min="1026" max="1026" width="2.7109375" style="216" customWidth="1"/>
    <col min="1027" max="1027" width="9.140625" style="216"/>
    <col min="1028" max="1028" width="40.28515625" style="216" bestFit="1" customWidth="1"/>
    <col min="1029" max="1029" width="10.7109375" style="216" customWidth="1"/>
    <col min="1030" max="1030" width="10" style="216" customWidth="1"/>
    <col min="1031" max="1031" width="17.85546875" style="216" customWidth="1"/>
    <col min="1032" max="1032" width="7.7109375" style="216" customWidth="1"/>
    <col min="1033" max="1033" width="12.28515625" style="216" customWidth="1"/>
    <col min="1034" max="1034" width="12.7109375" style="216" customWidth="1"/>
    <col min="1035" max="1035" width="14.140625" style="216" customWidth="1"/>
    <col min="1036" max="1036" width="11.140625" style="216" customWidth="1"/>
    <col min="1037" max="1281" width="9.140625" style="216"/>
    <col min="1282" max="1282" width="2.7109375" style="216" customWidth="1"/>
    <col min="1283" max="1283" width="9.140625" style="216"/>
    <col min="1284" max="1284" width="40.28515625" style="216" bestFit="1" customWidth="1"/>
    <col min="1285" max="1285" width="10.7109375" style="216" customWidth="1"/>
    <col min="1286" max="1286" width="10" style="216" customWidth="1"/>
    <col min="1287" max="1287" width="17.85546875" style="216" customWidth="1"/>
    <col min="1288" max="1288" width="7.7109375" style="216" customWidth="1"/>
    <col min="1289" max="1289" width="12.28515625" style="216" customWidth="1"/>
    <col min="1290" max="1290" width="12.7109375" style="216" customWidth="1"/>
    <col min="1291" max="1291" width="14.140625" style="216" customWidth="1"/>
    <col min="1292" max="1292" width="11.140625" style="216" customWidth="1"/>
    <col min="1293" max="1537" width="9.140625" style="216"/>
    <col min="1538" max="1538" width="2.7109375" style="216" customWidth="1"/>
    <col min="1539" max="1539" width="9.140625" style="216"/>
    <col min="1540" max="1540" width="40.28515625" style="216" bestFit="1" customWidth="1"/>
    <col min="1541" max="1541" width="10.7109375" style="216" customWidth="1"/>
    <col min="1542" max="1542" width="10" style="216" customWidth="1"/>
    <col min="1543" max="1543" width="17.85546875" style="216" customWidth="1"/>
    <col min="1544" max="1544" width="7.7109375" style="216" customWidth="1"/>
    <col min="1545" max="1545" width="12.28515625" style="216" customWidth="1"/>
    <col min="1546" max="1546" width="12.7109375" style="216" customWidth="1"/>
    <col min="1547" max="1547" width="14.140625" style="216" customWidth="1"/>
    <col min="1548" max="1548" width="11.140625" style="216" customWidth="1"/>
    <col min="1549" max="1793" width="9.140625" style="216"/>
    <col min="1794" max="1794" width="2.7109375" style="216" customWidth="1"/>
    <col min="1795" max="1795" width="9.140625" style="216"/>
    <col min="1796" max="1796" width="40.28515625" style="216" bestFit="1" customWidth="1"/>
    <col min="1797" max="1797" width="10.7109375" style="216" customWidth="1"/>
    <col min="1798" max="1798" width="10" style="216" customWidth="1"/>
    <col min="1799" max="1799" width="17.85546875" style="216" customWidth="1"/>
    <col min="1800" max="1800" width="7.7109375" style="216" customWidth="1"/>
    <col min="1801" max="1801" width="12.28515625" style="216" customWidth="1"/>
    <col min="1802" max="1802" width="12.7109375" style="216" customWidth="1"/>
    <col min="1803" max="1803" width="14.140625" style="216" customWidth="1"/>
    <col min="1804" max="1804" width="11.140625" style="216" customWidth="1"/>
    <col min="1805" max="2049" width="9.140625" style="216"/>
    <col min="2050" max="2050" width="2.7109375" style="216" customWidth="1"/>
    <col min="2051" max="2051" width="9.140625" style="216"/>
    <col min="2052" max="2052" width="40.28515625" style="216" bestFit="1" customWidth="1"/>
    <col min="2053" max="2053" width="10.7109375" style="216" customWidth="1"/>
    <col min="2054" max="2054" width="10" style="216" customWidth="1"/>
    <col min="2055" max="2055" width="17.85546875" style="216" customWidth="1"/>
    <col min="2056" max="2056" width="7.7109375" style="216" customWidth="1"/>
    <col min="2057" max="2057" width="12.28515625" style="216" customWidth="1"/>
    <col min="2058" max="2058" width="12.7109375" style="216" customWidth="1"/>
    <col min="2059" max="2059" width="14.140625" style="216" customWidth="1"/>
    <col min="2060" max="2060" width="11.140625" style="216" customWidth="1"/>
    <col min="2061" max="2305" width="9.140625" style="216"/>
    <col min="2306" max="2306" width="2.7109375" style="216" customWidth="1"/>
    <col min="2307" max="2307" width="9.140625" style="216"/>
    <col min="2308" max="2308" width="40.28515625" style="216" bestFit="1" customWidth="1"/>
    <col min="2309" max="2309" width="10.7109375" style="216" customWidth="1"/>
    <col min="2310" max="2310" width="10" style="216" customWidth="1"/>
    <col min="2311" max="2311" width="17.85546875" style="216" customWidth="1"/>
    <col min="2312" max="2312" width="7.7109375" style="216" customWidth="1"/>
    <col min="2313" max="2313" width="12.28515625" style="216" customWidth="1"/>
    <col min="2314" max="2314" width="12.7109375" style="216" customWidth="1"/>
    <col min="2315" max="2315" width="14.140625" style="216" customWidth="1"/>
    <col min="2316" max="2316" width="11.140625" style="216" customWidth="1"/>
    <col min="2317" max="2561" width="9.140625" style="216"/>
    <col min="2562" max="2562" width="2.7109375" style="216" customWidth="1"/>
    <col min="2563" max="2563" width="9.140625" style="216"/>
    <col min="2564" max="2564" width="40.28515625" style="216" bestFit="1" customWidth="1"/>
    <col min="2565" max="2565" width="10.7109375" style="216" customWidth="1"/>
    <col min="2566" max="2566" width="10" style="216" customWidth="1"/>
    <col min="2567" max="2567" width="17.85546875" style="216" customWidth="1"/>
    <col min="2568" max="2568" width="7.7109375" style="216" customWidth="1"/>
    <col min="2569" max="2569" width="12.28515625" style="216" customWidth="1"/>
    <col min="2570" max="2570" width="12.7109375" style="216" customWidth="1"/>
    <col min="2571" max="2571" width="14.140625" style="216" customWidth="1"/>
    <col min="2572" max="2572" width="11.140625" style="216" customWidth="1"/>
    <col min="2573" max="2817" width="9.140625" style="216"/>
    <col min="2818" max="2818" width="2.7109375" style="216" customWidth="1"/>
    <col min="2819" max="2819" width="9.140625" style="216"/>
    <col min="2820" max="2820" width="40.28515625" style="216" bestFit="1" customWidth="1"/>
    <col min="2821" max="2821" width="10.7109375" style="216" customWidth="1"/>
    <col min="2822" max="2822" width="10" style="216" customWidth="1"/>
    <col min="2823" max="2823" width="17.85546875" style="216" customWidth="1"/>
    <col min="2824" max="2824" width="7.7109375" style="216" customWidth="1"/>
    <col min="2825" max="2825" width="12.28515625" style="216" customWidth="1"/>
    <col min="2826" max="2826" width="12.7109375" style="216" customWidth="1"/>
    <col min="2827" max="2827" width="14.140625" style="216" customWidth="1"/>
    <col min="2828" max="2828" width="11.140625" style="216" customWidth="1"/>
    <col min="2829" max="3073" width="9.140625" style="216"/>
    <col min="3074" max="3074" width="2.7109375" style="216" customWidth="1"/>
    <col min="3075" max="3075" width="9.140625" style="216"/>
    <col min="3076" max="3076" width="40.28515625" style="216" bestFit="1" customWidth="1"/>
    <col min="3077" max="3077" width="10.7109375" style="216" customWidth="1"/>
    <col min="3078" max="3078" width="10" style="216" customWidth="1"/>
    <col min="3079" max="3079" width="17.85546875" style="216" customWidth="1"/>
    <col min="3080" max="3080" width="7.7109375" style="216" customWidth="1"/>
    <col min="3081" max="3081" width="12.28515625" style="216" customWidth="1"/>
    <col min="3082" max="3082" width="12.7109375" style="216" customWidth="1"/>
    <col min="3083" max="3083" width="14.140625" style="216" customWidth="1"/>
    <col min="3084" max="3084" width="11.140625" style="216" customWidth="1"/>
    <col min="3085" max="3329" width="9.140625" style="216"/>
    <col min="3330" max="3330" width="2.7109375" style="216" customWidth="1"/>
    <col min="3331" max="3331" width="9.140625" style="216"/>
    <col min="3332" max="3332" width="40.28515625" style="216" bestFit="1" customWidth="1"/>
    <col min="3333" max="3333" width="10.7109375" style="216" customWidth="1"/>
    <col min="3334" max="3334" width="10" style="216" customWidth="1"/>
    <col min="3335" max="3335" width="17.85546875" style="216" customWidth="1"/>
    <col min="3336" max="3336" width="7.7109375" style="216" customWidth="1"/>
    <col min="3337" max="3337" width="12.28515625" style="216" customWidth="1"/>
    <col min="3338" max="3338" width="12.7109375" style="216" customWidth="1"/>
    <col min="3339" max="3339" width="14.140625" style="216" customWidth="1"/>
    <col min="3340" max="3340" width="11.140625" style="216" customWidth="1"/>
    <col min="3341" max="3585" width="9.140625" style="216"/>
    <col min="3586" max="3586" width="2.7109375" style="216" customWidth="1"/>
    <col min="3587" max="3587" width="9.140625" style="216"/>
    <col min="3588" max="3588" width="40.28515625" style="216" bestFit="1" customWidth="1"/>
    <col min="3589" max="3589" width="10.7109375" style="216" customWidth="1"/>
    <col min="3590" max="3590" width="10" style="216" customWidth="1"/>
    <col min="3591" max="3591" width="17.85546875" style="216" customWidth="1"/>
    <col min="3592" max="3592" width="7.7109375" style="216" customWidth="1"/>
    <col min="3593" max="3593" width="12.28515625" style="216" customWidth="1"/>
    <col min="3594" max="3594" width="12.7109375" style="216" customWidth="1"/>
    <col min="3595" max="3595" width="14.140625" style="216" customWidth="1"/>
    <col min="3596" max="3596" width="11.140625" style="216" customWidth="1"/>
    <col min="3597" max="3841" width="9.140625" style="216"/>
    <col min="3842" max="3842" width="2.7109375" style="216" customWidth="1"/>
    <col min="3843" max="3843" width="9.140625" style="216"/>
    <col min="3844" max="3844" width="40.28515625" style="216" bestFit="1" customWidth="1"/>
    <col min="3845" max="3845" width="10.7109375" style="216" customWidth="1"/>
    <col min="3846" max="3846" width="10" style="216" customWidth="1"/>
    <col min="3847" max="3847" width="17.85546875" style="216" customWidth="1"/>
    <col min="3848" max="3848" width="7.7109375" style="216" customWidth="1"/>
    <col min="3849" max="3849" width="12.28515625" style="216" customWidth="1"/>
    <col min="3850" max="3850" width="12.7109375" style="216" customWidth="1"/>
    <col min="3851" max="3851" width="14.140625" style="216" customWidth="1"/>
    <col min="3852" max="3852" width="11.140625" style="216" customWidth="1"/>
    <col min="3853" max="4097" width="9.140625" style="216"/>
    <col min="4098" max="4098" width="2.7109375" style="216" customWidth="1"/>
    <col min="4099" max="4099" width="9.140625" style="216"/>
    <col min="4100" max="4100" width="40.28515625" style="216" bestFit="1" customWidth="1"/>
    <col min="4101" max="4101" width="10.7109375" style="216" customWidth="1"/>
    <col min="4102" max="4102" width="10" style="216" customWidth="1"/>
    <col min="4103" max="4103" width="17.85546875" style="216" customWidth="1"/>
    <col min="4104" max="4104" width="7.7109375" style="216" customWidth="1"/>
    <col min="4105" max="4105" width="12.28515625" style="216" customWidth="1"/>
    <col min="4106" max="4106" width="12.7109375" style="216" customWidth="1"/>
    <col min="4107" max="4107" width="14.140625" style="216" customWidth="1"/>
    <col min="4108" max="4108" width="11.140625" style="216" customWidth="1"/>
    <col min="4109" max="4353" width="9.140625" style="216"/>
    <col min="4354" max="4354" width="2.7109375" style="216" customWidth="1"/>
    <col min="4355" max="4355" width="9.140625" style="216"/>
    <col min="4356" max="4356" width="40.28515625" style="216" bestFit="1" customWidth="1"/>
    <col min="4357" max="4357" width="10.7109375" style="216" customWidth="1"/>
    <col min="4358" max="4358" width="10" style="216" customWidth="1"/>
    <col min="4359" max="4359" width="17.85546875" style="216" customWidth="1"/>
    <col min="4360" max="4360" width="7.7109375" style="216" customWidth="1"/>
    <col min="4361" max="4361" width="12.28515625" style="216" customWidth="1"/>
    <col min="4362" max="4362" width="12.7109375" style="216" customWidth="1"/>
    <col min="4363" max="4363" width="14.140625" style="216" customWidth="1"/>
    <col min="4364" max="4364" width="11.140625" style="216" customWidth="1"/>
    <col min="4365" max="4609" width="9.140625" style="216"/>
    <col min="4610" max="4610" width="2.7109375" style="216" customWidth="1"/>
    <col min="4611" max="4611" width="9.140625" style="216"/>
    <col min="4612" max="4612" width="40.28515625" style="216" bestFit="1" customWidth="1"/>
    <col min="4613" max="4613" width="10.7109375" style="216" customWidth="1"/>
    <col min="4614" max="4614" width="10" style="216" customWidth="1"/>
    <col min="4615" max="4615" width="17.85546875" style="216" customWidth="1"/>
    <col min="4616" max="4616" width="7.7109375" style="216" customWidth="1"/>
    <col min="4617" max="4617" width="12.28515625" style="216" customWidth="1"/>
    <col min="4618" max="4618" width="12.7109375" style="216" customWidth="1"/>
    <col min="4619" max="4619" width="14.140625" style="216" customWidth="1"/>
    <col min="4620" max="4620" width="11.140625" style="216" customWidth="1"/>
    <col min="4621" max="4865" width="9.140625" style="216"/>
    <col min="4866" max="4866" width="2.7109375" style="216" customWidth="1"/>
    <col min="4867" max="4867" width="9.140625" style="216"/>
    <col min="4868" max="4868" width="40.28515625" style="216" bestFit="1" customWidth="1"/>
    <col min="4869" max="4869" width="10.7109375" style="216" customWidth="1"/>
    <col min="4870" max="4870" width="10" style="216" customWidth="1"/>
    <col min="4871" max="4871" width="17.85546875" style="216" customWidth="1"/>
    <col min="4872" max="4872" width="7.7109375" style="216" customWidth="1"/>
    <col min="4873" max="4873" width="12.28515625" style="216" customWidth="1"/>
    <col min="4874" max="4874" width="12.7109375" style="216" customWidth="1"/>
    <col min="4875" max="4875" width="14.140625" style="216" customWidth="1"/>
    <col min="4876" max="4876" width="11.140625" style="216" customWidth="1"/>
    <col min="4877" max="5121" width="9.140625" style="216"/>
    <col min="5122" max="5122" width="2.7109375" style="216" customWidth="1"/>
    <col min="5123" max="5123" width="9.140625" style="216"/>
    <col min="5124" max="5124" width="40.28515625" style="216" bestFit="1" customWidth="1"/>
    <col min="5125" max="5125" width="10.7109375" style="216" customWidth="1"/>
    <col min="5126" max="5126" width="10" style="216" customWidth="1"/>
    <col min="5127" max="5127" width="17.85546875" style="216" customWidth="1"/>
    <col min="5128" max="5128" width="7.7109375" style="216" customWidth="1"/>
    <col min="5129" max="5129" width="12.28515625" style="216" customWidth="1"/>
    <col min="5130" max="5130" width="12.7109375" style="216" customWidth="1"/>
    <col min="5131" max="5131" width="14.140625" style="216" customWidth="1"/>
    <col min="5132" max="5132" width="11.140625" style="216" customWidth="1"/>
    <col min="5133" max="5377" width="9.140625" style="216"/>
    <col min="5378" max="5378" width="2.7109375" style="216" customWidth="1"/>
    <col min="5379" max="5379" width="9.140625" style="216"/>
    <col min="5380" max="5380" width="40.28515625" style="216" bestFit="1" customWidth="1"/>
    <col min="5381" max="5381" width="10.7109375" style="216" customWidth="1"/>
    <col min="5382" max="5382" width="10" style="216" customWidth="1"/>
    <col min="5383" max="5383" width="17.85546875" style="216" customWidth="1"/>
    <col min="5384" max="5384" width="7.7109375" style="216" customWidth="1"/>
    <col min="5385" max="5385" width="12.28515625" style="216" customWidth="1"/>
    <col min="5386" max="5386" width="12.7109375" style="216" customWidth="1"/>
    <col min="5387" max="5387" width="14.140625" style="216" customWidth="1"/>
    <col min="5388" max="5388" width="11.140625" style="216" customWidth="1"/>
    <col min="5389" max="5633" width="9.140625" style="216"/>
    <col min="5634" max="5634" width="2.7109375" style="216" customWidth="1"/>
    <col min="5635" max="5635" width="9.140625" style="216"/>
    <col min="5636" max="5636" width="40.28515625" style="216" bestFit="1" customWidth="1"/>
    <col min="5637" max="5637" width="10.7109375" style="216" customWidth="1"/>
    <col min="5638" max="5638" width="10" style="216" customWidth="1"/>
    <col min="5639" max="5639" width="17.85546875" style="216" customWidth="1"/>
    <col min="5640" max="5640" width="7.7109375" style="216" customWidth="1"/>
    <col min="5641" max="5641" width="12.28515625" style="216" customWidth="1"/>
    <col min="5642" max="5642" width="12.7109375" style="216" customWidth="1"/>
    <col min="5643" max="5643" width="14.140625" style="216" customWidth="1"/>
    <col min="5644" max="5644" width="11.140625" style="216" customWidth="1"/>
    <col min="5645" max="5889" width="9.140625" style="216"/>
    <col min="5890" max="5890" width="2.7109375" style="216" customWidth="1"/>
    <col min="5891" max="5891" width="9.140625" style="216"/>
    <col min="5892" max="5892" width="40.28515625" style="216" bestFit="1" customWidth="1"/>
    <col min="5893" max="5893" width="10.7109375" style="216" customWidth="1"/>
    <col min="5894" max="5894" width="10" style="216" customWidth="1"/>
    <col min="5895" max="5895" width="17.85546875" style="216" customWidth="1"/>
    <col min="5896" max="5896" width="7.7109375" style="216" customWidth="1"/>
    <col min="5897" max="5897" width="12.28515625" style="216" customWidth="1"/>
    <col min="5898" max="5898" width="12.7109375" style="216" customWidth="1"/>
    <col min="5899" max="5899" width="14.140625" style="216" customWidth="1"/>
    <col min="5900" max="5900" width="11.140625" style="216" customWidth="1"/>
    <col min="5901" max="6145" width="9.140625" style="216"/>
    <col min="6146" max="6146" width="2.7109375" style="216" customWidth="1"/>
    <col min="6147" max="6147" width="9.140625" style="216"/>
    <col min="6148" max="6148" width="40.28515625" style="216" bestFit="1" customWidth="1"/>
    <col min="6149" max="6149" width="10.7109375" style="216" customWidth="1"/>
    <col min="6150" max="6150" width="10" style="216" customWidth="1"/>
    <col min="6151" max="6151" width="17.85546875" style="216" customWidth="1"/>
    <col min="6152" max="6152" width="7.7109375" style="216" customWidth="1"/>
    <col min="6153" max="6153" width="12.28515625" style="216" customWidth="1"/>
    <col min="6154" max="6154" width="12.7109375" style="216" customWidth="1"/>
    <col min="6155" max="6155" width="14.140625" style="216" customWidth="1"/>
    <col min="6156" max="6156" width="11.140625" style="216" customWidth="1"/>
    <col min="6157" max="6401" width="9.140625" style="216"/>
    <col min="6402" max="6402" width="2.7109375" style="216" customWidth="1"/>
    <col min="6403" max="6403" width="9.140625" style="216"/>
    <col min="6404" max="6404" width="40.28515625" style="216" bestFit="1" customWidth="1"/>
    <col min="6405" max="6405" width="10.7109375" style="216" customWidth="1"/>
    <col min="6406" max="6406" width="10" style="216" customWidth="1"/>
    <col min="6407" max="6407" width="17.85546875" style="216" customWidth="1"/>
    <col min="6408" max="6408" width="7.7109375" style="216" customWidth="1"/>
    <col min="6409" max="6409" width="12.28515625" style="216" customWidth="1"/>
    <col min="6410" max="6410" width="12.7109375" style="216" customWidth="1"/>
    <col min="6411" max="6411" width="14.140625" style="216" customWidth="1"/>
    <col min="6412" max="6412" width="11.140625" style="216" customWidth="1"/>
    <col min="6413" max="6657" width="9.140625" style="216"/>
    <col min="6658" max="6658" width="2.7109375" style="216" customWidth="1"/>
    <col min="6659" max="6659" width="9.140625" style="216"/>
    <col min="6660" max="6660" width="40.28515625" style="216" bestFit="1" customWidth="1"/>
    <col min="6661" max="6661" width="10.7109375" style="216" customWidth="1"/>
    <col min="6662" max="6662" width="10" style="216" customWidth="1"/>
    <col min="6663" max="6663" width="17.85546875" style="216" customWidth="1"/>
    <col min="6664" max="6664" width="7.7109375" style="216" customWidth="1"/>
    <col min="6665" max="6665" width="12.28515625" style="216" customWidth="1"/>
    <col min="6666" max="6666" width="12.7109375" style="216" customWidth="1"/>
    <col min="6667" max="6667" width="14.140625" style="216" customWidth="1"/>
    <col min="6668" max="6668" width="11.140625" style="216" customWidth="1"/>
    <col min="6669" max="6913" width="9.140625" style="216"/>
    <col min="6914" max="6914" width="2.7109375" style="216" customWidth="1"/>
    <col min="6915" max="6915" width="9.140625" style="216"/>
    <col min="6916" max="6916" width="40.28515625" style="216" bestFit="1" customWidth="1"/>
    <col min="6917" max="6917" width="10.7109375" style="216" customWidth="1"/>
    <col min="6918" max="6918" width="10" style="216" customWidth="1"/>
    <col min="6919" max="6919" width="17.85546875" style="216" customWidth="1"/>
    <col min="6920" max="6920" width="7.7109375" style="216" customWidth="1"/>
    <col min="6921" max="6921" width="12.28515625" style="216" customWidth="1"/>
    <col min="6922" max="6922" width="12.7109375" style="216" customWidth="1"/>
    <col min="6923" max="6923" width="14.140625" style="216" customWidth="1"/>
    <col min="6924" max="6924" width="11.140625" style="216" customWidth="1"/>
    <col min="6925" max="7169" width="9.140625" style="216"/>
    <col min="7170" max="7170" width="2.7109375" style="216" customWidth="1"/>
    <col min="7171" max="7171" width="9.140625" style="216"/>
    <col min="7172" max="7172" width="40.28515625" style="216" bestFit="1" customWidth="1"/>
    <col min="7173" max="7173" width="10.7109375" style="216" customWidth="1"/>
    <col min="7174" max="7174" width="10" style="216" customWidth="1"/>
    <col min="7175" max="7175" width="17.85546875" style="216" customWidth="1"/>
    <col min="7176" max="7176" width="7.7109375" style="216" customWidth="1"/>
    <col min="7177" max="7177" width="12.28515625" style="216" customWidth="1"/>
    <col min="7178" max="7178" width="12.7109375" style="216" customWidth="1"/>
    <col min="7179" max="7179" width="14.140625" style="216" customWidth="1"/>
    <col min="7180" max="7180" width="11.140625" style="216" customWidth="1"/>
    <col min="7181" max="7425" width="9.140625" style="216"/>
    <col min="7426" max="7426" width="2.7109375" style="216" customWidth="1"/>
    <col min="7427" max="7427" width="9.140625" style="216"/>
    <col min="7428" max="7428" width="40.28515625" style="216" bestFit="1" customWidth="1"/>
    <col min="7429" max="7429" width="10.7109375" style="216" customWidth="1"/>
    <col min="7430" max="7430" width="10" style="216" customWidth="1"/>
    <col min="7431" max="7431" width="17.85546875" style="216" customWidth="1"/>
    <col min="7432" max="7432" width="7.7109375" style="216" customWidth="1"/>
    <col min="7433" max="7433" width="12.28515625" style="216" customWidth="1"/>
    <col min="7434" max="7434" width="12.7109375" style="216" customWidth="1"/>
    <col min="7435" max="7435" width="14.140625" style="216" customWidth="1"/>
    <col min="7436" max="7436" width="11.140625" style="216" customWidth="1"/>
    <col min="7437" max="7681" width="9.140625" style="216"/>
    <col min="7682" max="7682" width="2.7109375" style="216" customWidth="1"/>
    <col min="7683" max="7683" width="9.140625" style="216"/>
    <col min="7684" max="7684" width="40.28515625" style="216" bestFit="1" customWidth="1"/>
    <col min="7685" max="7685" width="10.7109375" style="216" customWidth="1"/>
    <col min="7686" max="7686" width="10" style="216" customWidth="1"/>
    <col min="7687" max="7687" width="17.85546875" style="216" customWidth="1"/>
    <col min="7688" max="7688" width="7.7109375" style="216" customWidth="1"/>
    <col min="7689" max="7689" width="12.28515625" style="216" customWidth="1"/>
    <col min="7690" max="7690" width="12.7109375" style="216" customWidth="1"/>
    <col min="7691" max="7691" width="14.140625" style="216" customWidth="1"/>
    <col min="7692" max="7692" width="11.140625" style="216" customWidth="1"/>
    <col min="7693" max="7937" width="9.140625" style="216"/>
    <col min="7938" max="7938" width="2.7109375" style="216" customWidth="1"/>
    <col min="7939" max="7939" width="9.140625" style="216"/>
    <col min="7940" max="7940" width="40.28515625" style="216" bestFit="1" customWidth="1"/>
    <col min="7941" max="7941" width="10.7109375" style="216" customWidth="1"/>
    <col min="7942" max="7942" width="10" style="216" customWidth="1"/>
    <col min="7943" max="7943" width="17.85546875" style="216" customWidth="1"/>
    <col min="7944" max="7944" width="7.7109375" style="216" customWidth="1"/>
    <col min="7945" max="7945" width="12.28515625" style="216" customWidth="1"/>
    <col min="7946" max="7946" width="12.7109375" style="216" customWidth="1"/>
    <col min="7947" max="7947" width="14.140625" style="216" customWidth="1"/>
    <col min="7948" max="7948" width="11.140625" style="216" customWidth="1"/>
    <col min="7949" max="8193" width="9.140625" style="216"/>
    <col min="8194" max="8194" width="2.7109375" style="216" customWidth="1"/>
    <col min="8195" max="8195" width="9.140625" style="216"/>
    <col min="8196" max="8196" width="40.28515625" style="216" bestFit="1" customWidth="1"/>
    <col min="8197" max="8197" width="10.7109375" style="216" customWidth="1"/>
    <col min="8198" max="8198" width="10" style="216" customWidth="1"/>
    <col min="8199" max="8199" width="17.85546875" style="216" customWidth="1"/>
    <col min="8200" max="8200" width="7.7109375" style="216" customWidth="1"/>
    <col min="8201" max="8201" width="12.28515625" style="216" customWidth="1"/>
    <col min="8202" max="8202" width="12.7109375" style="216" customWidth="1"/>
    <col min="8203" max="8203" width="14.140625" style="216" customWidth="1"/>
    <col min="8204" max="8204" width="11.140625" style="216" customWidth="1"/>
    <col min="8205" max="8449" width="9.140625" style="216"/>
    <col min="8450" max="8450" width="2.7109375" style="216" customWidth="1"/>
    <col min="8451" max="8451" width="9.140625" style="216"/>
    <col min="8452" max="8452" width="40.28515625" style="216" bestFit="1" customWidth="1"/>
    <col min="8453" max="8453" width="10.7109375" style="216" customWidth="1"/>
    <col min="8454" max="8454" width="10" style="216" customWidth="1"/>
    <col min="8455" max="8455" width="17.85546875" style="216" customWidth="1"/>
    <col min="8456" max="8456" width="7.7109375" style="216" customWidth="1"/>
    <col min="8457" max="8457" width="12.28515625" style="216" customWidth="1"/>
    <col min="8458" max="8458" width="12.7109375" style="216" customWidth="1"/>
    <col min="8459" max="8459" width="14.140625" style="216" customWidth="1"/>
    <col min="8460" max="8460" width="11.140625" style="216" customWidth="1"/>
    <col min="8461" max="8705" width="9.140625" style="216"/>
    <col min="8706" max="8706" width="2.7109375" style="216" customWidth="1"/>
    <col min="8707" max="8707" width="9.140625" style="216"/>
    <col min="8708" max="8708" width="40.28515625" style="216" bestFit="1" customWidth="1"/>
    <col min="8709" max="8709" width="10.7109375" style="216" customWidth="1"/>
    <col min="8710" max="8710" width="10" style="216" customWidth="1"/>
    <col min="8711" max="8711" width="17.85546875" style="216" customWidth="1"/>
    <col min="8712" max="8712" width="7.7109375" style="216" customWidth="1"/>
    <col min="8713" max="8713" width="12.28515625" style="216" customWidth="1"/>
    <col min="8714" max="8714" width="12.7109375" style="216" customWidth="1"/>
    <col min="8715" max="8715" width="14.140625" style="216" customWidth="1"/>
    <col min="8716" max="8716" width="11.140625" style="216" customWidth="1"/>
    <col min="8717" max="8961" width="9.140625" style="216"/>
    <col min="8962" max="8962" width="2.7109375" style="216" customWidth="1"/>
    <col min="8963" max="8963" width="9.140625" style="216"/>
    <col min="8964" max="8964" width="40.28515625" style="216" bestFit="1" customWidth="1"/>
    <col min="8965" max="8965" width="10.7109375" style="216" customWidth="1"/>
    <col min="8966" max="8966" width="10" style="216" customWidth="1"/>
    <col min="8967" max="8967" width="17.85546875" style="216" customWidth="1"/>
    <col min="8968" max="8968" width="7.7109375" style="216" customWidth="1"/>
    <col min="8969" max="8969" width="12.28515625" style="216" customWidth="1"/>
    <col min="8970" max="8970" width="12.7109375" style="216" customWidth="1"/>
    <col min="8971" max="8971" width="14.140625" style="216" customWidth="1"/>
    <col min="8972" max="8972" width="11.140625" style="216" customWidth="1"/>
    <col min="8973" max="9217" width="9.140625" style="216"/>
    <col min="9218" max="9218" width="2.7109375" style="216" customWidth="1"/>
    <col min="9219" max="9219" width="9.140625" style="216"/>
    <col min="9220" max="9220" width="40.28515625" style="216" bestFit="1" customWidth="1"/>
    <col min="9221" max="9221" width="10.7109375" style="216" customWidth="1"/>
    <col min="9222" max="9222" width="10" style="216" customWidth="1"/>
    <col min="9223" max="9223" width="17.85546875" style="216" customWidth="1"/>
    <col min="9224" max="9224" width="7.7109375" style="216" customWidth="1"/>
    <col min="9225" max="9225" width="12.28515625" style="216" customWidth="1"/>
    <col min="9226" max="9226" width="12.7109375" style="216" customWidth="1"/>
    <col min="9227" max="9227" width="14.140625" style="216" customWidth="1"/>
    <col min="9228" max="9228" width="11.140625" style="216" customWidth="1"/>
    <col min="9229" max="9473" width="9.140625" style="216"/>
    <col min="9474" max="9474" width="2.7109375" style="216" customWidth="1"/>
    <col min="9475" max="9475" width="9.140625" style="216"/>
    <col min="9476" max="9476" width="40.28515625" style="216" bestFit="1" customWidth="1"/>
    <col min="9477" max="9477" width="10.7109375" style="216" customWidth="1"/>
    <col min="9478" max="9478" width="10" style="216" customWidth="1"/>
    <col min="9479" max="9479" width="17.85546875" style="216" customWidth="1"/>
    <col min="9480" max="9480" width="7.7109375" style="216" customWidth="1"/>
    <col min="9481" max="9481" width="12.28515625" style="216" customWidth="1"/>
    <col min="9482" max="9482" width="12.7109375" style="216" customWidth="1"/>
    <col min="9483" max="9483" width="14.140625" style="216" customWidth="1"/>
    <col min="9484" max="9484" width="11.140625" style="216" customWidth="1"/>
    <col min="9485" max="9729" width="9.140625" style="216"/>
    <col min="9730" max="9730" width="2.7109375" style="216" customWidth="1"/>
    <col min="9731" max="9731" width="9.140625" style="216"/>
    <col min="9732" max="9732" width="40.28515625" style="216" bestFit="1" customWidth="1"/>
    <col min="9733" max="9733" width="10.7109375" style="216" customWidth="1"/>
    <col min="9734" max="9734" width="10" style="216" customWidth="1"/>
    <col min="9735" max="9735" width="17.85546875" style="216" customWidth="1"/>
    <col min="9736" max="9736" width="7.7109375" style="216" customWidth="1"/>
    <col min="9737" max="9737" width="12.28515625" style="216" customWidth="1"/>
    <col min="9738" max="9738" width="12.7109375" style="216" customWidth="1"/>
    <col min="9739" max="9739" width="14.140625" style="216" customWidth="1"/>
    <col min="9740" max="9740" width="11.140625" style="216" customWidth="1"/>
    <col min="9741" max="9985" width="9.140625" style="216"/>
    <col min="9986" max="9986" width="2.7109375" style="216" customWidth="1"/>
    <col min="9987" max="9987" width="9.140625" style="216"/>
    <col min="9988" max="9988" width="40.28515625" style="216" bestFit="1" customWidth="1"/>
    <col min="9989" max="9989" width="10.7109375" style="216" customWidth="1"/>
    <col min="9990" max="9990" width="10" style="216" customWidth="1"/>
    <col min="9991" max="9991" width="17.85546875" style="216" customWidth="1"/>
    <col min="9992" max="9992" width="7.7109375" style="216" customWidth="1"/>
    <col min="9993" max="9993" width="12.28515625" style="216" customWidth="1"/>
    <col min="9994" max="9994" width="12.7109375" style="216" customWidth="1"/>
    <col min="9995" max="9995" width="14.140625" style="216" customWidth="1"/>
    <col min="9996" max="9996" width="11.140625" style="216" customWidth="1"/>
    <col min="9997" max="10241" width="9.140625" style="216"/>
    <col min="10242" max="10242" width="2.7109375" style="216" customWidth="1"/>
    <col min="10243" max="10243" width="9.140625" style="216"/>
    <col min="10244" max="10244" width="40.28515625" style="216" bestFit="1" customWidth="1"/>
    <col min="10245" max="10245" width="10.7109375" style="216" customWidth="1"/>
    <col min="10246" max="10246" width="10" style="216" customWidth="1"/>
    <col min="10247" max="10247" width="17.85546875" style="216" customWidth="1"/>
    <col min="10248" max="10248" width="7.7109375" style="216" customWidth="1"/>
    <col min="10249" max="10249" width="12.28515625" style="216" customWidth="1"/>
    <col min="10250" max="10250" width="12.7109375" style="216" customWidth="1"/>
    <col min="10251" max="10251" width="14.140625" style="216" customWidth="1"/>
    <col min="10252" max="10252" width="11.140625" style="216" customWidth="1"/>
    <col min="10253" max="10497" width="9.140625" style="216"/>
    <col min="10498" max="10498" width="2.7109375" style="216" customWidth="1"/>
    <col min="10499" max="10499" width="9.140625" style="216"/>
    <col min="10500" max="10500" width="40.28515625" style="216" bestFit="1" customWidth="1"/>
    <col min="10501" max="10501" width="10.7109375" style="216" customWidth="1"/>
    <col min="10502" max="10502" width="10" style="216" customWidth="1"/>
    <col min="10503" max="10503" width="17.85546875" style="216" customWidth="1"/>
    <col min="10504" max="10504" width="7.7109375" style="216" customWidth="1"/>
    <col min="10505" max="10505" width="12.28515625" style="216" customWidth="1"/>
    <col min="10506" max="10506" width="12.7109375" style="216" customWidth="1"/>
    <col min="10507" max="10507" width="14.140625" style="216" customWidth="1"/>
    <col min="10508" max="10508" width="11.140625" style="216" customWidth="1"/>
    <col min="10509" max="10753" width="9.140625" style="216"/>
    <col min="10754" max="10754" width="2.7109375" style="216" customWidth="1"/>
    <col min="10755" max="10755" width="9.140625" style="216"/>
    <col min="10756" max="10756" width="40.28515625" style="216" bestFit="1" customWidth="1"/>
    <col min="10757" max="10757" width="10.7109375" style="216" customWidth="1"/>
    <col min="10758" max="10758" width="10" style="216" customWidth="1"/>
    <col min="10759" max="10759" width="17.85546875" style="216" customWidth="1"/>
    <col min="10760" max="10760" width="7.7109375" style="216" customWidth="1"/>
    <col min="10761" max="10761" width="12.28515625" style="216" customWidth="1"/>
    <col min="10762" max="10762" width="12.7109375" style="216" customWidth="1"/>
    <col min="10763" max="10763" width="14.140625" style="216" customWidth="1"/>
    <col min="10764" max="10764" width="11.140625" style="216" customWidth="1"/>
    <col min="10765" max="11009" width="9.140625" style="216"/>
    <col min="11010" max="11010" width="2.7109375" style="216" customWidth="1"/>
    <col min="11011" max="11011" width="9.140625" style="216"/>
    <col min="11012" max="11012" width="40.28515625" style="216" bestFit="1" customWidth="1"/>
    <col min="11013" max="11013" width="10.7109375" style="216" customWidth="1"/>
    <col min="11014" max="11014" width="10" style="216" customWidth="1"/>
    <col min="11015" max="11015" width="17.85546875" style="216" customWidth="1"/>
    <col min="11016" max="11016" width="7.7109375" style="216" customWidth="1"/>
    <col min="11017" max="11017" width="12.28515625" style="216" customWidth="1"/>
    <col min="11018" max="11018" width="12.7109375" style="216" customWidth="1"/>
    <col min="11019" max="11019" width="14.140625" style="216" customWidth="1"/>
    <col min="11020" max="11020" width="11.140625" style="216" customWidth="1"/>
    <col min="11021" max="11265" width="9.140625" style="216"/>
    <col min="11266" max="11266" width="2.7109375" style="216" customWidth="1"/>
    <col min="11267" max="11267" width="9.140625" style="216"/>
    <col min="11268" max="11268" width="40.28515625" style="216" bestFit="1" customWidth="1"/>
    <col min="11269" max="11269" width="10.7109375" style="216" customWidth="1"/>
    <col min="11270" max="11270" width="10" style="216" customWidth="1"/>
    <col min="11271" max="11271" width="17.85546875" style="216" customWidth="1"/>
    <col min="11272" max="11272" width="7.7109375" style="216" customWidth="1"/>
    <col min="11273" max="11273" width="12.28515625" style="216" customWidth="1"/>
    <col min="11274" max="11274" width="12.7109375" style="216" customWidth="1"/>
    <col min="11275" max="11275" width="14.140625" style="216" customWidth="1"/>
    <col min="11276" max="11276" width="11.140625" style="216" customWidth="1"/>
    <col min="11277" max="11521" width="9.140625" style="216"/>
    <col min="11522" max="11522" width="2.7109375" style="216" customWidth="1"/>
    <col min="11523" max="11523" width="9.140625" style="216"/>
    <col min="11524" max="11524" width="40.28515625" style="216" bestFit="1" customWidth="1"/>
    <col min="11525" max="11525" width="10.7109375" style="216" customWidth="1"/>
    <col min="11526" max="11526" width="10" style="216" customWidth="1"/>
    <col min="11527" max="11527" width="17.85546875" style="216" customWidth="1"/>
    <col min="11528" max="11528" width="7.7109375" style="216" customWidth="1"/>
    <col min="11529" max="11529" width="12.28515625" style="216" customWidth="1"/>
    <col min="11530" max="11530" width="12.7109375" style="216" customWidth="1"/>
    <col min="11531" max="11531" width="14.140625" style="216" customWidth="1"/>
    <col min="11532" max="11532" width="11.140625" style="216" customWidth="1"/>
    <col min="11533" max="11777" width="9.140625" style="216"/>
    <col min="11778" max="11778" width="2.7109375" style="216" customWidth="1"/>
    <col min="11779" max="11779" width="9.140625" style="216"/>
    <col min="11780" max="11780" width="40.28515625" style="216" bestFit="1" customWidth="1"/>
    <col min="11781" max="11781" width="10.7109375" style="216" customWidth="1"/>
    <col min="11782" max="11782" width="10" style="216" customWidth="1"/>
    <col min="11783" max="11783" width="17.85546875" style="216" customWidth="1"/>
    <col min="11784" max="11784" width="7.7109375" style="216" customWidth="1"/>
    <col min="11785" max="11785" width="12.28515625" style="216" customWidth="1"/>
    <col min="11786" max="11786" width="12.7109375" style="216" customWidth="1"/>
    <col min="11787" max="11787" width="14.140625" style="216" customWidth="1"/>
    <col min="11788" max="11788" width="11.140625" style="216" customWidth="1"/>
    <col min="11789" max="12033" width="9.140625" style="216"/>
    <col min="12034" max="12034" width="2.7109375" style="216" customWidth="1"/>
    <col min="12035" max="12035" width="9.140625" style="216"/>
    <col min="12036" max="12036" width="40.28515625" style="216" bestFit="1" customWidth="1"/>
    <col min="12037" max="12037" width="10.7109375" style="216" customWidth="1"/>
    <col min="12038" max="12038" width="10" style="216" customWidth="1"/>
    <col min="12039" max="12039" width="17.85546875" style="216" customWidth="1"/>
    <col min="12040" max="12040" width="7.7109375" style="216" customWidth="1"/>
    <col min="12041" max="12041" width="12.28515625" style="216" customWidth="1"/>
    <col min="12042" max="12042" width="12.7109375" style="216" customWidth="1"/>
    <col min="12043" max="12043" width="14.140625" style="216" customWidth="1"/>
    <col min="12044" max="12044" width="11.140625" style="216" customWidth="1"/>
    <col min="12045" max="12289" width="9.140625" style="216"/>
    <col min="12290" max="12290" width="2.7109375" style="216" customWidth="1"/>
    <col min="12291" max="12291" width="9.140625" style="216"/>
    <col min="12292" max="12292" width="40.28515625" style="216" bestFit="1" customWidth="1"/>
    <col min="12293" max="12293" width="10.7109375" style="216" customWidth="1"/>
    <col min="12294" max="12294" width="10" style="216" customWidth="1"/>
    <col min="12295" max="12295" width="17.85546875" style="216" customWidth="1"/>
    <col min="12296" max="12296" width="7.7109375" style="216" customWidth="1"/>
    <col min="12297" max="12297" width="12.28515625" style="216" customWidth="1"/>
    <col min="12298" max="12298" width="12.7109375" style="216" customWidth="1"/>
    <col min="12299" max="12299" width="14.140625" style="216" customWidth="1"/>
    <col min="12300" max="12300" width="11.140625" style="216" customWidth="1"/>
    <col min="12301" max="12545" width="9.140625" style="216"/>
    <col min="12546" max="12546" width="2.7109375" style="216" customWidth="1"/>
    <col min="12547" max="12547" width="9.140625" style="216"/>
    <col min="12548" max="12548" width="40.28515625" style="216" bestFit="1" customWidth="1"/>
    <col min="12549" max="12549" width="10.7109375" style="216" customWidth="1"/>
    <col min="12550" max="12550" width="10" style="216" customWidth="1"/>
    <col min="12551" max="12551" width="17.85546875" style="216" customWidth="1"/>
    <col min="12552" max="12552" width="7.7109375" style="216" customWidth="1"/>
    <col min="12553" max="12553" width="12.28515625" style="216" customWidth="1"/>
    <col min="12554" max="12554" width="12.7109375" style="216" customWidth="1"/>
    <col min="12555" max="12555" width="14.140625" style="216" customWidth="1"/>
    <col min="12556" max="12556" width="11.140625" style="216" customWidth="1"/>
    <col min="12557" max="12801" width="9.140625" style="216"/>
    <col min="12802" max="12802" width="2.7109375" style="216" customWidth="1"/>
    <col min="12803" max="12803" width="9.140625" style="216"/>
    <col min="12804" max="12804" width="40.28515625" style="216" bestFit="1" customWidth="1"/>
    <col min="12805" max="12805" width="10.7109375" style="216" customWidth="1"/>
    <col min="12806" max="12806" width="10" style="216" customWidth="1"/>
    <col min="12807" max="12807" width="17.85546875" style="216" customWidth="1"/>
    <col min="12808" max="12808" width="7.7109375" style="216" customWidth="1"/>
    <col min="12809" max="12809" width="12.28515625" style="216" customWidth="1"/>
    <col min="12810" max="12810" width="12.7109375" style="216" customWidth="1"/>
    <col min="12811" max="12811" width="14.140625" style="216" customWidth="1"/>
    <col min="12812" max="12812" width="11.140625" style="216" customWidth="1"/>
    <col min="12813" max="13057" width="9.140625" style="216"/>
    <col min="13058" max="13058" width="2.7109375" style="216" customWidth="1"/>
    <col min="13059" max="13059" width="9.140625" style="216"/>
    <col min="13060" max="13060" width="40.28515625" style="216" bestFit="1" customWidth="1"/>
    <col min="13061" max="13061" width="10.7109375" style="216" customWidth="1"/>
    <col min="13062" max="13062" width="10" style="216" customWidth="1"/>
    <col min="13063" max="13063" width="17.85546875" style="216" customWidth="1"/>
    <col min="13064" max="13064" width="7.7109375" style="216" customWidth="1"/>
    <col min="13065" max="13065" width="12.28515625" style="216" customWidth="1"/>
    <col min="13066" max="13066" width="12.7109375" style="216" customWidth="1"/>
    <col min="13067" max="13067" width="14.140625" style="216" customWidth="1"/>
    <col min="13068" max="13068" width="11.140625" style="216" customWidth="1"/>
    <col min="13069" max="13313" width="9.140625" style="216"/>
    <col min="13314" max="13314" width="2.7109375" style="216" customWidth="1"/>
    <col min="13315" max="13315" width="9.140625" style="216"/>
    <col min="13316" max="13316" width="40.28515625" style="216" bestFit="1" customWidth="1"/>
    <col min="13317" max="13317" width="10.7109375" style="216" customWidth="1"/>
    <col min="13318" max="13318" width="10" style="216" customWidth="1"/>
    <col min="13319" max="13319" width="17.85546875" style="216" customWidth="1"/>
    <col min="13320" max="13320" width="7.7109375" style="216" customWidth="1"/>
    <col min="13321" max="13321" width="12.28515625" style="216" customWidth="1"/>
    <col min="13322" max="13322" width="12.7109375" style="216" customWidth="1"/>
    <col min="13323" max="13323" width="14.140625" style="216" customWidth="1"/>
    <col min="13324" max="13324" width="11.140625" style="216" customWidth="1"/>
    <col min="13325" max="13569" width="9.140625" style="216"/>
    <col min="13570" max="13570" width="2.7109375" style="216" customWidth="1"/>
    <col min="13571" max="13571" width="9.140625" style="216"/>
    <col min="13572" max="13572" width="40.28515625" style="216" bestFit="1" customWidth="1"/>
    <col min="13573" max="13573" width="10.7109375" style="216" customWidth="1"/>
    <col min="13574" max="13574" width="10" style="216" customWidth="1"/>
    <col min="13575" max="13575" width="17.85546875" style="216" customWidth="1"/>
    <col min="13576" max="13576" width="7.7109375" style="216" customWidth="1"/>
    <col min="13577" max="13577" width="12.28515625" style="216" customWidth="1"/>
    <col min="13578" max="13578" width="12.7109375" style="216" customWidth="1"/>
    <col min="13579" max="13579" width="14.140625" style="216" customWidth="1"/>
    <col min="13580" max="13580" width="11.140625" style="216" customWidth="1"/>
    <col min="13581" max="13825" width="9.140625" style="216"/>
    <col min="13826" max="13826" width="2.7109375" style="216" customWidth="1"/>
    <col min="13827" max="13827" width="9.140625" style="216"/>
    <col min="13828" max="13828" width="40.28515625" style="216" bestFit="1" customWidth="1"/>
    <col min="13829" max="13829" width="10.7109375" style="216" customWidth="1"/>
    <col min="13830" max="13830" width="10" style="216" customWidth="1"/>
    <col min="13831" max="13831" width="17.85546875" style="216" customWidth="1"/>
    <col min="13832" max="13832" width="7.7109375" style="216" customWidth="1"/>
    <col min="13833" max="13833" width="12.28515625" style="216" customWidth="1"/>
    <col min="13834" max="13834" width="12.7109375" style="216" customWidth="1"/>
    <col min="13835" max="13835" width="14.140625" style="216" customWidth="1"/>
    <col min="13836" max="13836" width="11.140625" style="216" customWidth="1"/>
    <col min="13837" max="14081" width="9.140625" style="216"/>
    <col min="14082" max="14082" width="2.7109375" style="216" customWidth="1"/>
    <col min="14083" max="14083" width="9.140625" style="216"/>
    <col min="14084" max="14084" width="40.28515625" style="216" bestFit="1" customWidth="1"/>
    <col min="14085" max="14085" width="10.7109375" style="216" customWidth="1"/>
    <col min="14086" max="14086" width="10" style="216" customWidth="1"/>
    <col min="14087" max="14087" width="17.85546875" style="216" customWidth="1"/>
    <col min="14088" max="14088" width="7.7109375" style="216" customWidth="1"/>
    <col min="14089" max="14089" width="12.28515625" style="216" customWidth="1"/>
    <col min="14090" max="14090" width="12.7109375" style="216" customWidth="1"/>
    <col min="14091" max="14091" width="14.140625" style="216" customWidth="1"/>
    <col min="14092" max="14092" width="11.140625" style="216" customWidth="1"/>
    <col min="14093" max="14337" width="9.140625" style="216"/>
    <col min="14338" max="14338" width="2.7109375" style="216" customWidth="1"/>
    <col min="14339" max="14339" width="9.140625" style="216"/>
    <col min="14340" max="14340" width="40.28515625" style="216" bestFit="1" customWidth="1"/>
    <col min="14341" max="14341" width="10.7109375" style="216" customWidth="1"/>
    <col min="14342" max="14342" width="10" style="216" customWidth="1"/>
    <col min="14343" max="14343" width="17.85546875" style="216" customWidth="1"/>
    <col min="14344" max="14344" width="7.7109375" style="216" customWidth="1"/>
    <col min="14345" max="14345" width="12.28515625" style="216" customWidth="1"/>
    <col min="14346" max="14346" width="12.7109375" style="216" customWidth="1"/>
    <col min="14347" max="14347" width="14.140625" style="216" customWidth="1"/>
    <col min="14348" max="14348" width="11.140625" style="216" customWidth="1"/>
    <col min="14349" max="14593" width="9.140625" style="216"/>
    <col min="14594" max="14594" width="2.7109375" style="216" customWidth="1"/>
    <col min="14595" max="14595" width="9.140625" style="216"/>
    <col min="14596" max="14596" width="40.28515625" style="216" bestFit="1" customWidth="1"/>
    <col min="14597" max="14597" width="10.7109375" style="216" customWidth="1"/>
    <col min="14598" max="14598" width="10" style="216" customWidth="1"/>
    <col min="14599" max="14599" width="17.85546875" style="216" customWidth="1"/>
    <col min="14600" max="14600" width="7.7109375" style="216" customWidth="1"/>
    <col min="14601" max="14601" width="12.28515625" style="216" customWidth="1"/>
    <col min="14602" max="14602" width="12.7109375" style="216" customWidth="1"/>
    <col min="14603" max="14603" width="14.140625" style="216" customWidth="1"/>
    <col min="14604" max="14604" width="11.140625" style="216" customWidth="1"/>
    <col min="14605" max="14849" width="9.140625" style="216"/>
    <col min="14850" max="14850" width="2.7109375" style="216" customWidth="1"/>
    <col min="14851" max="14851" width="9.140625" style="216"/>
    <col min="14852" max="14852" width="40.28515625" style="216" bestFit="1" customWidth="1"/>
    <col min="14853" max="14853" width="10.7109375" style="216" customWidth="1"/>
    <col min="14854" max="14854" width="10" style="216" customWidth="1"/>
    <col min="14855" max="14855" width="17.85546875" style="216" customWidth="1"/>
    <col min="14856" max="14856" width="7.7109375" style="216" customWidth="1"/>
    <col min="14857" max="14857" width="12.28515625" style="216" customWidth="1"/>
    <col min="14858" max="14858" width="12.7109375" style="216" customWidth="1"/>
    <col min="14859" max="14859" width="14.140625" style="216" customWidth="1"/>
    <col min="14860" max="14860" width="11.140625" style="216" customWidth="1"/>
    <col min="14861" max="15105" width="9.140625" style="216"/>
    <col min="15106" max="15106" width="2.7109375" style="216" customWidth="1"/>
    <col min="15107" max="15107" width="9.140625" style="216"/>
    <col min="15108" max="15108" width="40.28515625" style="216" bestFit="1" customWidth="1"/>
    <col min="15109" max="15109" width="10.7109375" style="216" customWidth="1"/>
    <col min="15110" max="15110" width="10" style="216" customWidth="1"/>
    <col min="15111" max="15111" width="17.85546875" style="216" customWidth="1"/>
    <col min="15112" max="15112" width="7.7109375" style="216" customWidth="1"/>
    <col min="15113" max="15113" width="12.28515625" style="216" customWidth="1"/>
    <col min="15114" max="15114" width="12.7109375" style="216" customWidth="1"/>
    <col min="15115" max="15115" width="14.140625" style="216" customWidth="1"/>
    <col min="15116" max="15116" width="11.140625" style="216" customWidth="1"/>
    <col min="15117" max="15361" width="9.140625" style="216"/>
    <col min="15362" max="15362" width="2.7109375" style="216" customWidth="1"/>
    <col min="15363" max="15363" width="9.140625" style="216"/>
    <col min="15364" max="15364" width="40.28515625" style="216" bestFit="1" customWidth="1"/>
    <col min="15365" max="15365" width="10.7109375" style="216" customWidth="1"/>
    <col min="15366" max="15366" width="10" style="216" customWidth="1"/>
    <col min="15367" max="15367" width="17.85546875" style="216" customWidth="1"/>
    <col min="15368" max="15368" width="7.7109375" style="216" customWidth="1"/>
    <col min="15369" max="15369" width="12.28515625" style="216" customWidth="1"/>
    <col min="15370" max="15370" width="12.7109375" style="216" customWidth="1"/>
    <col min="15371" max="15371" width="14.140625" style="216" customWidth="1"/>
    <col min="15372" max="15372" width="11.140625" style="216" customWidth="1"/>
    <col min="15373" max="15617" width="9.140625" style="216"/>
    <col min="15618" max="15618" width="2.7109375" style="216" customWidth="1"/>
    <col min="15619" max="15619" width="9.140625" style="216"/>
    <col min="15620" max="15620" width="40.28515625" style="216" bestFit="1" customWidth="1"/>
    <col min="15621" max="15621" width="10.7109375" style="216" customWidth="1"/>
    <col min="15622" max="15622" width="10" style="216" customWidth="1"/>
    <col min="15623" max="15623" width="17.85546875" style="216" customWidth="1"/>
    <col min="15624" max="15624" width="7.7109375" style="216" customWidth="1"/>
    <col min="15625" max="15625" width="12.28515625" style="216" customWidth="1"/>
    <col min="15626" max="15626" width="12.7109375" style="216" customWidth="1"/>
    <col min="15627" max="15627" width="14.140625" style="216" customWidth="1"/>
    <col min="15628" max="15628" width="11.140625" style="216" customWidth="1"/>
    <col min="15629" max="15873" width="9.140625" style="216"/>
    <col min="15874" max="15874" width="2.7109375" style="216" customWidth="1"/>
    <col min="15875" max="15875" width="9.140625" style="216"/>
    <col min="15876" max="15876" width="40.28515625" style="216" bestFit="1" customWidth="1"/>
    <col min="15877" max="15877" width="10.7109375" style="216" customWidth="1"/>
    <col min="15878" max="15878" width="10" style="216" customWidth="1"/>
    <col min="15879" max="15879" width="17.85546875" style="216" customWidth="1"/>
    <col min="15880" max="15880" width="7.7109375" style="216" customWidth="1"/>
    <col min="15881" max="15881" width="12.28515625" style="216" customWidth="1"/>
    <col min="15882" max="15882" width="12.7109375" style="216" customWidth="1"/>
    <col min="15883" max="15883" width="14.140625" style="216" customWidth="1"/>
    <col min="15884" max="15884" width="11.140625" style="216" customWidth="1"/>
    <col min="15885" max="16129" width="9.140625" style="216"/>
    <col min="16130" max="16130" width="2.7109375" style="216" customWidth="1"/>
    <col min="16131" max="16131" width="9.140625" style="216"/>
    <col min="16132" max="16132" width="40.28515625" style="216" bestFit="1" customWidth="1"/>
    <col min="16133" max="16133" width="10.7109375" style="216" customWidth="1"/>
    <col min="16134" max="16134" width="10" style="216" customWidth="1"/>
    <col min="16135" max="16135" width="17.85546875" style="216" customWidth="1"/>
    <col min="16136" max="16136" width="7.7109375" style="216" customWidth="1"/>
    <col min="16137" max="16137" width="12.28515625" style="216" customWidth="1"/>
    <col min="16138" max="16138" width="12.7109375" style="216" customWidth="1"/>
    <col min="16139" max="16139" width="14.140625" style="216" customWidth="1"/>
    <col min="16140" max="16140" width="11.140625" style="216" customWidth="1"/>
    <col min="16141" max="16384" width="9.140625" style="216"/>
  </cols>
  <sheetData>
    <row r="1" spans="1:13" x14ac:dyDescent="0.2">
      <c r="K1" s="217" t="s">
        <v>419</v>
      </c>
      <c r="L1" s="766" t="str">
        <f>EBNUMBER</f>
        <v>EB-2014-0113</v>
      </c>
      <c r="M1" s="219"/>
    </row>
    <row r="2" spans="1:13" x14ac:dyDescent="0.2">
      <c r="K2" s="217" t="s">
        <v>420</v>
      </c>
      <c r="L2" s="767">
        <v>2</v>
      </c>
      <c r="M2" s="219"/>
    </row>
    <row r="3" spans="1:13" x14ac:dyDescent="0.2">
      <c r="K3" s="217" t="s">
        <v>421</v>
      </c>
      <c r="L3" s="767">
        <v>2</v>
      </c>
      <c r="M3" s="219"/>
    </row>
    <row r="4" spans="1:13" x14ac:dyDescent="0.2">
      <c r="K4" s="217" t="s">
        <v>422</v>
      </c>
      <c r="L4" s="767">
        <v>2</v>
      </c>
      <c r="M4" s="219"/>
    </row>
    <row r="5" spans="1:13" x14ac:dyDescent="0.2">
      <c r="K5" s="217" t="s">
        <v>423</v>
      </c>
      <c r="L5" s="768"/>
      <c r="M5" s="219"/>
    </row>
    <row r="6" spans="1:13" x14ac:dyDescent="0.2">
      <c r="K6" s="217"/>
      <c r="L6" s="766"/>
      <c r="M6" s="219"/>
    </row>
    <row r="7" spans="1:13" x14ac:dyDescent="0.2">
      <c r="K7" s="217" t="s">
        <v>424</v>
      </c>
      <c r="L7" s="1467">
        <v>42119</v>
      </c>
      <c r="M7" s="220"/>
    </row>
    <row r="9" spans="1:13" ht="18" x14ac:dyDescent="0.25">
      <c r="A9" s="1856" t="s">
        <v>2150</v>
      </c>
      <c r="B9" s="1856"/>
      <c r="C9" s="1856"/>
      <c r="D9" s="1856"/>
      <c r="E9" s="1856"/>
      <c r="F9" s="1856"/>
      <c r="G9" s="1856"/>
      <c r="H9" s="1856"/>
      <c r="I9" s="1856"/>
      <c r="J9" s="1856"/>
      <c r="K9" s="1856"/>
      <c r="L9" s="1856"/>
    </row>
    <row r="10" spans="1:13" ht="18" x14ac:dyDescent="0.25">
      <c r="A10" s="1856" t="s">
        <v>3</v>
      </c>
      <c r="B10" s="1856"/>
      <c r="C10" s="1856"/>
      <c r="D10" s="1856"/>
      <c r="E10" s="1856"/>
      <c r="F10" s="1856"/>
      <c r="G10" s="1856"/>
      <c r="H10" s="1856"/>
      <c r="I10" s="1856"/>
      <c r="J10" s="1856"/>
      <c r="K10" s="1856"/>
      <c r="L10" s="1856"/>
    </row>
    <row r="11" spans="1:13" ht="18.75" customHeight="1" x14ac:dyDescent="0.2">
      <c r="A11" s="1877" t="s">
        <v>795</v>
      </c>
      <c r="B11" s="1877"/>
      <c r="C11" s="1877"/>
      <c r="D11" s="1877"/>
      <c r="E11" s="1877"/>
      <c r="F11" s="1877"/>
      <c r="G11" s="1877"/>
      <c r="H11" s="1877"/>
      <c r="I11" s="1877"/>
      <c r="J11" s="1877"/>
      <c r="K11" s="1877"/>
      <c r="L11" s="1877"/>
    </row>
    <row r="12" spans="1:13" ht="13.5" customHeight="1" x14ac:dyDescent="0.25">
      <c r="A12" s="671"/>
      <c r="B12" s="671"/>
      <c r="C12" s="676" t="s">
        <v>40</v>
      </c>
      <c r="D12" s="664">
        <v>2013</v>
      </c>
      <c r="E12" s="676" t="s">
        <v>161</v>
      </c>
      <c r="H12" s="671"/>
      <c r="I12" s="671"/>
      <c r="J12" s="671"/>
    </row>
    <row r="13" spans="1:13" ht="15" customHeight="1" thickBot="1" x14ac:dyDescent="0.25"/>
    <row r="14" spans="1:13" ht="63.75" customHeight="1" x14ac:dyDescent="0.2">
      <c r="A14" s="1871" t="s">
        <v>4</v>
      </c>
      <c r="B14" s="1873" t="s">
        <v>346</v>
      </c>
      <c r="C14" s="221" t="s">
        <v>796</v>
      </c>
      <c r="D14" s="221" t="s">
        <v>710</v>
      </c>
      <c r="E14" s="221" t="s">
        <v>711</v>
      </c>
      <c r="F14" s="221" t="s">
        <v>348</v>
      </c>
      <c r="G14" s="221" t="s">
        <v>7</v>
      </c>
      <c r="H14" s="221" t="s">
        <v>8</v>
      </c>
      <c r="I14" s="221" t="s">
        <v>416</v>
      </c>
      <c r="J14" s="222" t="s">
        <v>797</v>
      </c>
      <c r="K14" s="1880" t="s">
        <v>708</v>
      </c>
      <c r="L14" s="222" t="s">
        <v>523</v>
      </c>
    </row>
    <row r="15" spans="1:13" ht="19.5" customHeight="1" thickBot="1" x14ac:dyDescent="0.25">
      <c r="A15" s="1878"/>
      <c r="B15" s="1879"/>
      <c r="C15" s="294" t="s">
        <v>5</v>
      </c>
      <c r="D15" s="294" t="s">
        <v>712</v>
      </c>
      <c r="E15" s="294" t="s">
        <v>713</v>
      </c>
      <c r="F15" s="294" t="s">
        <v>6</v>
      </c>
      <c r="G15" s="307" t="s">
        <v>716</v>
      </c>
      <c r="H15" s="294" t="s">
        <v>9</v>
      </c>
      <c r="I15" s="294" t="s">
        <v>10</v>
      </c>
      <c r="J15" s="296" t="s">
        <v>12</v>
      </c>
      <c r="K15" s="1881"/>
      <c r="L15" s="296" t="s">
        <v>517</v>
      </c>
    </row>
    <row r="16" spans="1:13" ht="25.5" x14ac:dyDescent="0.2">
      <c r="A16" s="843">
        <v>1611</v>
      </c>
      <c r="B16" s="839" t="s">
        <v>515</v>
      </c>
      <c r="C16" s="204"/>
      <c r="D16" s="204"/>
      <c r="E16" s="796">
        <f>C16-D16</f>
        <v>0</v>
      </c>
      <c r="F16" s="204"/>
      <c r="G16" s="796">
        <f>E16+0.5*F16</f>
        <v>0</v>
      </c>
      <c r="H16" s="293"/>
      <c r="I16" s="594">
        <f t="shared" ref="I16:I55" si="0">IF(H16=0,0,1/H16)</f>
        <v>0</v>
      </c>
      <c r="J16" s="796">
        <f t="shared" ref="J16:J55" si="1">IF(H16=0,0,G16/H16)</f>
        <v>0</v>
      </c>
      <c r="K16" s="204"/>
      <c r="L16" s="796">
        <f t="shared" ref="L16:L55" si="2">IF(ISERROR(+J16-K16), 0, +J16-K16)</f>
        <v>0</v>
      </c>
    </row>
    <row r="17" spans="1:12" ht="25.5" x14ac:dyDescent="0.2">
      <c r="A17" s="828">
        <v>1612</v>
      </c>
      <c r="B17" s="783" t="s">
        <v>650</v>
      </c>
      <c r="C17" s="204"/>
      <c r="D17" s="204"/>
      <c r="E17" s="796">
        <f t="shared" ref="E17:E55" si="3">C17-D17</f>
        <v>0</v>
      </c>
      <c r="F17" s="204"/>
      <c r="G17" s="796">
        <f t="shared" ref="G17:G55" si="4">E17+0.5*F17</f>
        <v>0</v>
      </c>
      <c r="H17" s="282"/>
      <c r="I17" s="586">
        <f t="shared" si="0"/>
        <v>0</v>
      </c>
      <c r="J17" s="796">
        <f t="shared" si="1"/>
        <v>0</v>
      </c>
      <c r="K17" s="204"/>
      <c r="L17" s="796">
        <f t="shared" si="2"/>
        <v>0</v>
      </c>
    </row>
    <row r="18" spans="1:12" x14ac:dyDescent="0.2">
      <c r="A18" s="829">
        <v>1805</v>
      </c>
      <c r="B18" s="786" t="s">
        <v>383</v>
      </c>
      <c r="C18" s="204"/>
      <c r="D18" s="204"/>
      <c r="E18" s="796">
        <f t="shared" si="3"/>
        <v>0</v>
      </c>
      <c r="F18" s="204"/>
      <c r="G18" s="796">
        <f t="shared" si="4"/>
        <v>0</v>
      </c>
      <c r="H18" s="282"/>
      <c r="I18" s="586">
        <f t="shared" si="0"/>
        <v>0</v>
      </c>
      <c r="J18" s="796">
        <f t="shared" si="1"/>
        <v>0</v>
      </c>
      <c r="K18" s="204"/>
      <c r="L18" s="796">
        <f t="shared" si="2"/>
        <v>0</v>
      </c>
    </row>
    <row r="19" spans="1:12" x14ac:dyDescent="0.2">
      <c r="A19" s="828">
        <v>1808</v>
      </c>
      <c r="B19" s="787" t="s">
        <v>384</v>
      </c>
      <c r="C19" s="204"/>
      <c r="D19" s="204"/>
      <c r="E19" s="796">
        <f t="shared" si="3"/>
        <v>0</v>
      </c>
      <c r="F19" s="204"/>
      <c r="G19" s="796">
        <f t="shared" si="4"/>
        <v>0</v>
      </c>
      <c r="H19" s="282"/>
      <c r="I19" s="586">
        <f t="shared" si="0"/>
        <v>0</v>
      </c>
      <c r="J19" s="796">
        <f t="shared" si="1"/>
        <v>0</v>
      </c>
      <c r="K19" s="204"/>
      <c r="L19" s="796">
        <f t="shared" si="2"/>
        <v>0</v>
      </c>
    </row>
    <row r="20" spans="1:12" x14ac:dyDescent="0.2">
      <c r="A20" s="828">
        <v>1810</v>
      </c>
      <c r="B20" s="787" t="s">
        <v>417</v>
      </c>
      <c r="C20" s="204"/>
      <c r="D20" s="204"/>
      <c r="E20" s="796">
        <f t="shared" si="3"/>
        <v>0</v>
      </c>
      <c r="F20" s="204"/>
      <c r="G20" s="796">
        <f t="shared" si="4"/>
        <v>0</v>
      </c>
      <c r="H20" s="282"/>
      <c r="I20" s="586">
        <f t="shared" si="0"/>
        <v>0</v>
      </c>
      <c r="J20" s="796">
        <f t="shared" si="1"/>
        <v>0</v>
      </c>
      <c r="K20" s="204"/>
      <c r="L20" s="796">
        <f t="shared" si="2"/>
        <v>0</v>
      </c>
    </row>
    <row r="21" spans="1:12" x14ac:dyDescent="0.2">
      <c r="A21" s="828">
        <v>1815</v>
      </c>
      <c r="B21" s="787" t="s">
        <v>385</v>
      </c>
      <c r="C21" s="204"/>
      <c r="D21" s="204"/>
      <c r="E21" s="796">
        <f t="shared" si="3"/>
        <v>0</v>
      </c>
      <c r="F21" s="204"/>
      <c r="G21" s="796">
        <f t="shared" si="4"/>
        <v>0</v>
      </c>
      <c r="H21" s="282"/>
      <c r="I21" s="586">
        <f t="shared" si="0"/>
        <v>0</v>
      </c>
      <c r="J21" s="796">
        <f t="shared" si="1"/>
        <v>0</v>
      </c>
      <c r="K21" s="204"/>
      <c r="L21" s="796">
        <f t="shared" si="2"/>
        <v>0</v>
      </c>
    </row>
    <row r="22" spans="1:12" x14ac:dyDescent="0.2">
      <c r="A22" s="828">
        <v>1820</v>
      </c>
      <c r="B22" s="783" t="s">
        <v>306</v>
      </c>
      <c r="C22" s="204"/>
      <c r="D22" s="204"/>
      <c r="E22" s="796">
        <f t="shared" si="3"/>
        <v>0</v>
      </c>
      <c r="F22" s="204"/>
      <c r="G22" s="796">
        <f t="shared" si="4"/>
        <v>0</v>
      </c>
      <c r="H22" s="282"/>
      <c r="I22" s="586">
        <f t="shared" si="0"/>
        <v>0</v>
      </c>
      <c r="J22" s="796">
        <f t="shared" si="1"/>
        <v>0</v>
      </c>
      <c r="K22" s="204"/>
      <c r="L22" s="796">
        <f t="shared" si="2"/>
        <v>0</v>
      </c>
    </row>
    <row r="23" spans="1:12" x14ac:dyDescent="0.2">
      <c r="A23" s="828">
        <v>1825</v>
      </c>
      <c r="B23" s="787" t="s">
        <v>386</v>
      </c>
      <c r="C23" s="204"/>
      <c r="D23" s="204"/>
      <c r="E23" s="796">
        <f t="shared" si="3"/>
        <v>0</v>
      </c>
      <c r="F23" s="204"/>
      <c r="G23" s="796">
        <f t="shared" si="4"/>
        <v>0</v>
      </c>
      <c r="H23" s="282"/>
      <c r="I23" s="586">
        <f t="shared" si="0"/>
        <v>0</v>
      </c>
      <c r="J23" s="796">
        <f t="shared" si="1"/>
        <v>0</v>
      </c>
      <c r="K23" s="204"/>
      <c r="L23" s="796">
        <f t="shared" si="2"/>
        <v>0</v>
      </c>
    </row>
    <row r="24" spans="1:12" x14ac:dyDescent="0.2">
      <c r="A24" s="828">
        <v>1830</v>
      </c>
      <c r="B24" s="787" t="s">
        <v>387</v>
      </c>
      <c r="C24" s="204"/>
      <c r="D24" s="204"/>
      <c r="E24" s="796">
        <f t="shared" si="3"/>
        <v>0</v>
      </c>
      <c r="F24" s="204"/>
      <c r="G24" s="796">
        <f t="shared" si="4"/>
        <v>0</v>
      </c>
      <c r="H24" s="282"/>
      <c r="I24" s="586">
        <f t="shared" si="0"/>
        <v>0</v>
      </c>
      <c r="J24" s="796">
        <f t="shared" si="1"/>
        <v>0</v>
      </c>
      <c r="K24" s="204"/>
      <c r="L24" s="796">
        <f t="shared" si="2"/>
        <v>0</v>
      </c>
    </row>
    <row r="25" spans="1:12" x14ac:dyDescent="0.2">
      <c r="A25" s="828">
        <v>1835</v>
      </c>
      <c r="B25" s="787" t="s">
        <v>307</v>
      </c>
      <c r="C25" s="204"/>
      <c r="D25" s="204"/>
      <c r="E25" s="796">
        <f t="shared" si="3"/>
        <v>0</v>
      </c>
      <c r="F25" s="204"/>
      <c r="G25" s="796">
        <f t="shared" si="4"/>
        <v>0</v>
      </c>
      <c r="H25" s="282"/>
      <c r="I25" s="586">
        <f t="shared" si="0"/>
        <v>0</v>
      </c>
      <c r="J25" s="796">
        <f t="shared" si="1"/>
        <v>0</v>
      </c>
      <c r="K25" s="204"/>
      <c r="L25" s="796">
        <f t="shared" si="2"/>
        <v>0</v>
      </c>
    </row>
    <row r="26" spans="1:12" x14ac:dyDescent="0.2">
      <c r="A26" s="828">
        <v>1840</v>
      </c>
      <c r="B26" s="787" t="s">
        <v>308</v>
      </c>
      <c r="C26" s="204"/>
      <c r="D26" s="204"/>
      <c r="E26" s="796">
        <f t="shared" si="3"/>
        <v>0</v>
      </c>
      <c r="F26" s="204"/>
      <c r="G26" s="796">
        <f t="shared" si="4"/>
        <v>0</v>
      </c>
      <c r="H26" s="282"/>
      <c r="I26" s="586">
        <f t="shared" si="0"/>
        <v>0</v>
      </c>
      <c r="J26" s="796">
        <f t="shared" si="1"/>
        <v>0</v>
      </c>
      <c r="K26" s="204"/>
      <c r="L26" s="796">
        <f t="shared" si="2"/>
        <v>0</v>
      </c>
    </row>
    <row r="27" spans="1:12" x14ac:dyDescent="0.2">
      <c r="A27" s="828">
        <v>1845</v>
      </c>
      <c r="B27" s="787" t="s">
        <v>309</v>
      </c>
      <c r="C27" s="204"/>
      <c r="D27" s="204"/>
      <c r="E27" s="796">
        <f t="shared" si="3"/>
        <v>0</v>
      </c>
      <c r="F27" s="204"/>
      <c r="G27" s="796">
        <f t="shared" si="4"/>
        <v>0</v>
      </c>
      <c r="H27" s="282"/>
      <c r="I27" s="586">
        <f t="shared" si="0"/>
        <v>0</v>
      </c>
      <c r="J27" s="796">
        <f t="shared" si="1"/>
        <v>0</v>
      </c>
      <c r="K27" s="204"/>
      <c r="L27" s="796">
        <f t="shared" si="2"/>
        <v>0</v>
      </c>
    </row>
    <row r="28" spans="1:12" x14ac:dyDescent="0.2">
      <c r="A28" s="828">
        <v>1850</v>
      </c>
      <c r="B28" s="787" t="s">
        <v>388</v>
      </c>
      <c r="C28" s="204"/>
      <c r="D28" s="204"/>
      <c r="E28" s="796">
        <f t="shared" si="3"/>
        <v>0</v>
      </c>
      <c r="F28" s="204"/>
      <c r="G28" s="796">
        <f t="shared" si="4"/>
        <v>0</v>
      </c>
      <c r="H28" s="282"/>
      <c r="I28" s="586">
        <f t="shared" si="0"/>
        <v>0</v>
      </c>
      <c r="J28" s="796">
        <f t="shared" si="1"/>
        <v>0</v>
      </c>
      <c r="K28" s="204"/>
      <c r="L28" s="796">
        <f t="shared" si="2"/>
        <v>0</v>
      </c>
    </row>
    <row r="29" spans="1:12" x14ac:dyDescent="0.2">
      <c r="A29" s="828">
        <v>1855</v>
      </c>
      <c r="B29" s="787" t="s">
        <v>310</v>
      </c>
      <c r="C29" s="204"/>
      <c r="D29" s="204"/>
      <c r="E29" s="796">
        <f t="shared" si="3"/>
        <v>0</v>
      </c>
      <c r="F29" s="204"/>
      <c r="G29" s="796">
        <f t="shared" si="4"/>
        <v>0</v>
      </c>
      <c r="H29" s="282"/>
      <c r="I29" s="586">
        <f t="shared" si="0"/>
        <v>0</v>
      </c>
      <c r="J29" s="796">
        <f t="shared" si="1"/>
        <v>0</v>
      </c>
      <c r="K29" s="204"/>
      <c r="L29" s="796">
        <f t="shared" si="2"/>
        <v>0</v>
      </c>
    </row>
    <row r="30" spans="1:12" x14ac:dyDescent="0.2">
      <c r="A30" s="828">
        <v>1860</v>
      </c>
      <c r="B30" s="787" t="s">
        <v>389</v>
      </c>
      <c r="C30" s="204"/>
      <c r="D30" s="204"/>
      <c r="E30" s="796">
        <f t="shared" si="3"/>
        <v>0</v>
      </c>
      <c r="F30" s="204"/>
      <c r="G30" s="796">
        <f t="shared" si="4"/>
        <v>0</v>
      </c>
      <c r="H30" s="282"/>
      <c r="I30" s="586">
        <f t="shared" si="0"/>
        <v>0</v>
      </c>
      <c r="J30" s="796">
        <f t="shared" si="1"/>
        <v>0</v>
      </c>
      <c r="K30" s="204"/>
      <c r="L30" s="796">
        <f t="shared" si="2"/>
        <v>0</v>
      </c>
    </row>
    <row r="31" spans="1:12" x14ac:dyDescent="0.2">
      <c r="A31" s="829">
        <v>1860</v>
      </c>
      <c r="B31" s="786" t="s">
        <v>311</v>
      </c>
      <c r="C31" s="204"/>
      <c r="D31" s="204"/>
      <c r="E31" s="796">
        <f t="shared" si="3"/>
        <v>0</v>
      </c>
      <c r="F31" s="204"/>
      <c r="G31" s="796">
        <f t="shared" si="4"/>
        <v>0</v>
      </c>
      <c r="H31" s="282"/>
      <c r="I31" s="586">
        <f t="shared" si="0"/>
        <v>0</v>
      </c>
      <c r="J31" s="796">
        <f t="shared" si="1"/>
        <v>0</v>
      </c>
      <c r="K31" s="204"/>
      <c r="L31" s="796">
        <f t="shared" si="2"/>
        <v>0</v>
      </c>
    </row>
    <row r="32" spans="1:12" x14ac:dyDescent="0.2">
      <c r="A32" s="829">
        <v>1905</v>
      </c>
      <c r="B32" s="786" t="s">
        <v>383</v>
      </c>
      <c r="C32" s="204"/>
      <c r="D32" s="204"/>
      <c r="E32" s="796">
        <f t="shared" si="3"/>
        <v>0</v>
      </c>
      <c r="F32" s="204"/>
      <c r="G32" s="796">
        <f t="shared" si="4"/>
        <v>0</v>
      </c>
      <c r="H32" s="282"/>
      <c r="I32" s="586">
        <f t="shared" si="0"/>
        <v>0</v>
      </c>
      <c r="J32" s="796">
        <f t="shared" si="1"/>
        <v>0</v>
      </c>
      <c r="K32" s="204"/>
      <c r="L32" s="796">
        <f t="shared" si="2"/>
        <v>0</v>
      </c>
    </row>
    <row r="33" spans="1:12" x14ac:dyDescent="0.2">
      <c r="A33" s="828">
        <v>1908</v>
      </c>
      <c r="B33" s="787" t="s">
        <v>391</v>
      </c>
      <c r="C33" s="204"/>
      <c r="D33" s="204"/>
      <c r="E33" s="796">
        <f t="shared" si="3"/>
        <v>0</v>
      </c>
      <c r="F33" s="204"/>
      <c r="G33" s="796">
        <f t="shared" si="4"/>
        <v>0</v>
      </c>
      <c r="H33" s="282"/>
      <c r="I33" s="586">
        <f t="shared" si="0"/>
        <v>0</v>
      </c>
      <c r="J33" s="796">
        <f t="shared" si="1"/>
        <v>0</v>
      </c>
      <c r="K33" s="204"/>
      <c r="L33" s="796">
        <f t="shared" si="2"/>
        <v>0</v>
      </c>
    </row>
    <row r="34" spans="1:12" x14ac:dyDescent="0.2">
      <c r="A34" s="828">
        <v>1910</v>
      </c>
      <c r="B34" s="787" t="s">
        <v>417</v>
      </c>
      <c r="C34" s="204"/>
      <c r="D34" s="204"/>
      <c r="E34" s="796">
        <f t="shared" si="3"/>
        <v>0</v>
      </c>
      <c r="F34" s="204"/>
      <c r="G34" s="796">
        <f t="shared" si="4"/>
        <v>0</v>
      </c>
      <c r="H34" s="282"/>
      <c r="I34" s="586">
        <f t="shared" si="0"/>
        <v>0</v>
      </c>
      <c r="J34" s="796">
        <f t="shared" si="1"/>
        <v>0</v>
      </c>
      <c r="K34" s="204"/>
      <c r="L34" s="796">
        <f t="shared" si="2"/>
        <v>0</v>
      </c>
    </row>
    <row r="35" spans="1:12" x14ac:dyDescent="0.2">
      <c r="A35" s="828">
        <v>1915</v>
      </c>
      <c r="B35" s="787" t="s">
        <v>312</v>
      </c>
      <c r="C35" s="204"/>
      <c r="D35" s="204"/>
      <c r="E35" s="796">
        <f t="shared" si="3"/>
        <v>0</v>
      </c>
      <c r="F35" s="204"/>
      <c r="G35" s="796">
        <f t="shared" si="4"/>
        <v>0</v>
      </c>
      <c r="H35" s="282"/>
      <c r="I35" s="586">
        <f t="shared" si="0"/>
        <v>0</v>
      </c>
      <c r="J35" s="796">
        <f t="shared" si="1"/>
        <v>0</v>
      </c>
      <c r="K35" s="204"/>
      <c r="L35" s="796">
        <f t="shared" si="2"/>
        <v>0</v>
      </c>
    </row>
    <row r="36" spans="1:12" x14ac:dyDescent="0.2">
      <c r="A36" s="828">
        <v>1915</v>
      </c>
      <c r="B36" s="787" t="s">
        <v>313</v>
      </c>
      <c r="C36" s="204"/>
      <c r="D36" s="204"/>
      <c r="E36" s="796">
        <f t="shared" si="3"/>
        <v>0</v>
      </c>
      <c r="F36" s="204"/>
      <c r="G36" s="796">
        <f t="shared" si="4"/>
        <v>0</v>
      </c>
      <c r="H36" s="282"/>
      <c r="I36" s="586">
        <f t="shared" si="0"/>
        <v>0</v>
      </c>
      <c r="J36" s="796">
        <f t="shared" si="1"/>
        <v>0</v>
      </c>
      <c r="K36" s="204"/>
      <c r="L36" s="796">
        <f t="shared" si="2"/>
        <v>0</v>
      </c>
    </row>
    <row r="37" spans="1:12" x14ac:dyDescent="0.2">
      <c r="A37" s="828">
        <v>1920</v>
      </c>
      <c r="B37" s="787" t="s">
        <v>314</v>
      </c>
      <c r="C37" s="204"/>
      <c r="D37" s="204"/>
      <c r="E37" s="796">
        <f t="shared" si="3"/>
        <v>0</v>
      </c>
      <c r="F37" s="204"/>
      <c r="G37" s="796">
        <f t="shared" si="4"/>
        <v>0</v>
      </c>
      <c r="H37" s="282"/>
      <c r="I37" s="586">
        <f t="shared" si="0"/>
        <v>0</v>
      </c>
      <c r="J37" s="796">
        <f t="shared" si="1"/>
        <v>0</v>
      </c>
      <c r="K37" s="204"/>
      <c r="L37" s="796">
        <f t="shared" si="2"/>
        <v>0</v>
      </c>
    </row>
    <row r="38" spans="1:12" x14ac:dyDescent="0.2">
      <c r="A38" s="830">
        <v>1920</v>
      </c>
      <c r="B38" s="783" t="s">
        <v>316</v>
      </c>
      <c r="C38" s="204"/>
      <c r="D38" s="204"/>
      <c r="E38" s="796">
        <f t="shared" si="3"/>
        <v>0</v>
      </c>
      <c r="F38" s="204"/>
      <c r="G38" s="796">
        <f t="shared" si="4"/>
        <v>0</v>
      </c>
      <c r="H38" s="282"/>
      <c r="I38" s="586">
        <f t="shared" si="0"/>
        <v>0</v>
      </c>
      <c r="J38" s="796">
        <f t="shared" si="1"/>
        <v>0</v>
      </c>
      <c r="K38" s="204"/>
      <c r="L38" s="796">
        <f t="shared" si="2"/>
        <v>0</v>
      </c>
    </row>
    <row r="39" spans="1:12" x14ac:dyDescent="0.2">
      <c r="A39" s="830">
        <v>1920</v>
      </c>
      <c r="B39" s="783" t="s">
        <v>315</v>
      </c>
      <c r="C39" s="204"/>
      <c r="D39" s="204"/>
      <c r="E39" s="796">
        <f t="shared" si="3"/>
        <v>0</v>
      </c>
      <c r="F39" s="204"/>
      <c r="G39" s="796">
        <f t="shared" si="4"/>
        <v>0</v>
      </c>
      <c r="H39" s="282"/>
      <c r="I39" s="586">
        <f t="shared" si="0"/>
        <v>0</v>
      </c>
      <c r="J39" s="796">
        <f t="shared" si="1"/>
        <v>0</v>
      </c>
      <c r="K39" s="204"/>
      <c r="L39" s="796">
        <f t="shared" si="2"/>
        <v>0</v>
      </c>
    </row>
    <row r="40" spans="1:12" x14ac:dyDescent="0.2">
      <c r="A40" s="828">
        <v>1930</v>
      </c>
      <c r="B40" s="787" t="s">
        <v>404</v>
      </c>
      <c r="C40" s="204"/>
      <c r="D40" s="204"/>
      <c r="E40" s="796">
        <f t="shared" si="3"/>
        <v>0</v>
      </c>
      <c r="F40" s="204"/>
      <c r="G40" s="796">
        <f t="shared" si="4"/>
        <v>0</v>
      </c>
      <c r="H40" s="282"/>
      <c r="I40" s="586">
        <f t="shared" si="0"/>
        <v>0</v>
      </c>
      <c r="J40" s="796">
        <f t="shared" si="1"/>
        <v>0</v>
      </c>
      <c r="K40" s="204"/>
      <c r="L40" s="796">
        <f t="shared" si="2"/>
        <v>0</v>
      </c>
    </row>
    <row r="41" spans="1:12" x14ac:dyDescent="0.2">
      <c r="A41" s="828">
        <v>1935</v>
      </c>
      <c r="B41" s="787" t="s">
        <v>405</v>
      </c>
      <c r="C41" s="204"/>
      <c r="D41" s="204"/>
      <c r="E41" s="796">
        <f t="shared" si="3"/>
        <v>0</v>
      </c>
      <c r="F41" s="204"/>
      <c r="G41" s="796">
        <f t="shared" si="4"/>
        <v>0</v>
      </c>
      <c r="H41" s="282"/>
      <c r="I41" s="586">
        <f t="shared" si="0"/>
        <v>0</v>
      </c>
      <c r="J41" s="796">
        <f t="shared" si="1"/>
        <v>0</v>
      </c>
      <c r="K41" s="204"/>
      <c r="L41" s="796">
        <f t="shared" si="2"/>
        <v>0</v>
      </c>
    </row>
    <row r="42" spans="1:12" x14ac:dyDescent="0.2">
      <c r="A42" s="828">
        <v>1940</v>
      </c>
      <c r="B42" s="787" t="s">
        <v>406</v>
      </c>
      <c r="C42" s="204"/>
      <c r="D42" s="204"/>
      <c r="E42" s="796">
        <f t="shared" si="3"/>
        <v>0</v>
      </c>
      <c r="F42" s="204"/>
      <c r="G42" s="796">
        <f t="shared" si="4"/>
        <v>0</v>
      </c>
      <c r="H42" s="282"/>
      <c r="I42" s="586">
        <f t="shared" si="0"/>
        <v>0</v>
      </c>
      <c r="J42" s="796">
        <f t="shared" si="1"/>
        <v>0</v>
      </c>
      <c r="K42" s="204"/>
      <c r="L42" s="796">
        <f t="shared" si="2"/>
        <v>0</v>
      </c>
    </row>
    <row r="43" spans="1:12" x14ac:dyDescent="0.2">
      <c r="A43" s="828">
        <v>1945</v>
      </c>
      <c r="B43" s="787" t="s">
        <v>407</v>
      </c>
      <c r="C43" s="204"/>
      <c r="D43" s="204"/>
      <c r="E43" s="796">
        <f t="shared" si="3"/>
        <v>0</v>
      </c>
      <c r="F43" s="204"/>
      <c r="G43" s="796">
        <f t="shared" si="4"/>
        <v>0</v>
      </c>
      <c r="H43" s="282"/>
      <c r="I43" s="586">
        <f t="shared" si="0"/>
        <v>0</v>
      </c>
      <c r="J43" s="796">
        <f t="shared" si="1"/>
        <v>0</v>
      </c>
      <c r="K43" s="204"/>
      <c r="L43" s="796">
        <f t="shared" si="2"/>
        <v>0</v>
      </c>
    </row>
    <row r="44" spans="1:12" x14ac:dyDescent="0.2">
      <c r="A44" s="828">
        <v>1950</v>
      </c>
      <c r="B44" s="787" t="s">
        <v>317</v>
      </c>
      <c r="C44" s="204"/>
      <c r="D44" s="204"/>
      <c r="E44" s="796">
        <f t="shared" si="3"/>
        <v>0</v>
      </c>
      <c r="F44" s="204"/>
      <c r="G44" s="796">
        <f t="shared" si="4"/>
        <v>0</v>
      </c>
      <c r="H44" s="282"/>
      <c r="I44" s="586">
        <f t="shared" si="0"/>
        <v>0</v>
      </c>
      <c r="J44" s="796">
        <f t="shared" si="1"/>
        <v>0</v>
      </c>
      <c r="K44" s="204"/>
      <c r="L44" s="796">
        <f t="shared" si="2"/>
        <v>0</v>
      </c>
    </row>
    <row r="45" spans="1:12" x14ac:dyDescent="0.2">
      <c r="A45" s="828">
        <v>1955</v>
      </c>
      <c r="B45" s="787" t="s">
        <v>408</v>
      </c>
      <c r="C45" s="204"/>
      <c r="D45" s="204"/>
      <c r="E45" s="796">
        <f t="shared" si="3"/>
        <v>0</v>
      </c>
      <c r="F45" s="204"/>
      <c r="G45" s="796">
        <f t="shared" si="4"/>
        <v>0</v>
      </c>
      <c r="H45" s="282"/>
      <c r="I45" s="586">
        <f t="shared" si="0"/>
        <v>0</v>
      </c>
      <c r="J45" s="796">
        <f t="shared" si="1"/>
        <v>0</v>
      </c>
      <c r="K45" s="204"/>
      <c r="L45" s="796">
        <f t="shared" si="2"/>
        <v>0</v>
      </c>
    </row>
    <row r="46" spans="1:12" x14ac:dyDescent="0.2">
      <c r="A46" s="831">
        <v>1955</v>
      </c>
      <c r="B46" s="790" t="s">
        <v>318</v>
      </c>
      <c r="C46" s="204"/>
      <c r="D46" s="204"/>
      <c r="E46" s="796">
        <f t="shared" si="3"/>
        <v>0</v>
      </c>
      <c r="F46" s="204"/>
      <c r="G46" s="796">
        <f t="shared" si="4"/>
        <v>0</v>
      </c>
      <c r="H46" s="282"/>
      <c r="I46" s="586">
        <f t="shared" si="0"/>
        <v>0</v>
      </c>
      <c r="J46" s="796">
        <f t="shared" si="1"/>
        <v>0</v>
      </c>
      <c r="K46" s="204"/>
      <c r="L46" s="796">
        <f t="shared" si="2"/>
        <v>0</v>
      </c>
    </row>
    <row r="47" spans="1:12" x14ac:dyDescent="0.2">
      <c r="A47" s="830">
        <v>1960</v>
      </c>
      <c r="B47" s="783" t="s">
        <v>319</v>
      </c>
      <c r="C47" s="204"/>
      <c r="D47" s="204"/>
      <c r="E47" s="796">
        <f t="shared" si="3"/>
        <v>0</v>
      </c>
      <c r="F47" s="204"/>
      <c r="G47" s="796">
        <f t="shared" si="4"/>
        <v>0</v>
      </c>
      <c r="H47" s="282"/>
      <c r="I47" s="586">
        <f t="shared" si="0"/>
        <v>0</v>
      </c>
      <c r="J47" s="796">
        <f t="shared" si="1"/>
        <v>0</v>
      </c>
      <c r="K47" s="204"/>
      <c r="L47" s="796">
        <f t="shared" si="2"/>
        <v>0</v>
      </c>
    </row>
    <row r="48" spans="1:12" x14ac:dyDescent="0.2">
      <c r="A48" s="831">
        <v>1970</v>
      </c>
      <c r="B48" s="832" t="s">
        <v>773</v>
      </c>
      <c r="C48" s="204"/>
      <c r="D48" s="204"/>
      <c r="E48" s="796">
        <f t="shared" si="3"/>
        <v>0</v>
      </c>
      <c r="F48" s="204"/>
      <c r="G48" s="796">
        <f t="shared" si="4"/>
        <v>0</v>
      </c>
      <c r="H48" s="282"/>
      <c r="I48" s="586">
        <f t="shared" si="0"/>
        <v>0</v>
      </c>
      <c r="J48" s="796">
        <f t="shared" si="1"/>
        <v>0</v>
      </c>
      <c r="K48" s="204"/>
      <c r="L48" s="796">
        <f t="shared" si="2"/>
        <v>0</v>
      </c>
    </row>
    <row r="49" spans="1:14" x14ac:dyDescent="0.2">
      <c r="A49" s="828">
        <v>1975</v>
      </c>
      <c r="B49" s="787" t="s">
        <v>409</v>
      </c>
      <c r="C49" s="204"/>
      <c r="D49" s="204"/>
      <c r="E49" s="796">
        <f t="shared" si="3"/>
        <v>0</v>
      </c>
      <c r="F49" s="204"/>
      <c r="G49" s="796">
        <f t="shared" si="4"/>
        <v>0</v>
      </c>
      <c r="H49" s="282"/>
      <c r="I49" s="586">
        <f t="shared" si="0"/>
        <v>0</v>
      </c>
      <c r="J49" s="796">
        <f t="shared" si="1"/>
        <v>0</v>
      </c>
      <c r="K49" s="204"/>
      <c r="L49" s="796">
        <f t="shared" si="2"/>
        <v>0</v>
      </c>
    </row>
    <row r="50" spans="1:14" x14ac:dyDescent="0.2">
      <c r="A50" s="828">
        <v>1980</v>
      </c>
      <c r="B50" s="787" t="s">
        <v>410</v>
      </c>
      <c r="C50" s="204"/>
      <c r="D50" s="204"/>
      <c r="E50" s="796">
        <f t="shared" si="3"/>
        <v>0</v>
      </c>
      <c r="F50" s="204"/>
      <c r="G50" s="796">
        <f t="shared" si="4"/>
        <v>0</v>
      </c>
      <c r="H50" s="282"/>
      <c r="I50" s="586">
        <f t="shared" si="0"/>
        <v>0</v>
      </c>
      <c r="J50" s="796">
        <f t="shared" si="1"/>
        <v>0</v>
      </c>
      <c r="K50" s="204"/>
      <c r="L50" s="796">
        <f t="shared" si="2"/>
        <v>0</v>
      </c>
    </row>
    <row r="51" spans="1:14" x14ac:dyDescent="0.2">
      <c r="A51" s="828">
        <v>1985</v>
      </c>
      <c r="B51" s="787" t="s">
        <v>411</v>
      </c>
      <c r="C51" s="204"/>
      <c r="D51" s="204"/>
      <c r="E51" s="796">
        <f t="shared" si="3"/>
        <v>0</v>
      </c>
      <c r="F51" s="204"/>
      <c r="G51" s="796">
        <f t="shared" si="4"/>
        <v>0</v>
      </c>
      <c r="H51" s="282"/>
      <c r="I51" s="586">
        <f t="shared" si="0"/>
        <v>0</v>
      </c>
      <c r="J51" s="796">
        <f t="shared" si="1"/>
        <v>0</v>
      </c>
      <c r="K51" s="204"/>
      <c r="L51" s="796">
        <f t="shared" si="2"/>
        <v>0</v>
      </c>
    </row>
    <row r="52" spans="1:14" x14ac:dyDescent="0.2">
      <c r="A52" s="828">
        <v>1990</v>
      </c>
      <c r="B52" s="791" t="s">
        <v>774</v>
      </c>
      <c r="C52" s="204"/>
      <c r="D52" s="204"/>
      <c r="E52" s="796">
        <f t="shared" si="3"/>
        <v>0</v>
      </c>
      <c r="F52" s="204"/>
      <c r="G52" s="796">
        <f t="shared" si="4"/>
        <v>0</v>
      </c>
      <c r="H52" s="282"/>
      <c r="I52" s="586">
        <f t="shared" si="0"/>
        <v>0</v>
      </c>
      <c r="J52" s="796">
        <f t="shared" si="1"/>
        <v>0</v>
      </c>
      <c r="K52" s="204"/>
      <c r="L52" s="796">
        <f t="shared" si="2"/>
        <v>0</v>
      </c>
    </row>
    <row r="53" spans="1:14" x14ac:dyDescent="0.2">
      <c r="A53" s="828">
        <v>1995</v>
      </c>
      <c r="B53" s="787" t="s">
        <v>412</v>
      </c>
      <c r="C53" s="204"/>
      <c r="D53" s="204"/>
      <c r="E53" s="796">
        <f t="shared" si="3"/>
        <v>0</v>
      </c>
      <c r="F53" s="204"/>
      <c r="G53" s="796">
        <f t="shared" si="4"/>
        <v>0</v>
      </c>
      <c r="H53" s="282"/>
      <c r="I53" s="586">
        <f t="shared" si="0"/>
        <v>0</v>
      </c>
      <c r="J53" s="796">
        <f t="shared" si="1"/>
        <v>0</v>
      </c>
      <c r="K53" s="204"/>
      <c r="L53" s="796">
        <f t="shared" si="2"/>
        <v>0</v>
      </c>
    </row>
    <row r="54" spans="1:14" x14ac:dyDescent="0.2">
      <c r="A54" s="227" t="s">
        <v>13</v>
      </c>
      <c r="B54" s="228"/>
      <c r="C54" s="204"/>
      <c r="D54" s="204"/>
      <c r="E54" s="796">
        <f t="shared" si="3"/>
        <v>0</v>
      </c>
      <c r="F54" s="204"/>
      <c r="G54" s="796">
        <f t="shared" si="4"/>
        <v>0</v>
      </c>
      <c r="H54" s="282"/>
      <c r="I54" s="586">
        <f t="shared" si="0"/>
        <v>0</v>
      </c>
      <c r="J54" s="796">
        <f t="shared" si="1"/>
        <v>0</v>
      </c>
      <c r="K54" s="204"/>
      <c r="L54" s="796">
        <f t="shared" si="2"/>
        <v>0</v>
      </c>
    </row>
    <row r="55" spans="1:14" ht="13.5" thickBot="1" x14ac:dyDescent="0.25">
      <c r="A55" s="229"/>
      <c r="B55" s="230"/>
      <c r="C55" s="204"/>
      <c r="D55" s="204"/>
      <c r="E55" s="796">
        <f t="shared" si="3"/>
        <v>0</v>
      </c>
      <c r="F55" s="204"/>
      <c r="G55" s="796">
        <f t="shared" si="4"/>
        <v>0</v>
      </c>
      <c r="H55" s="283"/>
      <c r="I55" s="593">
        <f t="shared" si="0"/>
        <v>0</v>
      </c>
      <c r="J55" s="796">
        <f t="shared" si="1"/>
        <v>0</v>
      </c>
      <c r="K55" s="204"/>
      <c r="L55" s="796">
        <f t="shared" si="2"/>
        <v>0</v>
      </c>
    </row>
    <row r="56" spans="1:14" ht="14.25" thickTop="1" thickBot="1" x14ac:dyDescent="0.25">
      <c r="A56" s="231"/>
      <c r="B56" s="232" t="s">
        <v>413</v>
      </c>
      <c r="C56" s="796">
        <f>SUM(C16:C55)</f>
        <v>0</v>
      </c>
      <c r="D56" s="796">
        <f>SUM(D16:D55)</f>
        <v>0</v>
      </c>
      <c r="E56" s="796">
        <f>SUM(E16:E55)</f>
        <v>0</v>
      </c>
      <c r="F56" s="796">
        <f>SUM(F16:F55)</f>
        <v>0</v>
      </c>
      <c r="G56" s="796">
        <f>SUM(G16:G55)</f>
        <v>0</v>
      </c>
      <c r="H56" s="234"/>
      <c r="I56" s="588"/>
      <c r="J56" s="796">
        <f>SUM(J16:J55)</f>
        <v>0</v>
      </c>
      <c r="K56" s="796">
        <f>SUM(K16:K55)</f>
        <v>0</v>
      </c>
      <c r="L56" s="796">
        <f>SUM(L16:L55)</f>
        <v>0</v>
      </c>
    </row>
    <row r="58" spans="1:14" x14ac:dyDescent="0.2">
      <c r="A58" s="217" t="s">
        <v>15</v>
      </c>
      <c r="B58" s="236"/>
      <c r="C58" s="236"/>
      <c r="D58" s="236"/>
      <c r="E58" s="236"/>
      <c r="F58" s="236"/>
      <c r="G58" s="236"/>
      <c r="H58" s="236"/>
      <c r="I58" s="236"/>
      <c r="J58" s="236"/>
    </row>
    <row r="59" spans="1:14" ht="27.75" customHeight="1" x14ac:dyDescent="0.2">
      <c r="A59" s="301">
        <v>1</v>
      </c>
      <c r="B59" s="1790" t="s">
        <v>607</v>
      </c>
      <c r="C59" s="1790"/>
      <c r="D59" s="1790"/>
      <c r="E59" s="1790"/>
      <c r="F59" s="1790"/>
      <c r="G59" s="1790"/>
      <c r="H59" s="1790"/>
      <c r="I59" s="1790"/>
      <c r="J59" s="1790"/>
      <c r="K59" s="1790"/>
      <c r="L59" s="1790"/>
    </row>
    <row r="60" spans="1:14" x14ac:dyDescent="0.2">
      <c r="A60" s="284">
        <v>2</v>
      </c>
      <c r="B60" s="1857" t="s">
        <v>1934</v>
      </c>
      <c r="C60" s="1857"/>
      <c r="D60" s="1857"/>
      <c r="E60" s="1857"/>
      <c r="F60" s="1857"/>
      <c r="G60" s="1857"/>
      <c r="H60" s="1857"/>
      <c r="I60" s="1857"/>
      <c r="J60" s="1857"/>
      <c r="K60" s="1857"/>
      <c r="L60" s="1857"/>
    </row>
    <row r="61" spans="1:14" x14ac:dyDescent="0.2">
      <c r="A61" s="284"/>
    </row>
    <row r="62" spans="1:14" ht="12.75" customHeight="1" x14ac:dyDescent="0.2">
      <c r="A62" s="217" t="s">
        <v>325</v>
      </c>
      <c r="B62" s="1869" t="s">
        <v>270</v>
      </c>
      <c r="C62" s="1869"/>
      <c r="D62" s="1869"/>
      <c r="E62" s="1869"/>
      <c r="F62" s="1869"/>
      <c r="G62" s="1869"/>
      <c r="H62" s="1869"/>
      <c r="I62" s="1869"/>
      <c r="J62" s="1869"/>
      <c r="K62" s="1869"/>
      <c r="L62" s="1869"/>
      <c r="M62" s="675"/>
      <c r="N62" s="675"/>
    </row>
    <row r="63" spans="1:14" ht="24.75" customHeight="1" x14ac:dyDescent="0.2">
      <c r="A63" s="236"/>
      <c r="B63" s="1869"/>
      <c r="C63" s="1869"/>
      <c r="D63" s="1869"/>
      <c r="E63" s="1869"/>
      <c r="F63" s="1869"/>
      <c r="G63" s="1869"/>
      <c r="H63" s="1869"/>
      <c r="I63" s="1869"/>
      <c r="J63" s="1869"/>
      <c r="K63" s="1869"/>
      <c r="L63" s="1869"/>
      <c r="M63" s="675"/>
      <c r="N63" s="675"/>
    </row>
    <row r="64" spans="1:14" x14ac:dyDescent="0.2">
      <c r="B64" s="675"/>
      <c r="C64" s="675"/>
      <c r="D64" s="675"/>
      <c r="E64" s="675"/>
      <c r="F64" s="675"/>
      <c r="G64" s="675"/>
      <c r="H64" s="675"/>
      <c r="I64" s="675"/>
      <c r="J64" s="675"/>
      <c r="K64" s="675"/>
      <c r="L64" s="675"/>
      <c r="M64" s="675"/>
      <c r="N64" s="675"/>
    </row>
  </sheetData>
  <mergeCells count="9">
    <mergeCell ref="B59:L59"/>
    <mergeCell ref="B60:L60"/>
    <mergeCell ref="B62:L63"/>
    <mergeCell ref="A9:L9"/>
    <mergeCell ref="A10:L10"/>
    <mergeCell ref="A11:L11"/>
    <mergeCell ref="A14:A15"/>
    <mergeCell ref="B14:B15"/>
    <mergeCell ref="K14:K15"/>
  </mergeCells>
  <dataValidations count="1">
    <dataValidation allowBlank="1" showInputMessage="1" showErrorMessage="1" promptTitle="Date Format" prompt="E.g:  &quot;August 1, 2011&quot;" sqref="WVR98303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J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J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J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J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J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J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J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J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J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J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J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J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J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J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dataValidations>
  <printOptions horizontalCentered="1"/>
  <pageMargins left="0.74803149606299213" right="0.74803149606299213" top="0.70866141732283472" bottom="0.39370078740157483" header="0.39370078740157483" footer="0.27559055118110237"/>
  <pageSetup scale="5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93"/>
  <sheetViews>
    <sheetView showGridLines="0" zoomScaleNormal="100" workbookViewId="0">
      <selection activeCell="A10" sqref="A10:O10"/>
    </sheetView>
  </sheetViews>
  <sheetFormatPr defaultRowHeight="12.75" x14ac:dyDescent="0.2"/>
  <cols>
    <col min="1" max="1" width="9.140625" style="216"/>
    <col min="2" max="2" width="40.28515625" style="216" bestFit="1" customWidth="1"/>
    <col min="3" max="3" width="12" style="216" customWidth="1"/>
    <col min="4" max="4" width="10" style="216" customWidth="1"/>
    <col min="5" max="5" width="14.85546875" style="216" customWidth="1"/>
    <col min="6" max="6" width="9.5703125" style="216" customWidth="1"/>
    <col min="7" max="8" width="12.28515625" style="216" customWidth="1"/>
    <col min="9" max="9" width="14.28515625" style="216" customWidth="1"/>
    <col min="10" max="10" width="12.85546875" style="216" customWidth="1"/>
    <col min="11" max="11" width="18" style="216" customWidth="1"/>
    <col min="12" max="12" width="12.7109375" style="216" customWidth="1"/>
    <col min="13" max="13" width="12.28515625" style="216" bestFit="1" customWidth="1"/>
    <col min="14" max="14" width="17.5703125" style="216" customWidth="1"/>
    <col min="15" max="15" width="15.7109375" style="216" customWidth="1"/>
    <col min="16" max="256" width="9.140625" style="216"/>
    <col min="257" max="257" width="2.7109375" style="216" customWidth="1"/>
    <col min="258" max="258" width="9.140625" style="216"/>
    <col min="259" max="259" width="40.28515625" style="216" bestFit="1" customWidth="1"/>
    <col min="260" max="260" width="12" style="216" customWidth="1"/>
    <col min="261" max="261" width="10" style="216" customWidth="1"/>
    <col min="262" max="262" width="14.85546875" style="216" customWidth="1"/>
    <col min="263" max="263" width="9.5703125" style="216" customWidth="1"/>
    <col min="264" max="265" width="12.28515625" style="216" customWidth="1"/>
    <col min="266" max="268" width="12.85546875" style="216" customWidth="1"/>
    <col min="269" max="269" width="12.7109375" style="216" customWidth="1"/>
    <col min="270" max="270" width="12.28515625" style="216" bestFit="1" customWidth="1"/>
    <col min="271" max="271" width="13.85546875" style="216" customWidth="1"/>
    <col min="272" max="512" width="9.140625" style="216"/>
    <col min="513" max="513" width="2.7109375" style="216" customWidth="1"/>
    <col min="514" max="514" width="9.140625" style="216"/>
    <col min="515" max="515" width="40.28515625" style="216" bestFit="1" customWidth="1"/>
    <col min="516" max="516" width="12" style="216" customWidth="1"/>
    <col min="517" max="517" width="10" style="216" customWidth="1"/>
    <col min="518" max="518" width="14.85546875" style="216" customWidth="1"/>
    <col min="519" max="519" width="9.5703125" style="216" customWidth="1"/>
    <col min="520" max="521" width="12.28515625" style="216" customWidth="1"/>
    <col min="522" max="524" width="12.85546875" style="216" customWidth="1"/>
    <col min="525" max="525" width="12.7109375" style="216" customWidth="1"/>
    <col min="526" max="526" width="12.28515625" style="216" bestFit="1" customWidth="1"/>
    <col min="527" max="527" width="13.85546875" style="216" customWidth="1"/>
    <col min="528" max="768" width="9.140625" style="216"/>
    <col min="769" max="769" width="2.7109375" style="216" customWidth="1"/>
    <col min="770" max="770" width="9.140625" style="216"/>
    <col min="771" max="771" width="40.28515625" style="216" bestFit="1" customWidth="1"/>
    <col min="772" max="772" width="12" style="216" customWidth="1"/>
    <col min="773" max="773" width="10" style="216" customWidth="1"/>
    <col min="774" max="774" width="14.85546875" style="216" customWidth="1"/>
    <col min="775" max="775" width="9.5703125" style="216" customWidth="1"/>
    <col min="776" max="777" width="12.28515625" style="216" customWidth="1"/>
    <col min="778" max="780" width="12.85546875" style="216" customWidth="1"/>
    <col min="781" max="781" width="12.7109375" style="216" customWidth="1"/>
    <col min="782" max="782" width="12.28515625" style="216" bestFit="1" customWidth="1"/>
    <col min="783" max="783" width="13.85546875" style="216" customWidth="1"/>
    <col min="784" max="1024" width="9.140625" style="216"/>
    <col min="1025" max="1025" width="2.7109375" style="216" customWidth="1"/>
    <col min="1026" max="1026" width="9.140625" style="216"/>
    <col min="1027" max="1027" width="40.28515625" style="216" bestFit="1" customWidth="1"/>
    <col min="1028" max="1028" width="12" style="216" customWidth="1"/>
    <col min="1029" max="1029" width="10" style="216" customWidth="1"/>
    <col min="1030" max="1030" width="14.85546875" style="216" customWidth="1"/>
    <col min="1031" max="1031" width="9.5703125" style="216" customWidth="1"/>
    <col min="1032" max="1033" width="12.28515625" style="216" customWidth="1"/>
    <col min="1034" max="1036" width="12.85546875" style="216" customWidth="1"/>
    <col min="1037" max="1037" width="12.7109375" style="216" customWidth="1"/>
    <col min="1038" max="1038" width="12.28515625" style="216" bestFit="1" customWidth="1"/>
    <col min="1039" max="1039" width="13.85546875" style="216" customWidth="1"/>
    <col min="1040" max="1280" width="9.140625" style="216"/>
    <col min="1281" max="1281" width="2.7109375" style="216" customWidth="1"/>
    <col min="1282" max="1282" width="9.140625" style="216"/>
    <col min="1283" max="1283" width="40.28515625" style="216" bestFit="1" customWidth="1"/>
    <col min="1284" max="1284" width="12" style="216" customWidth="1"/>
    <col min="1285" max="1285" width="10" style="216" customWidth="1"/>
    <col min="1286" max="1286" width="14.85546875" style="216" customWidth="1"/>
    <col min="1287" max="1287" width="9.5703125" style="216" customWidth="1"/>
    <col min="1288" max="1289" width="12.28515625" style="216" customWidth="1"/>
    <col min="1290" max="1292" width="12.85546875" style="216" customWidth="1"/>
    <col min="1293" max="1293" width="12.7109375" style="216" customWidth="1"/>
    <col min="1294" max="1294" width="12.28515625" style="216" bestFit="1" customWidth="1"/>
    <col min="1295" max="1295" width="13.85546875" style="216" customWidth="1"/>
    <col min="1296" max="1536" width="9.140625" style="216"/>
    <col min="1537" max="1537" width="2.7109375" style="216" customWidth="1"/>
    <col min="1538" max="1538" width="9.140625" style="216"/>
    <col min="1539" max="1539" width="40.28515625" style="216" bestFit="1" customWidth="1"/>
    <col min="1540" max="1540" width="12" style="216" customWidth="1"/>
    <col min="1541" max="1541" width="10" style="216" customWidth="1"/>
    <col min="1542" max="1542" width="14.85546875" style="216" customWidth="1"/>
    <col min="1543" max="1543" width="9.5703125" style="216" customWidth="1"/>
    <col min="1544" max="1545" width="12.28515625" style="216" customWidth="1"/>
    <col min="1546" max="1548" width="12.85546875" style="216" customWidth="1"/>
    <col min="1549" max="1549" width="12.7109375" style="216" customWidth="1"/>
    <col min="1550" max="1550" width="12.28515625" style="216" bestFit="1" customWidth="1"/>
    <col min="1551" max="1551" width="13.85546875" style="216" customWidth="1"/>
    <col min="1552" max="1792" width="9.140625" style="216"/>
    <col min="1793" max="1793" width="2.7109375" style="216" customWidth="1"/>
    <col min="1794" max="1794" width="9.140625" style="216"/>
    <col min="1795" max="1795" width="40.28515625" style="216" bestFit="1" customWidth="1"/>
    <col min="1796" max="1796" width="12" style="216" customWidth="1"/>
    <col min="1797" max="1797" width="10" style="216" customWidth="1"/>
    <col min="1798" max="1798" width="14.85546875" style="216" customWidth="1"/>
    <col min="1799" max="1799" width="9.5703125" style="216" customWidth="1"/>
    <col min="1800" max="1801" width="12.28515625" style="216" customWidth="1"/>
    <col min="1802" max="1804" width="12.85546875" style="216" customWidth="1"/>
    <col min="1805" max="1805" width="12.7109375" style="216" customWidth="1"/>
    <col min="1806" max="1806" width="12.28515625" style="216" bestFit="1" customWidth="1"/>
    <col min="1807" max="1807" width="13.85546875" style="216" customWidth="1"/>
    <col min="1808" max="2048" width="9.140625" style="216"/>
    <col min="2049" max="2049" width="2.7109375" style="216" customWidth="1"/>
    <col min="2050" max="2050" width="9.140625" style="216"/>
    <col min="2051" max="2051" width="40.28515625" style="216" bestFit="1" customWidth="1"/>
    <col min="2052" max="2052" width="12" style="216" customWidth="1"/>
    <col min="2053" max="2053" width="10" style="216" customWidth="1"/>
    <col min="2054" max="2054" width="14.85546875" style="216" customWidth="1"/>
    <col min="2055" max="2055" width="9.5703125" style="216" customWidth="1"/>
    <col min="2056" max="2057" width="12.28515625" style="216" customWidth="1"/>
    <col min="2058" max="2060" width="12.85546875" style="216" customWidth="1"/>
    <col min="2061" max="2061" width="12.7109375" style="216" customWidth="1"/>
    <col min="2062" max="2062" width="12.28515625" style="216" bestFit="1" customWidth="1"/>
    <col min="2063" max="2063" width="13.85546875" style="216" customWidth="1"/>
    <col min="2064" max="2304" width="9.140625" style="216"/>
    <col min="2305" max="2305" width="2.7109375" style="216" customWidth="1"/>
    <col min="2306" max="2306" width="9.140625" style="216"/>
    <col min="2307" max="2307" width="40.28515625" style="216" bestFit="1" customWidth="1"/>
    <col min="2308" max="2308" width="12" style="216" customWidth="1"/>
    <col min="2309" max="2309" width="10" style="216" customWidth="1"/>
    <col min="2310" max="2310" width="14.85546875" style="216" customWidth="1"/>
    <col min="2311" max="2311" width="9.5703125" style="216" customWidth="1"/>
    <col min="2312" max="2313" width="12.28515625" style="216" customWidth="1"/>
    <col min="2314" max="2316" width="12.85546875" style="216" customWidth="1"/>
    <col min="2317" max="2317" width="12.7109375" style="216" customWidth="1"/>
    <col min="2318" max="2318" width="12.28515625" style="216" bestFit="1" customWidth="1"/>
    <col min="2319" max="2319" width="13.85546875" style="216" customWidth="1"/>
    <col min="2320" max="2560" width="9.140625" style="216"/>
    <col min="2561" max="2561" width="2.7109375" style="216" customWidth="1"/>
    <col min="2562" max="2562" width="9.140625" style="216"/>
    <col min="2563" max="2563" width="40.28515625" style="216" bestFit="1" customWidth="1"/>
    <col min="2564" max="2564" width="12" style="216" customWidth="1"/>
    <col min="2565" max="2565" width="10" style="216" customWidth="1"/>
    <col min="2566" max="2566" width="14.85546875" style="216" customWidth="1"/>
    <col min="2567" max="2567" width="9.5703125" style="216" customWidth="1"/>
    <col min="2568" max="2569" width="12.28515625" style="216" customWidth="1"/>
    <col min="2570" max="2572" width="12.85546875" style="216" customWidth="1"/>
    <col min="2573" max="2573" width="12.7109375" style="216" customWidth="1"/>
    <col min="2574" max="2574" width="12.28515625" style="216" bestFit="1" customWidth="1"/>
    <col min="2575" max="2575" width="13.85546875" style="216" customWidth="1"/>
    <col min="2576" max="2816" width="9.140625" style="216"/>
    <col min="2817" max="2817" width="2.7109375" style="216" customWidth="1"/>
    <col min="2818" max="2818" width="9.140625" style="216"/>
    <col min="2819" max="2819" width="40.28515625" style="216" bestFit="1" customWidth="1"/>
    <col min="2820" max="2820" width="12" style="216" customWidth="1"/>
    <col min="2821" max="2821" width="10" style="216" customWidth="1"/>
    <col min="2822" max="2822" width="14.85546875" style="216" customWidth="1"/>
    <col min="2823" max="2823" width="9.5703125" style="216" customWidth="1"/>
    <col min="2824" max="2825" width="12.28515625" style="216" customWidth="1"/>
    <col min="2826" max="2828" width="12.85546875" style="216" customWidth="1"/>
    <col min="2829" max="2829" width="12.7109375" style="216" customWidth="1"/>
    <col min="2830" max="2830" width="12.28515625" style="216" bestFit="1" customWidth="1"/>
    <col min="2831" max="2831" width="13.85546875" style="216" customWidth="1"/>
    <col min="2832" max="3072" width="9.140625" style="216"/>
    <col min="3073" max="3073" width="2.7109375" style="216" customWidth="1"/>
    <col min="3074" max="3074" width="9.140625" style="216"/>
    <col min="3075" max="3075" width="40.28515625" style="216" bestFit="1" customWidth="1"/>
    <col min="3076" max="3076" width="12" style="216" customWidth="1"/>
    <col min="3077" max="3077" width="10" style="216" customWidth="1"/>
    <col min="3078" max="3078" width="14.85546875" style="216" customWidth="1"/>
    <col min="3079" max="3079" width="9.5703125" style="216" customWidth="1"/>
    <col min="3080" max="3081" width="12.28515625" style="216" customWidth="1"/>
    <col min="3082" max="3084" width="12.85546875" style="216" customWidth="1"/>
    <col min="3085" max="3085" width="12.7109375" style="216" customWidth="1"/>
    <col min="3086" max="3086" width="12.28515625" style="216" bestFit="1" customWidth="1"/>
    <col min="3087" max="3087" width="13.85546875" style="216" customWidth="1"/>
    <col min="3088" max="3328" width="9.140625" style="216"/>
    <col min="3329" max="3329" width="2.7109375" style="216" customWidth="1"/>
    <col min="3330" max="3330" width="9.140625" style="216"/>
    <col min="3331" max="3331" width="40.28515625" style="216" bestFit="1" customWidth="1"/>
    <col min="3332" max="3332" width="12" style="216" customWidth="1"/>
    <col min="3333" max="3333" width="10" style="216" customWidth="1"/>
    <col min="3334" max="3334" width="14.85546875" style="216" customWidth="1"/>
    <col min="3335" max="3335" width="9.5703125" style="216" customWidth="1"/>
    <col min="3336" max="3337" width="12.28515625" style="216" customWidth="1"/>
    <col min="3338" max="3340" width="12.85546875" style="216" customWidth="1"/>
    <col min="3341" max="3341" width="12.7109375" style="216" customWidth="1"/>
    <col min="3342" max="3342" width="12.28515625" style="216" bestFit="1" customWidth="1"/>
    <col min="3343" max="3343" width="13.85546875" style="216" customWidth="1"/>
    <col min="3344" max="3584" width="9.140625" style="216"/>
    <col min="3585" max="3585" width="2.7109375" style="216" customWidth="1"/>
    <col min="3586" max="3586" width="9.140625" style="216"/>
    <col min="3587" max="3587" width="40.28515625" style="216" bestFit="1" customWidth="1"/>
    <col min="3588" max="3588" width="12" style="216" customWidth="1"/>
    <col min="3589" max="3589" width="10" style="216" customWidth="1"/>
    <col min="3590" max="3590" width="14.85546875" style="216" customWidth="1"/>
    <col min="3591" max="3591" width="9.5703125" style="216" customWidth="1"/>
    <col min="3592" max="3593" width="12.28515625" style="216" customWidth="1"/>
    <col min="3594" max="3596" width="12.85546875" style="216" customWidth="1"/>
    <col min="3597" max="3597" width="12.7109375" style="216" customWidth="1"/>
    <col min="3598" max="3598" width="12.28515625" style="216" bestFit="1" customWidth="1"/>
    <col min="3599" max="3599" width="13.85546875" style="216" customWidth="1"/>
    <col min="3600" max="3840" width="9.140625" style="216"/>
    <col min="3841" max="3841" width="2.7109375" style="216" customWidth="1"/>
    <col min="3842" max="3842" width="9.140625" style="216"/>
    <col min="3843" max="3843" width="40.28515625" style="216" bestFit="1" customWidth="1"/>
    <col min="3844" max="3844" width="12" style="216" customWidth="1"/>
    <col min="3845" max="3845" width="10" style="216" customWidth="1"/>
    <col min="3846" max="3846" width="14.85546875" style="216" customWidth="1"/>
    <col min="3847" max="3847" width="9.5703125" style="216" customWidth="1"/>
    <col min="3848" max="3849" width="12.28515625" style="216" customWidth="1"/>
    <col min="3850" max="3852" width="12.85546875" style="216" customWidth="1"/>
    <col min="3853" max="3853" width="12.7109375" style="216" customWidth="1"/>
    <col min="3854" max="3854" width="12.28515625" style="216" bestFit="1" customWidth="1"/>
    <col min="3855" max="3855" width="13.85546875" style="216" customWidth="1"/>
    <col min="3856" max="4096" width="9.140625" style="216"/>
    <col min="4097" max="4097" width="2.7109375" style="216" customWidth="1"/>
    <col min="4098" max="4098" width="9.140625" style="216"/>
    <col min="4099" max="4099" width="40.28515625" style="216" bestFit="1" customWidth="1"/>
    <col min="4100" max="4100" width="12" style="216" customWidth="1"/>
    <col min="4101" max="4101" width="10" style="216" customWidth="1"/>
    <col min="4102" max="4102" width="14.85546875" style="216" customWidth="1"/>
    <col min="4103" max="4103" width="9.5703125" style="216" customWidth="1"/>
    <col min="4104" max="4105" width="12.28515625" style="216" customWidth="1"/>
    <col min="4106" max="4108" width="12.85546875" style="216" customWidth="1"/>
    <col min="4109" max="4109" width="12.7109375" style="216" customWidth="1"/>
    <col min="4110" max="4110" width="12.28515625" style="216" bestFit="1" customWidth="1"/>
    <col min="4111" max="4111" width="13.85546875" style="216" customWidth="1"/>
    <col min="4112" max="4352" width="9.140625" style="216"/>
    <col min="4353" max="4353" width="2.7109375" style="216" customWidth="1"/>
    <col min="4354" max="4354" width="9.140625" style="216"/>
    <col min="4355" max="4355" width="40.28515625" style="216" bestFit="1" customWidth="1"/>
    <col min="4356" max="4356" width="12" style="216" customWidth="1"/>
    <col min="4357" max="4357" width="10" style="216" customWidth="1"/>
    <col min="4358" max="4358" width="14.85546875" style="216" customWidth="1"/>
    <col min="4359" max="4359" width="9.5703125" style="216" customWidth="1"/>
    <col min="4360" max="4361" width="12.28515625" style="216" customWidth="1"/>
    <col min="4362" max="4364" width="12.85546875" style="216" customWidth="1"/>
    <col min="4365" max="4365" width="12.7109375" style="216" customWidth="1"/>
    <col min="4366" max="4366" width="12.28515625" style="216" bestFit="1" customWidth="1"/>
    <col min="4367" max="4367" width="13.85546875" style="216" customWidth="1"/>
    <col min="4368" max="4608" width="9.140625" style="216"/>
    <col min="4609" max="4609" width="2.7109375" style="216" customWidth="1"/>
    <col min="4610" max="4610" width="9.140625" style="216"/>
    <col min="4611" max="4611" width="40.28515625" style="216" bestFit="1" customWidth="1"/>
    <col min="4612" max="4612" width="12" style="216" customWidth="1"/>
    <col min="4613" max="4613" width="10" style="216" customWidth="1"/>
    <col min="4614" max="4614" width="14.85546875" style="216" customWidth="1"/>
    <col min="4615" max="4615" width="9.5703125" style="216" customWidth="1"/>
    <col min="4616" max="4617" width="12.28515625" style="216" customWidth="1"/>
    <col min="4618" max="4620" width="12.85546875" style="216" customWidth="1"/>
    <col min="4621" max="4621" width="12.7109375" style="216" customWidth="1"/>
    <col min="4622" max="4622" width="12.28515625" style="216" bestFit="1" customWidth="1"/>
    <col min="4623" max="4623" width="13.85546875" style="216" customWidth="1"/>
    <col min="4624" max="4864" width="9.140625" style="216"/>
    <col min="4865" max="4865" width="2.7109375" style="216" customWidth="1"/>
    <col min="4866" max="4866" width="9.140625" style="216"/>
    <col min="4867" max="4867" width="40.28515625" style="216" bestFit="1" customWidth="1"/>
    <col min="4868" max="4868" width="12" style="216" customWidth="1"/>
    <col min="4869" max="4869" width="10" style="216" customWidth="1"/>
    <col min="4870" max="4870" width="14.85546875" style="216" customWidth="1"/>
    <col min="4871" max="4871" width="9.5703125" style="216" customWidth="1"/>
    <col min="4872" max="4873" width="12.28515625" style="216" customWidth="1"/>
    <col min="4874" max="4876" width="12.85546875" style="216" customWidth="1"/>
    <col min="4877" max="4877" width="12.7109375" style="216" customWidth="1"/>
    <col min="4878" max="4878" width="12.28515625" style="216" bestFit="1" customWidth="1"/>
    <col min="4879" max="4879" width="13.85546875" style="216" customWidth="1"/>
    <col min="4880" max="5120" width="9.140625" style="216"/>
    <col min="5121" max="5121" width="2.7109375" style="216" customWidth="1"/>
    <col min="5122" max="5122" width="9.140625" style="216"/>
    <col min="5123" max="5123" width="40.28515625" style="216" bestFit="1" customWidth="1"/>
    <col min="5124" max="5124" width="12" style="216" customWidth="1"/>
    <col min="5125" max="5125" width="10" style="216" customWidth="1"/>
    <col min="5126" max="5126" width="14.85546875" style="216" customWidth="1"/>
    <col min="5127" max="5127" width="9.5703125" style="216" customWidth="1"/>
    <col min="5128" max="5129" width="12.28515625" style="216" customWidth="1"/>
    <col min="5130" max="5132" width="12.85546875" style="216" customWidth="1"/>
    <col min="5133" max="5133" width="12.7109375" style="216" customWidth="1"/>
    <col min="5134" max="5134" width="12.28515625" style="216" bestFit="1" customWidth="1"/>
    <col min="5135" max="5135" width="13.85546875" style="216" customWidth="1"/>
    <col min="5136" max="5376" width="9.140625" style="216"/>
    <col min="5377" max="5377" width="2.7109375" style="216" customWidth="1"/>
    <col min="5378" max="5378" width="9.140625" style="216"/>
    <col min="5379" max="5379" width="40.28515625" style="216" bestFit="1" customWidth="1"/>
    <col min="5380" max="5380" width="12" style="216" customWidth="1"/>
    <col min="5381" max="5381" width="10" style="216" customWidth="1"/>
    <col min="5382" max="5382" width="14.85546875" style="216" customWidth="1"/>
    <col min="5383" max="5383" width="9.5703125" style="216" customWidth="1"/>
    <col min="5384" max="5385" width="12.28515625" style="216" customWidth="1"/>
    <col min="5386" max="5388" width="12.85546875" style="216" customWidth="1"/>
    <col min="5389" max="5389" width="12.7109375" style="216" customWidth="1"/>
    <col min="5390" max="5390" width="12.28515625" style="216" bestFit="1" customWidth="1"/>
    <col min="5391" max="5391" width="13.85546875" style="216" customWidth="1"/>
    <col min="5392" max="5632" width="9.140625" style="216"/>
    <col min="5633" max="5633" width="2.7109375" style="216" customWidth="1"/>
    <col min="5634" max="5634" width="9.140625" style="216"/>
    <col min="5635" max="5635" width="40.28515625" style="216" bestFit="1" customWidth="1"/>
    <col min="5636" max="5636" width="12" style="216" customWidth="1"/>
    <col min="5637" max="5637" width="10" style="216" customWidth="1"/>
    <col min="5638" max="5638" width="14.85546875" style="216" customWidth="1"/>
    <col min="5639" max="5639" width="9.5703125" style="216" customWidth="1"/>
    <col min="5640" max="5641" width="12.28515625" style="216" customWidth="1"/>
    <col min="5642" max="5644" width="12.85546875" style="216" customWidth="1"/>
    <col min="5645" max="5645" width="12.7109375" style="216" customWidth="1"/>
    <col min="5646" max="5646" width="12.28515625" style="216" bestFit="1" customWidth="1"/>
    <col min="5647" max="5647" width="13.85546875" style="216" customWidth="1"/>
    <col min="5648" max="5888" width="9.140625" style="216"/>
    <col min="5889" max="5889" width="2.7109375" style="216" customWidth="1"/>
    <col min="5890" max="5890" width="9.140625" style="216"/>
    <col min="5891" max="5891" width="40.28515625" style="216" bestFit="1" customWidth="1"/>
    <col min="5892" max="5892" width="12" style="216" customWidth="1"/>
    <col min="5893" max="5893" width="10" style="216" customWidth="1"/>
    <col min="5894" max="5894" width="14.85546875" style="216" customWidth="1"/>
    <col min="5895" max="5895" width="9.5703125" style="216" customWidth="1"/>
    <col min="5896" max="5897" width="12.28515625" style="216" customWidth="1"/>
    <col min="5898" max="5900" width="12.85546875" style="216" customWidth="1"/>
    <col min="5901" max="5901" width="12.7109375" style="216" customWidth="1"/>
    <col min="5902" max="5902" width="12.28515625" style="216" bestFit="1" customWidth="1"/>
    <col min="5903" max="5903" width="13.85546875" style="216" customWidth="1"/>
    <col min="5904" max="6144" width="9.140625" style="216"/>
    <col min="6145" max="6145" width="2.7109375" style="216" customWidth="1"/>
    <col min="6146" max="6146" width="9.140625" style="216"/>
    <col min="6147" max="6147" width="40.28515625" style="216" bestFit="1" customWidth="1"/>
    <col min="6148" max="6148" width="12" style="216" customWidth="1"/>
    <col min="6149" max="6149" width="10" style="216" customWidth="1"/>
    <col min="6150" max="6150" width="14.85546875" style="216" customWidth="1"/>
    <col min="6151" max="6151" width="9.5703125" style="216" customWidth="1"/>
    <col min="6152" max="6153" width="12.28515625" style="216" customWidth="1"/>
    <col min="6154" max="6156" width="12.85546875" style="216" customWidth="1"/>
    <col min="6157" max="6157" width="12.7109375" style="216" customWidth="1"/>
    <col min="6158" max="6158" width="12.28515625" style="216" bestFit="1" customWidth="1"/>
    <col min="6159" max="6159" width="13.85546875" style="216" customWidth="1"/>
    <col min="6160" max="6400" width="9.140625" style="216"/>
    <col min="6401" max="6401" width="2.7109375" style="216" customWidth="1"/>
    <col min="6402" max="6402" width="9.140625" style="216"/>
    <col min="6403" max="6403" width="40.28515625" style="216" bestFit="1" customWidth="1"/>
    <col min="6404" max="6404" width="12" style="216" customWidth="1"/>
    <col min="6405" max="6405" width="10" style="216" customWidth="1"/>
    <col min="6406" max="6406" width="14.85546875" style="216" customWidth="1"/>
    <col min="6407" max="6407" width="9.5703125" style="216" customWidth="1"/>
    <col min="6408" max="6409" width="12.28515625" style="216" customWidth="1"/>
    <col min="6410" max="6412" width="12.85546875" style="216" customWidth="1"/>
    <col min="6413" max="6413" width="12.7109375" style="216" customWidth="1"/>
    <col min="6414" max="6414" width="12.28515625" style="216" bestFit="1" customWidth="1"/>
    <col min="6415" max="6415" width="13.85546875" style="216" customWidth="1"/>
    <col min="6416" max="6656" width="9.140625" style="216"/>
    <col min="6657" max="6657" width="2.7109375" style="216" customWidth="1"/>
    <col min="6658" max="6658" width="9.140625" style="216"/>
    <col min="6659" max="6659" width="40.28515625" style="216" bestFit="1" customWidth="1"/>
    <col min="6660" max="6660" width="12" style="216" customWidth="1"/>
    <col min="6661" max="6661" width="10" style="216" customWidth="1"/>
    <col min="6662" max="6662" width="14.85546875" style="216" customWidth="1"/>
    <col min="6663" max="6663" width="9.5703125" style="216" customWidth="1"/>
    <col min="6664" max="6665" width="12.28515625" style="216" customWidth="1"/>
    <col min="6666" max="6668" width="12.85546875" style="216" customWidth="1"/>
    <col min="6669" max="6669" width="12.7109375" style="216" customWidth="1"/>
    <col min="6670" max="6670" width="12.28515625" style="216" bestFit="1" customWidth="1"/>
    <col min="6671" max="6671" width="13.85546875" style="216" customWidth="1"/>
    <col min="6672" max="6912" width="9.140625" style="216"/>
    <col min="6913" max="6913" width="2.7109375" style="216" customWidth="1"/>
    <col min="6914" max="6914" width="9.140625" style="216"/>
    <col min="6915" max="6915" width="40.28515625" style="216" bestFit="1" customWidth="1"/>
    <col min="6916" max="6916" width="12" style="216" customWidth="1"/>
    <col min="6917" max="6917" width="10" style="216" customWidth="1"/>
    <col min="6918" max="6918" width="14.85546875" style="216" customWidth="1"/>
    <col min="6919" max="6919" width="9.5703125" style="216" customWidth="1"/>
    <col min="6920" max="6921" width="12.28515625" style="216" customWidth="1"/>
    <col min="6922" max="6924" width="12.85546875" style="216" customWidth="1"/>
    <col min="6925" max="6925" width="12.7109375" style="216" customWidth="1"/>
    <col min="6926" max="6926" width="12.28515625" style="216" bestFit="1" customWidth="1"/>
    <col min="6927" max="6927" width="13.85546875" style="216" customWidth="1"/>
    <col min="6928" max="7168" width="9.140625" style="216"/>
    <col min="7169" max="7169" width="2.7109375" style="216" customWidth="1"/>
    <col min="7170" max="7170" width="9.140625" style="216"/>
    <col min="7171" max="7171" width="40.28515625" style="216" bestFit="1" customWidth="1"/>
    <col min="7172" max="7172" width="12" style="216" customWidth="1"/>
    <col min="7173" max="7173" width="10" style="216" customWidth="1"/>
    <col min="7174" max="7174" width="14.85546875" style="216" customWidth="1"/>
    <col min="7175" max="7175" width="9.5703125" style="216" customWidth="1"/>
    <col min="7176" max="7177" width="12.28515625" style="216" customWidth="1"/>
    <col min="7178" max="7180" width="12.85546875" style="216" customWidth="1"/>
    <col min="7181" max="7181" width="12.7109375" style="216" customWidth="1"/>
    <col min="7182" max="7182" width="12.28515625" style="216" bestFit="1" customWidth="1"/>
    <col min="7183" max="7183" width="13.85546875" style="216" customWidth="1"/>
    <col min="7184" max="7424" width="9.140625" style="216"/>
    <col min="7425" max="7425" width="2.7109375" style="216" customWidth="1"/>
    <col min="7426" max="7426" width="9.140625" style="216"/>
    <col min="7427" max="7427" width="40.28515625" style="216" bestFit="1" customWidth="1"/>
    <col min="7428" max="7428" width="12" style="216" customWidth="1"/>
    <col min="7429" max="7429" width="10" style="216" customWidth="1"/>
    <col min="7430" max="7430" width="14.85546875" style="216" customWidth="1"/>
    <col min="7431" max="7431" width="9.5703125" style="216" customWidth="1"/>
    <col min="7432" max="7433" width="12.28515625" style="216" customWidth="1"/>
    <col min="7434" max="7436" width="12.85546875" style="216" customWidth="1"/>
    <col min="7437" max="7437" width="12.7109375" style="216" customWidth="1"/>
    <col min="7438" max="7438" width="12.28515625" style="216" bestFit="1" customWidth="1"/>
    <col min="7439" max="7439" width="13.85546875" style="216" customWidth="1"/>
    <col min="7440" max="7680" width="9.140625" style="216"/>
    <col min="7681" max="7681" width="2.7109375" style="216" customWidth="1"/>
    <col min="7682" max="7682" width="9.140625" style="216"/>
    <col min="7683" max="7683" width="40.28515625" style="216" bestFit="1" customWidth="1"/>
    <col min="7684" max="7684" width="12" style="216" customWidth="1"/>
    <col min="7685" max="7685" width="10" style="216" customWidth="1"/>
    <col min="7686" max="7686" width="14.85546875" style="216" customWidth="1"/>
    <col min="7687" max="7687" width="9.5703125" style="216" customWidth="1"/>
    <col min="7688" max="7689" width="12.28515625" style="216" customWidth="1"/>
    <col min="7690" max="7692" width="12.85546875" style="216" customWidth="1"/>
    <col min="7693" max="7693" width="12.7109375" style="216" customWidth="1"/>
    <col min="7694" max="7694" width="12.28515625" style="216" bestFit="1" customWidth="1"/>
    <col min="7695" max="7695" width="13.85546875" style="216" customWidth="1"/>
    <col min="7696" max="7936" width="9.140625" style="216"/>
    <col min="7937" max="7937" width="2.7109375" style="216" customWidth="1"/>
    <col min="7938" max="7938" width="9.140625" style="216"/>
    <col min="7939" max="7939" width="40.28515625" style="216" bestFit="1" customWidth="1"/>
    <col min="7940" max="7940" width="12" style="216" customWidth="1"/>
    <col min="7941" max="7941" width="10" style="216" customWidth="1"/>
    <col min="7942" max="7942" width="14.85546875" style="216" customWidth="1"/>
    <col min="7943" max="7943" width="9.5703125" style="216" customWidth="1"/>
    <col min="7944" max="7945" width="12.28515625" style="216" customWidth="1"/>
    <col min="7946" max="7948" width="12.85546875" style="216" customWidth="1"/>
    <col min="7949" max="7949" width="12.7109375" style="216" customWidth="1"/>
    <col min="7950" max="7950" width="12.28515625" style="216" bestFit="1" customWidth="1"/>
    <col min="7951" max="7951" width="13.85546875" style="216" customWidth="1"/>
    <col min="7952" max="8192" width="9.140625" style="216"/>
    <col min="8193" max="8193" width="2.7109375" style="216" customWidth="1"/>
    <col min="8194" max="8194" width="9.140625" style="216"/>
    <col min="8195" max="8195" width="40.28515625" style="216" bestFit="1" customWidth="1"/>
    <col min="8196" max="8196" width="12" style="216" customWidth="1"/>
    <col min="8197" max="8197" width="10" style="216" customWidth="1"/>
    <col min="8198" max="8198" width="14.85546875" style="216" customWidth="1"/>
    <col min="8199" max="8199" width="9.5703125" style="216" customWidth="1"/>
    <col min="8200" max="8201" width="12.28515625" style="216" customWidth="1"/>
    <col min="8202" max="8204" width="12.85546875" style="216" customWidth="1"/>
    <col min="8205" max="8205" width="12.7109375" style="216" customWidth="1"/>
    <col min="8206" max="8206" width="12.28515625" style="216" bestFit="1" customWidth="1"/>
    <col min="8207" max="8207" width="13.85546875" style="216" customWidth="1"/>
    <col min="8208" max="8448" width="9.140625" style="216"/>
    <col min="8449" max="8449" width="2.7109375" style="216" customWidth="1"/>
    <col min="8450" max="8450" width="9.140625" style="216"/>
    <col min="8451" max="8451" width="40.28515625" style="216" bestFit="1" customWidth="1"/>
    <col min="8452" max="8452" width="12" style="216" customWidth="1"/>
    <col min="8453" max="8453" width="10" style="216" customWidth="1"/>
    <col min="8454" max="8454" width="14.85546875" style="216" customWidth="1"/>
    <col min="8455" max="8455" width="9.5703125" style="216" customWidth="1"/>
    <col min="8456" max="8457" width="12.28515625" style="216" customWidth="1"/>
    <col min="8458" max="8460" width="12.85546875" style="216" customWidth="1"/>
    <col min="8461" max="8461" width="12.7109375" style="216" customWidth="1"/>
    <col min="8462" max="8462" width="12.28515625" style="216" bestFit="1" customWidth="1"/>
    <col min="8463" max="8463" width="13.85546875" style="216" customWidth="1"/>
    <col min="8464" max="8704" width="9.140625" style="216"/>
    <col min="8705" max="8705" width="2.7109375" style="216" customWidth="1"/>
    <col min="8706" max="8706" width="9.140625" style="216"/>
    <col min="8707" max="8707" width="40.28515625" style="216" bestFit="1" customWidth="1"/>
    <col min="8708" max="8708" width="12" style="216" customWidth="1"/>
    <col min="8709" max="8709" width="10" style="216" customWidth="1"/>
    <col min="8710" max="8710" width="14.85546875" style="216" customWidth="1"/>
    <col min="8711" max="8711" width="9.5703125" style="216" customWidth="1"/>
    <col min="8712" max="8713" width="12.28515625" style="216" customWidth="1"/>
    <col min="8714" max="8716" width="12.85546875" style="216" customWidth="1"/>
    <col min="8717" max="8717" width="12.7109375" style="216" customWidth="1"/>
    <col min="8718" max="8718" width="12.28515625" style="216" bestFit="1" customWidth="1"/>
    <col min="8719" max="8719" width="13.85546875" style="216" customWidth="1"/>
    <col min="8720" max="8960" width="9.140625" style="216"/>
    <col min="8961" max="8961" width="2.7109375" style="216" customWidth="1"/>
    <col min="8962" max="8962" width="9.140625" style="216"/>
    <col min="8963" max="8963" width="40.28515625" style="216" bestFit="1" customWidth="1"/>
    <col min="8964" max="8964" width="12" style="216" customWidth="1"/>
    <col min="8965" max="8965" width="10" style="216" customWidth="1"/>
    <col min="8966" max="8966" width="14.85546875" style="216" customWidth="1"/>
    <col min="8967" max="8967" width="9.5703125" style="216" customWidth="1"/>
    <col min="8968" max="8969" width="12.28515625" style="216" customWidth="1"/>
    <col min="8970" max="8972" width="12.85546875" style="216" customWidth="1"/>
    <col min="8973" max="8973" width="12.7109375" style="216" customWidth="1"/>
    <col min="8974" max="8974" width="12.28515625" style="216" bestFit="1" customWidth="1"/>
    <col min="8975" max="8975" width="13.85546875" style="216" customWidth="1"/>
    <col min="8976" max="9216" width="9.140625" style="216"/>
    <col min="9217" max="9217" width="2.7109375" style="216" customWidth="1"/>
    <col min="9218" max="9218" width="9.140625" style="216"/>
    <col min="9219" max="9219" width="40.28515625" style="216" bestFit="1" customWidth="1"/>
    <col min="9220" max="9220" width="12" style="216" customWidth="1"/>
    <col min="9221" max="9221" width="10" style="216" customWidth="1"/>
    <col min="9222" max="9222" width="14.85546875" style="216" customWidth="1"/>
    <col min="9223" max="9223" width="9.5703125" style="216" customWidth="1"/>
    <col min="9224" max="9225" width="12.28515625" style="216" customWidth="1"/>
    <col min="9226" max="9228" width="12.85546875" style="216" customWidth="1"/>
    <col min="9229" max="9229" width="12.7109375" style="216" customWidth="1"/>
    <col min="9230" max="9230" width="12.28515625" style="216" bestFit="1" customWidth="1"/>
    <col min="9231" max="9231" width="13.85546875" style="216" customWidth="1"/>
    <col min="9232" max="9472" width="9.140625" style="216"/>
    <col min="9473" max="9473" width="2.7109375" style="216" customWidth="1"/>
    <col min="9474" max="9474" width="9.140625" style="216"/>
    <col min="9475" max="9475" width="40.28515625" style="216" bestFit="1" customWidth="1"/>
    <col min="9476" max="9476" width="12" style="216" customWidth="1"/>
    <col min="9477" max="9477" width="10" style="216" customWidth="1"/>
    <col min="9478" max="9478" width="14.85546875" style="216" customWidth="1"/>
    <col min="9479" max="9479" width="9.5703125" style="216" customWidth="1"/>
    <col min="9480" max="9481" width="12.28515625" style="216" customWidth="1"/>
    <col min="9482" max="9484" width="12.85546875" style="216" customWidth="1"/>
    <col min="9485" max="9485" width="12.7109375" style="216" customWidth="1"/>
    <col min="9486" max="9486" width="12.28515625" style="216" bestFit="1" customWidth="1"/>
    <col min="9487" max="9487" width="13.85546875" style="216" customWidth="1"/>
    <col min="9488" max="9728" width="9.140625" style="216"/>
    <col min="9729" max="9729" width="2.7109375" style="216" customWidth="1"/>
    <col min="9730" max="9730" width="9.140625" style="216"/>
    <col min="9731" max="9731" width="40.28515625" style="216" bestFit="1" customWidth="1"/>
    <col min="9732" max="9732" width="12" style="216" customWidth="1"/>
    <col min="9733" max="9733" width="10" style="216" customWidth="1"/>
    <col min="9734" max="9734" width="14.85546875" style="216" customWidth="1"/>
    <col min="9735" max="9735" width="9.5703125" style="216" customWidth="1"/>
    <col min="9736" max="9737" width="12.28515625" style="216" customWidth="1"/>
    <col min="9738" max="9740" width="12.85546875" style="216" customWidth="1"/>
    <col min="9741" max="9741" width="12.7109375" style="216" customWidth="1"/>
    <col min="9742" max="9742" width="12.28515625" style="216" bestFit="1" customWidth="1"/>
    <col min="9743" max="9743" width="13.85546875" style="216" customWidth="1"/>
    <col min="9744" max="9984" width="9.140625" style="216"/>
    <col min="9985" max="9985" width="2.7109375" style="216" customWidth="1"/>
    <col min="9986" max="9986" width="9.140625" style="216"/>
    <col min="9987" max="9987" width="40.28515625" style="216" bestFit="1" customWidth="1"/>
    <col min="9988" max="9988" width="12" style="216" customWidth="1"/>
    <col min="9989" max="9989" width="10" style="216" customWidth="1"/>
    <col min="9990" max="9990" width="14.85546875" style="216" customWidth="1"/>
    <col min="9991" max="9991" width="9.5703125" style="216" customWidth="1"/>
    <col min="9992" max="9993" width="12.28515625" style="216" customWidth="1"/>
    <col min="9994" max="9996" width="12.85546875" style="216" customWidth="1"/>
    <col min="9997" max="9997" width="12.7109375" style="216" customWidth="1"/>
    <col min="9998" max="9998" width="12.28515625" style="216" bestFit="1" customWidth="1"/>
    <col min="9999" max="9999" width="13.85546875" style="216" customWidth="1"/>
    <col min="10000" max="10240" width="9.140625" style="216"/>
    <col min="10241" max="10241" width="2.7109375" style="216" customWidth="1"/>
    <col min="10242" max="10242" width="9.140625" style="216"/>
    <col min="10243" max="10243" width="40.28515625" style="216" bestFit="1" customWidth="1"/>
    <col min="10244" max="10244" width="12" style="216" customWidth="1"/>
    <col min="10245" max="10245" width="10" style="216" customWidth="1"/>
    <col min="10246" max="10246" width="14.85546875" style="216" customWidth="1"/>
    <col min="10247" max="10247" width="9.5703125" style="216" customWidth="1"/>
    <col min="10248" max="10249" width="12.28515625" style="216" customWidth="1"/>
    <col min="10250" max="10252" width="12.85546875" style="216" customWidth="1"/>
    <col min="10253" max="10253" width="12.7109375" style="216" customWidth="1"/>
    <col min="10254" max="10254" width="12.28515625" style="216" bestFit="1" customWidth="1"/>
    <col min="10255" max="10255" width="13.85546875" style="216" customWidth="1"/>
    <col min="10256" max="10496" width="9.140625" style="216"/>
    <col min="10497" max="10497" width="2.7109375" style="216" customWidth="1"/>
    <col min="10498" max="10498" width="9.140625" style="216"/>
    <col min="10499" max="10499" width="40.28515625" style="216" bestFit="1" customWidth="1"/>
    <col min="10500" max="10500" width="12" style="216" customWidth="1"/>
    <col min="10501" max="10501" width="10" style="216" customWidth="1"/>
    <col min="10502" max="10502" width="14.85546875" style="216" customWidth="1"/>
    <col min="10503" max="10503" width="9.5703125" style="216" customWidth="1"/>
    <col min="10504" max="10505" width="12.28515625" style="216" customWidth="1"/>
    <col min="10506" max="10508" width="12.85546875" style="216" customWidth="1"/>
    <col min="10509" max="10509" width="12.7109375" style="216" customWidth="1"/>
    <col min="10510" max="10510" width="12.28515625" style="216" bestFit="1" customWidth="1"/>
    <col min="10511" max="10511" width="13.85546875" style="216" customWidth="1"/>
    <col min="10512" max="10752" width="9.140625" style="216"/>
    <col min="10753" max="10753" width="2.7109375" style="216" customWidth="1"/>
    <col min="10754" max="10754" width="9.140625" style="216"/>
    <col min="10755" max="10755" width="40.28515625" style="216" bestFit="1" customWidth="1"/>
    <col min="10756" max="10756" width="12" style="216" customWidth="1"/>
    <col min="10757" max="10757" width="10" style="216" customWidth="1"/>
    <col min="10758" max="10758" width="14.85546875" style="216" customWidth="1"/>
    <col min="10759" max="10759" width="9.5703125" style="216" customWidth="1"/>
    <col min="10760" max="10761" width="12.28515625" style="216" customWidth="1"/>
    <col min="10762" max="10764" width="12.85546875" style="216" customWidth="1"/>
    <col min="10765" max="10765" width="12.7109375" style="216" customWidth="1"/>
    <col min="10766" max="10766" width="12.28515625" style="216" bestFit="1" customWidth="1"/>
    <col min="10767" max="10767" width="13.85546875" style="216" customWidth="1"/>
    <col min="10768" max="11008" width="9.140625" style="216"/>
    <col min="11009" max="11009" width="2.7109375" style="216" customWidth="1"/>
    <col min="11010" max="11010" width="9.140625" style="216"/>
    <col min="11011" max="11011" width="40.28515625" style="216" bestFit="1" customWidth="1"/>
    <col min="11012" max="11012" width="12" style="216" customWidth="1"/>
    <col min="11013" max="11013" width="10" style="216" customWidth="1"/>
    <col min="11014" max="11014" width="14.85546875" style="216" customWidth="1"/>
    <col min="11015" max="11015" width="9.5703125" style="216" customWidth="1"/>
    <col min="11016" max="11017" width="12.28515625" style="216" customWidth="1"/>
    <col min="11018" max="11020" width="12.85546875" style="216" customWidth="1"/>
    <col min="11021" max="11021" width="12.7109375" style="216" customWidth="1"/>
    <col min="11022" max="11022" width="12.28515625" style="216" bestFit="1" customWidth="1"/>
    <col min="11023" max="11023" width="13.85546875" style="216" customWidth="1"/>
    <col min="11024" max="11264" width="9.140625" style="216"/>
    <col min="11265" max="11265" width="2.7109375" style="216" customWidth="1"/>
    <col min="11266" max="11266" width="9.140625" style="216"/>
    <col min="11267" max="11267" width="40.28515625" style="216" bestFit="1" customWidth="1"/>
    <col min="11268" max="11268" width="12" style="216" customWidth="1"/>
    <col min="11269" max="11269" width="10" style="216" customWidth="1"/>
    <col min="11270" max="11270" width="14.85546875" style="216" customWidth="1"/>
    <col min="11271" max="11271" width="9.5703125" style="216" customWidth="1"/>
    <col min="11272" max="11273" width="12.28515625" style="216" customWidth="1"/>
    <col min="11274" max="11276" width="12.85546875" style="216" customWidth="1"/>
    <col min="11277" max="11277" width="12.7109375" style="216" customWidth="1"/>
    <col min="11278" max="11278" width="12.28515625" style="216" bestFit="1" customWidth="1"/>
    <col min="11279" max="11279" width="13.85546875" style="216" customWidth="1"/>
    <col min="11280" max="11520" width="9.140625" style="216"/>
    <col min="11521" max="11521" width="2.7109375" style="216" customWidth="1"/>
    <col min="11522" max="11522" width="9.140625" style="216"/>
    <col min="11523" max="11523" width="40.28515625" style="216" bestFit="1" customWidth="1"/>
    <col min="11524" max="11524" width="12" style="216" customWidth="1"/>
    <col min="11525" max="11525" width="10" style="216" customWidth="1"/>
    <col min="11526" max="11526" width="14.85546875" style="216" customWidth="1"/>
    <col min="11527" max="11527" width="9.5703125" style="216" customWidth="1"/>
    <col min="11528" max="11529" width="12.28515625" style="216" customWidth="1"/>
    <col min="11530" max="11532" width="12.85546875" style="216" customWidth="1"/>
    <col min="11533" max="11533" width="12.7109375" style="216" customWidth="1"/>
    <col min="11534" max="11534" width="12.28515625" style="216" bestFit="1" customWidth="1"/>
    <col min="11535" max="11535" width="13.85546875" style="216" customWidth="1"/>
    <col min="11536" max="11776" width="9.140625" style="216"/>
    <col min="11777" max="11777" width="2.7109375" style="216" customWidth="1"/>
    <col min="11778" max="11778" width="9.140625" style="216"/>
    <col min="11779" max="11779" width="40.28515625" style="216" bestFit="1" customWidth="1"/>
    <col min="11780" max="11780" width="12" style="216" customWidth="1"/>
    <col min="11781" max="11781" width="10" style="216" customWidth="1"/>
    <col min="11782" max="11782" width="14.85546875" style="216" customWidth="1"/>
    <col min="11783" max="11783" width="9.5703125" style="216" customWidth="1"/>
    <col min="11784" max="11785" width="12.28515625" style="216" customWidth="1"/>
    <col min="11786" max="11788" width="12.85546875" style="216" customWidth="1"/>
    <col min="11789" max="11789" width="12.7109375" style="216" customWidth="1"/>
    <col min="11790" max="11790" width="12.28515625" style="216" bestFit="1" customWidth="1"/>
    <col min="11791" max="11791" width="13.85546875" style="216" customWidth="1"/>
    <col min="11792" max="12032" width="9.140625" style="216"/>
    <col min="12033" max="12033" width="2.7109375" style="216" customWidth="1"/>
    <col min="12034" max="12034" width="9.140625" style="216"/>
    <col min="12035" max="12035" width="40.28515625" style="216" bestFit="1" customWidth="1"/>
    <col min="12036" max="12036" width="12" style="216" customWidth="1"/>
    <col min="12037" max="12037" width="10" style="216" customWidth="1"/>
    <col min="12038" max="12038" width="14.85546875" style="216" customWidth="1"/>
    <col min="12039" max="12039" width="9.5703125" style="216" customWidth="1"/>
    <col min="12040" max="12041" width="12.28515625" style="216" customWidth="1"/>
    <col min="12042" max="12044" width="12.85546875" style="216" customWidth="1"/>
    <col min="12045" max="12045" width="12.7109375" style="216" customWidth="1"/>
    <col min="12046" max="12046" width="12.28515625" style="216" bestFit="1" customWidth="1"/>
    <col min="12047" max="12047" width="13.85546875" style="216" customWidth="1"/>
    <col min="12048" max="12288" width="9.140625" style="216"/>
    <col min="12289" max="12289" width="2.7109375" style="216" customWidth="1"/>
    <col min="12290" max="12290" width="9.140625" style="216"/>
    <col min="12291" max="12291" width="40.28515625" style="216" bestFit="1" customWidth="1"/>
    <col min="12292" max="12292" width="12" style="216" customWidth="1"/>
    <col min="12293" max="12293" width="10" style="216" customWidth="1"/>
    <col min="12294" max="12294" width="14.85546875" style="216" customWidth="1"/>
    <col min="12295" max="12295" width="9.5703125" style="216" customWidth="1"/>
    <col min="12296" max="12297" width="12.28515625" style="216" customWidth="1"/>
    <col min="12298" max="12300" width="12.85546875" style="216" customWidth="1"/>
    <col min="12301" max="12301" width="12.7109375" style="216" customWidth="1"/>
    <col min="12302" max="12302" width="12.28515625" style="216" bestFit="1" customWidth="1"/>
    <col min="12303" max="12303" width="13.85546875" style="216" customWidth="1"/>
    <col min="12304" max="12544" width="9.140625" style="216"/>
    <col min="12545" max="12545" width="2.7109375" style="216" customWidth="1"/>
    <col min="12546" max="12546" width="9.140625" style="216"/>
    <col min="12547" max="12547" width="40.28515625" style="216" bestFit="1" customWidth="1"/>
    <col min="12548" max="12548" width="12" style="216" customWidth="1"/>
    <col min="12549" max="12549" width="10" style="216" customWidth="1"/>
    <col min="12550" max="12550" width="14.85546875" style="216" customWidth="1"/>
    <col min="12551" max="12551" width="9.5703125" style="216" customWidth="1"/>
    <col min="12552" max="12553" width="12.28515625" style="216" customWidth="1"/>
    <col min="12554" max="12556" width="12.85546875" style="216" customWidth="1"/>
    <col min="12557" max="12557" width="12.7109375" style="216" customWidth="1"/>
    <col min="12558" max="12558" width="12.28515625" style="216" bestFit="1" customWidth="1"/>
    <col min="12559" max="12559" width="13.85546875" style="216" customWidth="1"/>
    <col min="12560" max="12800" width="9.140625" style="216"/>
    <col min="12801" max="12801" width="2.7109375" style="216" customWidth="1"/>
    <col min="12802" max="12802" width="9.140625" style="216"/>
    <col min="12803" max="12803" width="40.28515625" style="216" bestFit="1" customWidth="1"/>
    <col min="12804" max="12804" width="12" style="216" customWidth="1"/>
    <col min="12805" max="12805" width="10" style="216" customWidth="1"/>
    <col min="12806" max="12806" width="14.85546875" style="216" customWidth="1"/>
    <col min="12807" max="12807" width="9.5703125" style="216" customWidth="1"/>
    <col min="12808" max="12809" width="12.28515625" style="216" customWidth="1"/>
    <col min="12810" max="12812" width="12.85546875" style="216" customWidth="1"/>
    <col min="12813" max="12813" width="12.7109375" style="216" customWidth="1"/>
    <col min="12814" max="12814" width="12.28515625" style="216" bestFit="1" customWidth="1"/>
    <col min="12815" max="12815" width="13.85546875" style="216" customWidth="1"/>
    <col min="12816" max="13056" width="9.140625" style="216"/>
    <col min="13057" max="13057" width="2.7109375" style="216" customWidth="1"/>
    <col min="13058" max="13058" width="9.140625" style="216"/>
    <col min="13059" max="13059" width="40.28515625" style="216" bestFit="1" customWidth="1"/>
    <col min="13060" max="13060" width="12" style="216" customWidth="1"/>
    <col min="13061" max="13061" width="10" style="216" customWidth="1"/>
    <col min="13062" max="13062" width="14.85546875" style="216" customWidth="1"/>
    <col min="13063" max="13063" width="9.5703125" style="216" customWidth="1"/>
    <col min="13064" max="13065" width="12.28515625" style="216" customWidth="1"/>
    <col min="13066" max="13068" width="12.85546875" style="216" customWidth="1"/>
    <col min="13069" max="13069" width="12.7109375" style="216" customWidth="1"/>
    <col min="13070" max="13070" width="12.28515625" style="216" bestFit="1" customWidth="1"/>
    <col min="13071" max="13071" width="13.85546875" style="216" customWidth="1"/>
    <col min="13072" max="13312" width="9.140625" style="216"/>
    <col min="13313" max="13313" width="2.7109375" style="216" customWidth="1"/>
    <col min="13314" max="13314" width="9.140625" style="216"/>
    <col min="13315" max="13315" width="40.28515625" style="216" bestFit="1" customWidth="1"/>
    <col min="13316" max="13316" width="12" style="216" customWidth="1"/>
    <col min="13317" max="13317" width="10" style="216" customWidth="1"/>
    <col min="13318" max="13318" width="14.85546875" style="216" customWidth="1"/>
    <col min="13319" max="13319" width="9.5703125" style="216" customWidth="1"/>
    <col min="13320" max="13321" width="12.28515625" style="216" customWidth="1"/>
    <col min="13322" max="13324" width="12.85546875" style="216" customWidth="1"/>
    <col min="13325" max="13325" width="12.7109375" style="216" customWidth="1"/>
    <col min="13326" max="13326" width="12.28515625" style="216" bestFit="1" customWidth="1"/>
    <col min="13327" max="13327" width="13.85546875" style="216" customWidth="1"/>
    <col min="13328" max="13568" width="9.140625" style="216"/>
    <col min="13569" max="13569" width="2.7109375" style="216" customWidth="1"/>
    <col min="13570" max="13570" width="9.140625" style="216"/>
    <col min="13571" max="13571" width="40.28515625" style="216" bestFit="1" customWidth="1"/>
    <col min="13572" max="13572" width="12" style="216" customWidth="1"/>
    <col min="13573" max="13573" width="10" style="216" customWidth="1"/>
    <col min="13574" max="13574" width="14.85546875" style="216" customWidth="1"/>
    <col min="13575" max="13575" width="9.5703125" style="216" customWidth="1"/>
    <col min="13576" max="13577" width="12.28515625" style="216" customWidth="1"/>
    <col min="13578" max="13580" width="12.85546875" style="216" customWidth="1"/>
    <col min="13581" max="13581" width="12.7109375" style="216" customWidth="1"/>
    <col min="13582" max="13582" width="12.28515625" style="216" bestFit="1" customWidth="1"/>
    <col min="13583" max="13583" width="13.85546875" style="216" customWidth="1"/>
    <col min="13584" max="13824" width="9.140625" style="216"/>
    <col min="13825" max="13825" width="2.7109375" style="216" customWidth="1"/>
    <col min="13826" max="13826" width="9.140625" style="216"/>
    <col min="13827" max="13827" width="40.28515625" style="216" bestFit="1" customWidth="1"/>
    <col min="13828" max="13828" width="12" style="216" customWidth="1"/>
    <col min="13829" max="13829" width="10" style="216" customWidth="1"/>
    <col min="13830" max="13830" width="14.85546875" style="216" customWidth="1"/>
    <col min="13831" max="13831" width="9.5703125" style="216" customWidth="1"/>
    <col min="13832" max="13833" width="12.28515625" style="216" customWidth="1"/>
    <col min="13834" max="13836" width="12.85546875" style="216" customWidth="1"/>
    <col min="13837" max="13837" width="12.7109375" style="216" customWidth="1"/>
    <col min="13838" max="13838" width="12.28515625" style="216" bestFit="1" customWidth="1"/>
    <col min="13839" max="13839" width="13.85546875" style="216" customWidth="1"/>
    <col min="13840" max="14080" width="9.140625" style="216"/>
    <col min="14081" max="14081" width="2.7109375" style="216" customWidth="1"/>
    <col min="14082" max="14082" width="9.140625" style="216"/>
    <col min="14083" max="14083" width="40.28515625" style="216" bestFit="1" customWidth="1"/>
    <col min="14084" max="14084" width="12" style="216" customWidth="1"/>
    <col min="14085" max="14085" width="10" style="216" customWidth="1"/>
    <col min="14086" max="14086" width="14.85546875" style="216" customWidth="1"/>
    <col min="14087" max="14087" width="9.5703125" style="216" customWidth="1"/>
    <col min="14088" max="14089" width="12.28515625" style="216" customWidth="1"/>
    <col min="14090" max="14092" width="12.85546875" style="216" customWidth="1"/>
    <col min="14093" max="14093" width="12.7109375" style="216" customWidth="1"/>
    <col min="14094" max="14094" width="12.28515625" style="216" bestFit="1" customWidth="1"/>
    <col min="14095" max="14095" width="13.85546875" style="216" customWidth="1"/>
    <col min="14096" max="14336" width="9.140625" style="216"/>
    <col min="14337" max="14337" width="2.7109375" style="216" customWidth="1"/>
    <col min="14338" max="14338" width="9.140625" style="216"/>
    <col min="14339" max="14339" width="40.28515625" style="216" bestFit="1" customWidth="1"/>
    <col min="14340" max="14340" width="12" style="216" customWidth="1"/>
    <col min="14341" max="14341" width="10" style="216" customWidth="1"/>
    <col min="14342" max="14342" width="14.85546875" style="216" customWidth="1"/>
    <col min="14343" max="14343" width="9.5703125" style="216" customWidth="1"/>
    <col min="14344" max="14345" width="12.28515625" style="216" customWidth="1"/>
    <col min="14346" max="14348" width="12.85546875" style="216" customWidth="1"/>
    <col min="14349" max="14349" width="12.7109375" style="216" customWidth="1"/>
    <col min="14350" max="14350" width="12.28515625" style="216" bestFit="1" customWidth="1"/>
    <col min="14351" max="14351" width="13.85546875" style="216" customWidth="1"/>
    <col min="14352" max="14592" width="9.140625" style="216"/>
    <col min="14593" max="14593" width="2.7109375" style="216" customWidth="1"/>
    <col min="14594" max="14594" width="9.140625" style="216"/>
    <col min="14595" max="14595" width="40.28515625" style="216" bestFit="1" customWidth="1"/>
    <col min="14596" max="14596" width="12" style="216" customWidth="1"/>
    <col min="14597" max="14597" width="10" style="216" customWidth="1"/>
    <col min="14598" max="14598" width="14.85546875" style="216" customWidth="1"/>
    <col min="14599" max="14599" width="9.5703125" style="216" customWidth="1"/>
    <col min="14600" max="14601" width="12.28515625" style="216" customWidth="1"/>
    <col min="14602" max="14604" width="12.85546875" style="216" customWidth="1"/>
    <col min="14605" max="14605" width="12.7109375" style="216" customWidth="1"/>
    <col min="14606" max="14606" width="12.28515625" style="216" bestFit="1" customWidth="1"/>
    <col min="14607" max="14607" width="13.85546875" style="216" customWidth="1"/>
    <col min="14608" max="14848" width="9.140625" style="216"/>
    <col min="14849" max="14849" width="2.7109375" style="216" customWidth="1"/>
    <col min="14850" max="14850" width="9.140625" style="216"/>
    <col min="14851" max="14851" width="40.28515625" style="216" bestFit="1" customWidth="1"/>
    <col min="14852" max="14852" width="12" style="216" customWidth="1"/>
    <col min="14853" max="14853" width="10" style="216" customWidth="1"/>
    <col min="14854" max="14854" width="14.85546875" style="216" customWidth="1"/>
    <col min="14855" max="14855" width="9.5703125" style="216" customWidth="1"/>
    <col min="14856" max="14857" width="12.28515625" style="216" customWidth="1"/>
    <col min="14858" max="14860" width="12.85546875" style="216" customWidth="1"/>
    <col min="14861" max="14861" width="12.7109375" style="216" customWidth="1"/>
    <col min="14862" max="14862" width="12.28515625" style="216" bestFit="1" customWidth="1"/>
    <col min="14863" max="14863" width="13.85546875" style="216" customWidth="1"/>
    <col min="14864" max="15104" width="9.140625" style="216"/>
    <col min="15105" max="15105" width="2.7109375" style="216" customWidth="1"/>
    <col min="15106" max="15106" width="9.140625" style="216"/>
    <col min="15107" max="15107" width="40.28515625" style="216" bestFit="1" customWidth="1"/>
    <col min="15108" max="15108" width="12" style="216" customWidth="1"/>
    <col min="15109" max="15109" width="10" style="216" customWidth="1"/>
    <col min="15110" max="15110" width="14.85546875" style="216" customWidth="1"/>
    <col min="15111" max="15111" width="9.5703125" style="216" customWidth="1"/>
    <col min="15112" max="15113" width="12.28515625" style="216" customWidth="1"/>
    <col min="15114" max="15116" width="12.85546875" style="216" customWidth="1"/>
    <col min="15117" max="15117" width="12.7109375" style="216" customWidth="1"/>
    <col min="15118" max="15118" width="12.28515625" style="216" bestFit="1" customWidth="1"/>
    <col min="15119" max="15119" width="13.85546875" style="216" customWidth="1"/>
    <col min="15120" max="15360" width="9.140625" style="216"/>
    <col min="15361" max="15361" width="2.7109375" style="216" customWidth="1"/>
    <col min="15362" max="15362" width="9.140625" style="216"/>
    <col min="15363" max="15363" width="40.28515625" style="216" bestFit="1" customWidth="1"/>
    <col min="15364" max="15364" width="12" style="216" customWidth="1"/>
    <col min="15365" max="15365" width="10" style="216" customWidth="1"/>
    <col min="15366" max="15366" width="14.85546875" style="216" customWidth="1"/>
    <col min="15367" max="15367" width="9.5703125" style="216" customWidth="1"/>
    <col min="15368" max="15369" width="12.28515625" style="216" customWidth="1"/>
    <col min="15370" max="15372" width="12.85546875" style="216" customWidth="1"/>
    <col min="15373" max="15373" width="12.7109375" style="216" customWidth="1"/>
    <col min="15374" max="15374" width="12.28515625" style="216" bestFit="1" customWidth="1"/>
    <col min="15375" max="15375" width="13.85546875" style="216" customWidth="1"/>
    <col min="15376" max="15616" width="9.140625" style="216"/>
    <col min="15617" max="15617" width="2.7109375" style="216" customWidth="1"/>
    <col min="15618" max="15618" width="9.140625" style="216"/>
    <col min="15619" max="15619" width="40.28515625" style="216" bestFit="1" customWidth="1"/>
    <col min="15620" max="15620" width="12" style="216" customWidth="1"/>
    <col min="15621" max="15621" width="10" style="216" customWidth="1"/>
    <col min="15622" max="15622" width="14.85546875" style="216" customWidth="1"/>
    <col min="15623" max="15623" width="9.5703125" style="216" customWidth="1"/>
    <col min="15624" max="15625" width="12.28515625" style="216" customWidth="1"/>
    <col min="15626" max="15628" width="12.85546875" style="216" customWidth="1"/>
    <col min="15629" max="15629" width="12.7109375" style="216" customWidth="1"/>
    <col min="15630" max="15630" width="12.28515625" style="216" bestFit="1" customWidth="1"/>
    <col min="15631" max="15631" width="13.85546875" style="216" customWidth="1"/>
    <col min="15632" max="15872" width="9.140625" style="216"/>
    <col min="15873" max="15873" width="2.7109375" style="216" customWidth="1"/>
    <col min="15874" max="15874" width="9.140625" style="216"/>
    <col min="15875" max="15875" width="40.28515625" style="216" bestFit="1" customWidth="1"/>
    <col min="15876" max="15876" width="12" style="216" customWidth="1"/>
    <col min="15877" max="15877" width="10" style="216" customWidth="1"/>
    <col min="15878" max="15878" width="14.85546875" style="216" customWidth="1"/>
    <col min="15879" max="15879" width="9.5703125" style="216" customWidth="1"/>
    <col min="15880" max="15881" width="12.28515625" style="216" customWidth="1"/>
    <col min="15882" max="15884" width="12.85546875" style="216" customWidth="1"/>
    <col min="15885" max="15885" width="12.7109375" style="216" customWidth="1"/>
    <col min="15886" max="15886" width="12.28515625" style="216" bestFit="1" customWidth="1"/>
    <col min="15887" max="15887" width="13.85546875" style="216" customWidth="1"/>
    <col min="15888" max="16128" width="9.140625" style="216"/>
    <col min="16129" max="16129" width="2.7109375" style="216" customWidth="1"/>
    <col min="16130" max="16130" width="9.140625" style="216"/>
    <col min="16131" max="16131" width="40.28515625" style="216" bestFit="1" customWidth="1"/>
    <col min="16132" max="16132" width="12" style="216" customWidth="1"/>
    <col min="16133" max="16133" width="10" style="216" customWidth="1"/>
    <col min="16134" max="16134" width="14.85546875" style="216" customWidth="1"/>
    <col min="16135" max="16135" width="9.5703125" style="216" customWidth="1"/>
    <col min="16136" max="16137" width="12.28515625" style="216" customWidth="1"/>
    <col min="16138" max="16140" width="12.85546875" style="216" customWidth="1"/>
    <col min="16141" max="16141" width="12.7109375" style="216" customWidth="1"/>
    <col min="16142" max="16142" width="12.28515625" style="216" bestFit="1" customWidth="1"/>
    <col min="16143" max="16143" width="13.85546875" style="216" customWidth="1"/>
    <col min="16144" max="16384" width="9.140625" style="216"/>
  </cols>
  <sheetData>
    <row r="1" spans="1:16" x14ac:dyDescent="0.2">
      <c r="N1" s="217" t="s">
        <v>419</v>
      </c>
      <c r="O1" s="766" t="str">
        <f>EBNUMBER</f>
        <v>EB-2014-0113</v>
      </c>
      <c r="P1" s="219"/>
    </row>
    <row r="2" spans="1:16" x14ac:dyDescent="0.2">
      <c r="N2" s="217" t="s">
        <v>420</v>
      </c>
      <c r="O2" s="767">
        <v>2</v>
      </c>
      <c r="P2" s="219"/>
    </row>
    <row r="3" spans="1:16" x14ac:dyDescent="0.2">
      <c r="N3" s="217" t="s">
        <v>421</v>
      </c>
      <c r="O3" s="767">
        <v>2</v>
      </c>
      <c r="P3" s="219"/>
    </row>
    <row r="4" spans="1:16" x14ac:dyDescent="0.2">
      <c r="N4" s="217" t="s">
        <v>422</v>
      </c>
      <c r="O4" s="767">
        <v>2</v>
      </c>
      <c r="P4" s="219"/>
    </row>
    <row r="5" spans="1:16" x14ac:dyDescent="0.2">
      <c r="N5" s="217" t="s">
        <v>423</v>
      </c>
      <c r="O5" s="768"/>
      <c r="P5" s="219"/>
    </row>
    <row r="6" spans="1:16" x14ac:dyDescent="0.2">
      <c r="N6" s="217"/>
      <c r="O6" s="766"/>
      <c r="P6" s="219"/>
    </row>
    <row r="7" spans="1:16" x14ac:dyDescent="0.2">
      <c r="N7" s="217" t="s">
        <v>424</v>
      </c>
      <c r="O7" s="1467">
        <v>42119</v>
      </c>
      <c r="P7" s="220"/>
    </row>
    <row r="9" spans="1:16" ht="18" x14ac:dyDescent="0.2">
      <c r="A9" s="1810" t="s">
        <v>2151</v>
      </c>
      <c r="B9" s="1810"/>
      <c r="C9" s="1810"/>
      <c r="D9" s="1810"/>
      <c r="E9" s="1810"/>
      <c r="F9" s="1810"/>
      <c r="G9" s="1810"/>
      <c r="H9" s="1810"/>
      <c r="I9" s="1810"/>
      <c r="J9" s="1810"/>
      <c r="K9" s="1810"/>
      <c r="L9" s="1810"/>
      <c r="M9" s="1810"/>
      <c r="N9" s="1810"/>
      <c r="O9" s="1810"/>
    </row>
    <row r="10" spans="1:16" ht="18" x14ac:dyDescent="0.2">
      <c r="A10" s="1810" t="s">
        <v>3</v>
      </c>
      <c r="B10" s="1810"/>
      <c r="C10" s="1810"/>
      <c r="D10" s="1810"/>
      <c r="E10" s="1810"/>
      <c r="F10" s="1810"/>
      <c r="G10" s="1810"/>
      <c r="H10" s="1810"/>
      <c r="I10" s="1810"/>
      <c r="J10" s="1810"/>
      <c r="K10" s="1810"/>
      <c r="L10" s="1810"/>
      <c r="M10" s="1810"/>
      <c r="N10" s="1810"/>
      <c r="O10" s="1810"/>
    </row>
    <row r="11" spans="1:16" ht="22.5" customHeight="1" x14ac:dyDescent="0.2">
      <c r="A11" s="1877" t="s">
        <v>795</v>
      </c>
      <c r="B11" s="1877"/>
      <c r="C11" s="1877"/>
      <c r="D11" s="1877"/>
      <c r="E11" s="1877"/>
      <c r="F11" s="1877"/>
      <c r="G11" s="1877"/>
      <c r="H11" s="1877"/>
      <c r="I11" s="1877"/>
      <c r="J11" s="1877"/>
      <c r="K11" s="1877"/>
      <c r="L11" s="1877"/>
      <c r="M11" s="1877"/>
      <c r="N11" s="1877"/>
      <c r="O11" s="1877"/>
    </row>
    <row r="12" spans="1:16" ht="13.5" customHeight="1" x14ac:dyDescent="0.25">
      <c r="A12" s="671"/>
      <c r="B12" s="671"/>
      <c r="C12" s="676" t="s">
        <v>40</v>
      </c>
      <c r="D12" s="676">
        <v>2013</v>
      </c>
      <c r="E12" s="676" t="s">
        <v>162</v>
      </c>
      <c r="F12" s="671"/>
      <c r="G12" s="671"/>
      <c r="H12" s="671"/>
      <c r="I12" s="671"/>
      <c r="J12" s="671"/>
      <c r="K12" s="671"/>
      <c r="L12" s="671"/>
    </row>
    <row r="13" spans="1:16" ht="13.5" thickBot="1" x14ac:dyDescent="0.25"/>
    <row r="14" spans="1:16" ht="61.5" customHeight="1" x14ac:dyDescent="0.2">
      <c r="A14" s="1871" t="s">
        <v>4</v>
      </c>
      <c r="B14" s="1873" t="s">
        <v>346</v>
      </c>
      <c r="C14" s="221" t="s">
        <v>798</v>
      </c>
      <c r="D14" s="221" t="s">
        <v>348</v>
      </c>
      <c r="E14" s="221" t="s">
        <v>518</v>
      </c>
      <c r="F14" s="221" t="s">
        <v>519</v>
      </c>
      <c r="G14" s="221" t="s">
        <v>520</v>
      </c>
      <c r="H14" s="237" t="s">
        <v>521</v>
      </c>
      <c r="I14" s="222" t="s">
        <v>522</v>
      </c>
      <c r="J14" s="222" t="s">
        <v>797</v>
      </c>
      <c r="K14" s="1880" t="s">
        <v>708</v>
      </c>
      <c r="L14" s="222" t="s">
        <v>523</v>
      </c>
      <c r="M14" s="222" t="s">
        <v>787</v>
      </c>
      <c r="N14" s="1880" t="s">
        <v>720</v>
      </c>
      <c r="O14" s="222" t="s">
        <v>799</v>
      </c>
    </row>
    <row r="15" spans="1:16" ht="19.5" customHeight="1" thickBot="1" x14ac:dyDescent="0.25">
      <c r="A15" s="1878"/>
      <c r="B15" s="1879"/>
      <c r="C15" s="294" t="s">
        <v>5</v>
      </c>
      <c r="D15" s="294" t="s">
        <v>6</v>
      </c>
      <c r="E15" s="308" t="s">
        <v>524</v>
      </c>
      <c r="F15" s="294" t="s">
        <v>9</v>
      </c>
      <c r="G15" s="294" t="s">
        <v>10</v>
      </c>
      <c r="H15" s="309" t="s">
        <v>525</v>
      </c>
      <c r="I15" s="296" t="s">
        <v>526</v>
      </c>
      <c r="J15" s="310" t="s">
        <v>527</v>
      </c>
      <c r="K15" s="1881"/>
      <c r="L15" s="296" t="s">
        <v>528</v>
      </c>
      <c r="M15" s="296" t="s">
        <v>532</v>
      </c>
      <c r="N15" s="1882"/>
      <c r="O15" s="310" t="s">
        <v>714</v>
      </c>
    </row>
    <row r="16" spans="1:16" ht="25.5" x14ac:dyDescent="0.2">
      <c r="A16" s="843">
        <v>1611</v>
      </c>
      <c r="B16" s="839" t="s">
        <v>515</v>
      </c>
      <c r="C16" s="204"/>
      <c r="D16" s="204"/>
      <c r="E16" s="293"/>
      <c r="F16" s="293"/>
      <c r="G16" s="594">
        <f t="shared" ref="G16:G55" si="0">IF(F16=0,0,1/F16)</f>
        <v>0</v>
      </c>
      <c r="H16" s="796">
        <f t="shared" ref="H16:H55" si="1">IF(E16=0,0,+C16/E16)</f>
        <v>0</v>
      </c>
      <c r="I16" s="796">
        <f t="shared" ref="I16:I55" si="2">IF(F16=0,0,+(D16*0.5)/F16)</f>
        <v>0</v>
      </c>
      <c r="J16" s="796">
        <f t="shared" ref="J16:J55" si="3">IF(ISERROR(+H16+I16), 0, +H16+I16)</f>
        <v>0</v>
      </c>
      <c r="K16" s="204"/>
      <c r="L16" s="796">
        <f t="shared" ref="L16:L55" si="4">IF(ISERROR(+J16-K16), 0, +J16-K16)</f>
        <v>0</v>
      </c>
      <c r="M16" s="796">
        <f t="shared" ref="M16:M55" si="5">IF(F16=0,0,+(D16)/F16)</f>
        <v>0</v>
      </c>
      <c r="N16" s="204"/>
      <c r="O16" s="796">
        <f>IF(ISERROR(+M16+H16-N16), 0, +M16+H16-N16)</f>
        <v>0</v>
      </c>
    </row>
    <row r="17" spans="1:15" ht="25.5" x14ac:dyDescent="0.2">
      <c r="A17" s="828">
        <v>1612</v>
      </c>
      <c r="B17" s="783" t="s">
        <v>650</v>
      </c>
      <c r="C17" s="204"/>
      <c r="D17" s="204"/>
      <c r="E17" s="282"/>
      <c r="F17" s="282"/>
      <c r="G17" s="586">
        <f t="shared" si="0"/>
        <v>0</v>
      </c>
      <c r="H17" s="796">
        <f t="shared" si="1"/>
        <v>0</v>
      </c>
      <c r="I17" s="796">
        <f t="shared" si="2"/>
        <v>0</v>
      </c>
      <c r="J17" s="796">
        <f t="shared" si="3"/>
        <v>0</v>
      </c>
      <c r="K17" s="204"/>
      <c r="L17" s="796">
        <f t="shared" si="4"/>
        <v>0</v>
      </c>
      <c r="M17" s="796">
        <f t="shared" si="5"/>
        <v>0</v>
      </c>
      <c r="N17" s="204"/>
      <c r="O17" s="796">
        <f t="shared" ref="O17:O55" si="6">IF(ISERROR(+M17+H17-N17), 0, +M17+H17-N17)</f>
        <v>0</v>
      </c>
    </row>
    <row r="18" spans="1:15" x14ac:dyDescent="0.2">
      <c r="A18" s="829">
        <v>1805</v>
      </c>
      <c r="B18" s="786" t="s">
        <v>383</v>
      </c>
      <c r="C18" s="204"/>
      <c r="D18" s="204"/>
      <c r="E18" s="282"/>
      <c r="F18" s="282"/>
      <c r="G18" s="586">
        <f t="shared" si="0"/>
        <v>0</v>
      </c>
      <c r="H18" s="796">
        <f t="shared" si="1"/>
        <v>0</v>
      </c>
      <c r="I18" s="796">
        <f t="shared" si="2"/>
        <v>0</v>
      </c>
      <c r="J18" s="796">
        <f t="shared" si="3"/>
        <v>0</v>
      </c>
      <c r="K18" s="204"/>
      <c r="L18" s="796">
        <f t="shared" si="4"/>
        <v>0</v>
      </c>
      <c r="M18" s="796">
        <f t="shared" si="5"/>
        <v>0</v>
      </c>
      <c r="N18" s="204"/>
      <c r="O18" s="796">
        <f t="shared" si="6"/>
        <v>0</v>
      </c>
    </row>
    <row r="19" spans="1:15" x14ac:dyDescent="0.2">
      <c r="A19" s="828">
        <v>1808</v>
      </c>
      <c r="B19" s="787" t="s">
        <v>384</v>
      </c>
      <c r="C19" s="204"/>
      <c r="D19" s="204"/>
      <c r="E19" s="282"/>
      <c r="F19" s="282"/>
      <c r="G19" s="586">
        <f t="shared" si="0"/>
        <v>0</v>
      </c>
      <c r="H19" s="796">
        <f t="shared" si="1"/>
        <v>0</v>
      </c>
      <c r="I19" s="796">
        <f t="shared" si="2"/>
        <v>0</v>
      </c>
      <c r="J19" s="796">
        <f t="shared" si="3"/>
        <v>0</v>
      </c>
      <c r="K19" s="204"/>
      <c r="L19" s="796">
        <f t="shared" si="4"/>
        <v>0</v>
      </c>
      <c r="M19" s="796">
        <f t="shared" si="5"/>
        <v>0</v>
      </c>
      <c r="N19" s="204"/>
      <c r="O19" s="796">
        <f t="shared" si="6"/>
        <v>0</v>
      </c>
    </row>
    <row r="20" spans="1:15" x14ac:dyDescent="0.2">
      <c r="A20" s="828">
        <v>1810</v>
      </c>
      <c r="B20" s="787" t="s">
        <v>417</v>
      </c>
      <c r="C20" s="204"/>
      <c r="D20" s="204"/>
      <c r="E20" s="282"/>
      <c r="F20" s="282"/>
      <c r="G20" s="586">
        <f t="shared" si="0"/>
        <v>0</v>
      </c>
      <c r="H20" s="796">
        <f t="shared" si="1"/>
        <v>0</v>
      </c>
      <c r="I20" s="796">
        <f t="shared" si="2"/>
        <v>0</v>
      </c>
      <c r="J20" s="796">
        <f t="shared" si="3"/>
        <v>0</v>
      </c>
      <c r="K20" s="204"/>
      <c r="L20" s="796">
        <f t="shared" si="4"/>
        <v>0</v>
      </c>
      <c r="M20" s="796">
        <f t="shared" si="5"/>
        <v>0</v>
      </c>
      <c r="N20" s="204"/>
      <c r="O20" s="796">
        <f t="shared" si="6"/>
        <v>0</v>
      </c>
    </row>
    <row r="21" spans="1:15" x14ac:dyDescent="0.2">
      <c r="A21" s="828">
        <v>1815</v>
      </c>
      <c r="B21" s="787" t="s">
        <v>385</v>
      </c>
      <c r="C21" s="204"/>
      <c r="D21" s="204"/>
      <c r="E21" s="282"/>
      <c r="F21" s="282"/>
      <c r="G21" s="586">
        <f t="shared" si="0"/>
        <v>0</v>
      </c>
      <c r="H21" s="796">
        <f t="shared" si="1"/>
        <v>0</v>
      </c>
      <c r="I21" s="796">
        <f t="shared" si="2"/>
        <v>0</v>
      </c>
      <c r="J21" s="796">
        <f t="shared" si="3"/>
        <v>0</v>
      </c>
      <c r="K21" s="204"/>
      <c r="L21" s="796">
        <f t="shared" si="4"/>
        <v>0</v>
      </c>
      <c r="M21" s="796">
        <f t="shared" si="5"/>
        <v>0</v>
      </c>
      <c r="N21" s="204"/>
      <c r="O21" s="796">
        <f t="shared" si="6"/>
        <v>0</v>
      </c>
    </row>
    <row r="22" spans="1:15" x14ac:dyDescent="0.2">
      <c r="A22" s="828">
        <v>1820</v>
      </c>
      <c r="B22" s="783" t="s">
        <v>306</v>
      </c>
      <c r="C22" s="204"/>
      <c r="D22" s="204"/>
      <c r="E22" s="282"/>
      <c r="F22" s="282"/>
      <c r="G22" s="586">
        <f t="shared" si="0"/>
        <v>0</v>
      </c>
      <c r="H22" s="796">
        <f t="shared" si="1"/>
        <v>0</v>
      </c>
      <c r="I22" s="796">
        <f t="shared" si="2"/>
        <v>0</v>
      </c>
      <c r="J22" s="796">
        <f t="shared" si="3"/>
        <v>0</v>
      </c>
      <c r="K22" s="204"/>
      <c r="L22" s="796">
        <f t="shared" si="4"/>
        <v>0</v>
      </c>
      <c r="M22" s="796">
        <f t="shared" si="5"/>
        <v>0</v>
      </c>
      <c r="N22" s="204"/>
      <c r="O22" s="796">
        <f t="shared" si="6"/>
        <v>0</v>
      </c>
    </row>
    <row r="23" spans="1:15" x14ac:dyDescent="0.2">
      <c r="A23" s="828">
        <v>1825</v>
      </c>
      <c r="B23" s="787" t="s">
        <v>386</v>
      </c>
      <c r="C23" s="204"/>
      <c r="D23" s="204"/>
      <c r="E23" s="282"/>
      <c r="F23" s="282"/>
      <c r="G23" s="586">
        <f t="shared" si="0"/>
        <v>0</v>
      </c>
      <c r="H23" s="796">
        <f t="shared" si="1"/>
        <v>0</v>
      </c>
      <c r="I23" s="796">
        <f t="shared" si="2"/>
        <v>0</v>
      </c>
      <c r="J23" s="796">
        <f t="shared" si="3"/>
        <v>0</v>
      </c>
      <c r="K23" s="204"/>
      <c r="L23" s="796">
        <f t="shared" si="4"/>
        <v>0</v>
      </c>
      <c r="M23" s="796">
        <f t="shared" si="5"/>
        <v>0</v>
      </c>
      <c r="N23" s="204"/>
      <c r="O23" s="796">
        <f t="shared" si="6"/>
        <v>0</v>
      </c>
    </row>
    <row r="24" spans="1:15" x14ac:dyDescent="0.2">
      <c r="A24" s="828">
        <v>1830</v>
      </c>
      <c r="B24" s="787" t="s">
        <v>387</v>
      </c>
      <c r="C24" s="204"/>
      <c r="D24" s="204"/>
      <c r="E24" s="282"/>
      <c r="F24" s="282"/>
      <c r="G24" s="586">
        <f t="shared" si="0"/>
        <v>0</v>
      </c>
      <c r="H24" s="796">
        <f t="shared" si="1"/>
        <v>0</v>
      </c>
      <c r="I24" s="796">
        <f t="shared" si="2"/>
        <v>0</v>
      </c>
      <c r="J24" s="796">
        <f t="shared" si="3"/>
        <v>0</v>
      </c>
      <c r="K24" s="204"/>
      <c r="L24" s="796">
        <f t="shared" si="4"/>
        <v>0</v>
      </c>
      <c r="M24" s="796">
        <f t="shared" si="5"/>
        <v>0</v>
      </c>
      <c r="N24" s="204"/>
      <c r="O24" s="796">
        <f t="shared" si="6"/>
        <v>0</v>
      </c>
    </row>
    <row r="25" spans="1:15" x14ac:dyDescent="0.2">
      <c r="A25" s="828">
        <v>1835</v>
      </c>
      <c r="B25" s="787" t="s">
        <v>307</v>
      </c>
      <c r="C25" s="204"/>
      <c r="D25" s="204"/>
      <c r="E25" s="282"/>
      <c r="F25" s="282"/>
      <c r="G25" s="586">
        <f t="shared" si="0"/>
        <v>0</v>
      </c>
      <c r="H25" s="796">
        <f t="shared" si="1"/>
        <v>0</v>
      </c>
      <c r="I25" s="796">
        <f t="shared" si="2"/>
        <v>0</v>
      </c>
      <c r="J25" s="796">
        <f t="shared" si="3"/>
        <v>0</v>
      </c>
      <c r="K25" s="204"/>
      <c r="L25" s="796">
        <f t="shared" si="4"/>
        <v>0</v>
      </c>
      <c r="M25" s="796">
        <f t="shared" si="5"/>
        <v>0</v>
      </c>
      <c r="N25" s="204"/>
      <c r="O25" s="796">
        <f t="shared" si="6"/>
        <v>0</v>
      </c>
    </row>
    <row r="26" spans="1:15" x14ac:dyDescent="0.2">
      <c r="A26" s="828">
        <v>1840</v>
      </c>
      <c r="B26" s="787" t="s">
        <v>308</v>
      </c>
      <c r="C26" s="204"/>
      <c r="D26" s="204"/>
      <c r="E26" s="282"/>
      <c r="F26" s="282"/>
      <c r="G26" s="586">
        <f t="shared" si="0"/>
        <v>0</v>
      </c>
      <c r="H26" s="796">
        <f t="shared" si="1"/>
        <v>0</v>
      </c>
      <c r="I26" s="796">
        <f t="shared" si="2"/>
        <v>0</v>
      </c>
      <c r="J26" s="796">
        <f t="shared" si="3"/>
        <v>0</v>
      </c>
      <c r="K26" s="204"/>
      <c r="L26" s="796">
        <f t="shared" si="4"/>
        <v>0</v>
      </c>
      <c r="M26" s="796">
        <f t="shared" si="5"/>
        <v>0</v>
      </c>
      <c r="N26" s="204"/>
      <c r="O26" s="796">
        <f t="shared" si="6"/>
        <v>0</v>
      </c>
    </row>
    <row r="27" spans="1:15" x14ac:dyDescent="0.2">
      <c r="A27" s="828">
        <v>1845</v>
      </c>
      <c r="B27" s="787" t="s">
        <v>309</v>
      </c>
      <c r="C27" s="204"/>
      <c r="D27" s="204"/>
      <c r="E27" s="282"/>
      <c r="F27" s="282"/>
      <c r="G27" s="586">
        <f t="shared" si="0"/>
        <v>0</v>
      </c>
      <c r="H27" s="796">
        <f t="shared" si="1"/>
        <v>0</v>
      </c>
      <c r="I27" s="796">
        <f t="shared" si="2"/>
        <v>0</v>
      </c>
      <c r="J27" s="796">
        <f t="shared" si="3"/>
        <v>0</v>
      </c>
      <c r="K27" s="204"/>
      <c r="L27" s="796">
        <f t="shared" si="4"/>
        <v>0</v>
      </c>
      <c r="M27" s="796">
        <f t="shared" si="5"/>
        <v>0</v>
      </c>
      <c r="N27" s="204"/>
      <c r="O27" s="796">
        <f t="shared" si="6"/>
        <v>0</v>
      </c>
    </row>
    <row r="28" spans="1:15" x14ac:dyDescent="0.2">
      <c r="A28" s="828">
        <v>1850</v>
      </c>
      <c r="B28" s="787" t="s">
        <v>388</v>
      </c>
      <c r="C28" s="204"/>
      <c r="D28" s="204"/>
      <c r="E28" s="282"/>
      <c r="F28" s="282"/>
      <c r="G28" s="586">
        <f t="shared" si="0"/>
        <v>0</v>
      </c>
      <c r="H28" s="796">
        <f t="shared" si="1"/>
        <v>0</v>
      </c>
      <c r="I28" s="796">
        <f t="shared" si="2"/>
        <v>0</v>
      </c>
      <c r="J28" s="796">
        <f t="shared" si="3"/>
        <v>0</v>
      </c>
      <c r="K28" s="204"/>
      <c r="L28" s="796">
        <f t="shared" si="4"/>
        <v>0</v>
      </c>
      <c r="M28" s="796">
        <f t="shared" si="5"/>
        <v>0</v>
      </c>
      <c r="N28" s="204"/>
      <c r="O28" s="796">
        <f t="shared" si="6"/>
        <v>0</v>
      </c>
    </row>
    <row r="29" spans="1:15" x14ac:dyDescent="0.2">
      <c r="A29" s="828">
        <v>1855</v>
      </c>
      <c r="B29" s="787" t="s">
        <v>310</v>
      </c>
      <c r="C29" s="204"/>
      <c r="D29" s="204"/>
      <c r="E29" s="282"/>
      <c r="F29" s="282"/>
      <c r="G29" s="586">
        <f t="shared" si="0"/>
        <v>0</v>
      </c>
      <c r="H29" s="796">
        <f t="shared" si="1"/>
        <v>0</v>
      </c>
      <c r="I29" s="796">
        <f t="shared" si="2"/>
        <v>0</v>
      </c>
      <c r="J29" s="796">
        <f t="shared" si="3"/>
        <v>0</v>
      </c>
      <c r="K29" s="204"/>
      <c r="L29" s="796">
        <f t="shared" si="4"/>
        <v>0</v>
      </c>
      <c r="M29" s="796">
        <f t="shared" si="5"/>
        <v>0</v>
      </c>
      <c r="N29" s="204"/>
      <c r="O29" s="796">
        <f t="shared" si="6"/>
        <v>0</v>
      </c>
    </row>
    <row r="30" spans="1:15" x14ac:dyDescent="0.2">
      <c r="A30" s="828">
        <v>1860</v>
      </c>
      <c r="B30" s="787" t="s">
        <v>389</v>
      </c>
      <c r="C30" s="204"/>
      <c r="D30" s="204"/>
      <c r="E30" s="282"/>
      <c r="F30" s="282"/>
      <c r="G30" s="586">
        <f t="shared" si="0"/>
        <v>0</v>
      </c>
      <c r="H30" s="796">
        <f t="shared" si="1"/>
        <v>0</v>
      </c>
      <c r="I30" s="796">
        <f t="shared" si="2"/>
        <v>0</v>
      </c>
      <c r="J30" s="796">
        <f t="shared" si="3"/>
        <v>0</v>
      </c>
      <c r="K30" s="204"/>
      <c r="L30" s="796">
        <f t="shared" si="4"/>
        <v>0</v>
      </c>
      <c r="M30" s="796">
        <f t="shared" si="5"/>
        <v>0</v>
      </c>
      <c r="N30" s="204"/>
      <c r="O30" s="796">
        <f t="shared" si="6"/>
        <v>0</v>
      </c>
    </row>
    <row r="31" spans="1:15" x14ac:dyDescent="0.2">
      <c r="A31" s="829">
        <v>1860</v>
      </c>
      <c r="B31" s="786" t="s">
        <v>311</v>
      </c>
      <c r="C31" s="204"/>
      <c r="D31" s="204"/>
      <c r="E31" s="282"/>
      <c r="F31" s="282"/>
      <c r="G31" s="586">
        <f t="shared" si="0"/>
        <v>0</v>
      </c>
      <c r="H31" s="796">
        <f t="shared" si="1"/>
        <v>0</v>
      </c>
      <c r="I31" s="796">
        <f t="shared" si="2"/>
        <v>0</v>
      </c>
      <c r="J31" s="796">
        <f t="shared" si="3"/>
        <v>0</v>
      </c>
      <c r="K31" s="204"/>
      <c r="L31" s="796">
        <f t="shared" si="4"/>
        <v>0</v>
      </c>
      <c r="M31" s="796">
        <f t="shared" si="5"/>
        <v>0</v>
      </c>
      <c r="N31" s="204"/>
      <c r="O31" s="796">
        <f t="shared" si="6"/>
        <v>0</v>
      </c>
    </row>
    <row r="32" spans="1:15" x14ac:dyDescent="0.2">
      <c r="A32" s="829">
        <v>1905</v>
      </c>
      <c r="B32" s="786" t="s">
        <v>383</v>
      </c>
      <c r="C32" s="204"/>
      <c r="D32" s="204"/>
      <c r="E32" s="282"/>
      <c r="F32" s="282"/>
      <c r="G32" s="586">
        <f t="shared" si="0"/>
        <v>0</v>
      </c>
      <c r="H32" s="796">
        <f t="shared" si="1"/>
        <v>0</v>
      </c>
      <c r="I32" s="796">
        <f t="shared" si="2"/>
        <v>0</v>
      </c>
      <c r="J32" s="796">
        <f t="shared" si="3"/>
        <v>0</v>
      </c>
      <c r="K32" s="204"/>
      <c r="L32" s="796">
        <f t="shared" si="4"/>
        <v>0</v>
      </c>
      <c r="M32" s="796">
        <f t="shared" si="5"/>
        <v>0</v>
      </c>
      <c r="N32" s="204"/>
      <c r="O32" s="796">
        <f t="shared" si="6"/>
        <v>0</v>
      </c>
    </row>
    <row r="33" spans="1:15" x14ac:dyDescent="0.2">
      <c r="A33" s="828">
        <v>1908</v>
      </c>
      <c r="B33" s="787" t="s">
        <v>391</v>
      </c>
      <c r="C33" s="204"/>
      <c r="D33" s="204"/>
      <c r="E33" s="282"/>
      <c r="F33" s="282"/>
      <c r="G33" s="586">
        <f t="shared" si="0"/>
        <v>0</v>
      </c>
      <c r="H33" s="796">
        <f t="shared" si="1"/>
        <v>0</v>
      </c>
      <c r="I33" s="796">
        <f t="shared" si="2"/>
        <v>0</v>
      </c>
      <c r="J33" s="796">
        <f t="shared" si="3"/>
        <v>0</v>
      </c>
      <c r="K33" s="204"/>
      <c r="L33" s="796">
        <f t="shared" si="4"/>
        <v>0</v>
      </c>
      <c r="M33" s="796">
        <f t="shared" si="5"/>
        <v>0</v>
      </c>
      <c r="N33" s="204"/>
      <c r="O33" s="796">
        <f t="shared" si="6"/>
        <v>0</v>
      </c>
    </row>
    <row r="34" spans="1:15" x14ac:dyDescent="0.2">
      <c r="A34" s="828">
        <v>1910</v>
      </c>
      <c r="B34" s="787" t="s">
        <v>417</v>
      </c>
      <c r="C34" s="204"/>
      <c r="D34" s="204"/>
      <c r="E34" s="282"/>
      <c r="F34" s="282"/>
      <c r="G34" s="586">
        <f t="shared" si="0"/>
        <v>0</v>
      </c>
      <c r="H34" s="796">
        <f t="shared" si="1"/>
        <v>0</v>
      </c>
      <c r="I34" s="796">
        <f t="shared" si="2"/>
        <v>0</v>
      </c>
      <c r="J34" s="796">
        <f t="shared" si="3"/>
        <v>0</v>
      </c>
      <c r="K34" s="204"/>
      <c r="L34" s="796">
        <f t="shared" si="4"/>
        <v>0</v>
      </c>
      <c r="M34" s="796">
        <f t="shared" si="5"/>
        <v>0</v>
      </c>
      <c r="N34" s="204"/>
      <c r="O34" s="796">
        <f t="shared" si="6"/>
        <v>0</v>
      </c>
    </row>
    <row r="35" spans="1:15" x14ac:dyDescent="0.2">
      <c r="A35" s="828">
        <v>1915</v>
      </c>
      <c r="B35" s="787" t="s">
        <v>312</v>
      </c>
      <c r="C35" s="204"/>
      <c r="D35" s="204"/>
      <c r="E35" s="282"/>
      <c r="F35" s="282"/>
      <c r="G35" s="586">
        <f t="shared" si="0"/>
        <v>0</v>
      </c>
      <c r="H35" s="796">
        <f t="shared" si="1"/>
        <v>0</v>
      </c>
      <c r="I35" s="796">
        <f t="shared" si="2"/>
        <v>0</v>
      </c>
      <c r="J35" s="796">
        <f t="shared" si="3"/>
        <v>0</v>
      </c>
      <c r="K35" s="204"/>
      <c r="L35" s="796">
        <f t="shared" si="4"/>
        <v>0</v>
      </c>
      <c r="M35" s="796">
        <f t="shared" si="5"/>
        <v>0</v>
      </c>
      <c r="N35" s="204"/>
      <c r="O35" s="796">
        <f t="shared" si="6"/>
        <v>0</v>
      </c>
    </row>
    <row r="36" spans="1:15" x14ac:dyDescent="0.2">
      <c r="A36" s="828">
        <v>1915</v>
      </c>
      <c r="B36" s="787" t="s">
        <v>313</v>
      </c>
      <c r="C36" s="204"/>
      <c r="D36" s="204"/>
      <c r="E36" s="282"/>
      <c r="F36" s="282"/>
      <c r="G36" s="586">
        <f t="shared" si="0"/>
        <v>0</v>
      </c>
      <c r="H36" s="796">
        <f t="shared" si="1"/>
        <v>0</v>
      </c>
      <c r="I36" s="796">
        <f t="shared" si="2"/>
        <v>0</v>
      </c>
      <c r="J36" s="796">
        <f t="shared" si="3"/>
        <v>0</v>
      </c>
      <c r="K36" s="204"/>
      <c r="L36" s="796">
        <f t="shared" si="4"/>
        <v>0</v>
      </c>
      <c r="M36" s="796">
        <f t="shared" si="5"/>
        <v>0</v>
      </c>
      <c r="N36" s="204"/>
      <c r="O36" s="796">
        <f t="shared" si="6"/>
        <v>0</v>
      </c>
    </row>
    <row r="37" spans="1:15" x14ac:dyDescent="0.2">
      <c r="A37" s="828">
        <v>1920</v>
      </c>
      <c r="B37" s="787" t="s">
        <v>314</v>
      </c>
      <c r="C37" s="204"/>
      <c r="D37" s="204"/>
      <c r="E37" s="282"/>
      <c r="F37" s="282"/>
      <c r="G37" s="586">
        <f t="shared" si="0"/>
        <v>0</v>
      </c>
      <c r="H37" s="796">
        <f t="shared" si="1"/>
        <v>0</v>
      </c>
      <c r="I37" s="796">
        <f t="shared" si="2"/>
        <v>0</v>
      </c>
      <c r="J37" s="796">
        <f t="shared" si="3"/>
        <v>0</v>
      </c>
      <c r="K37" s="204"/>
      <c r="L37" s="796">
        <f t="shared" si="4"/>
        <v>0</v>
      </c>
      <c r="M37" s="796">
        <f t="shared" si="5"/>
        <v>0</v>
      </c>
      <c r="N37" s="204"/>
      <c r="O37" s="796">
        <f t="shared" si="6"/>
        <v>0</v>
      </c>
    </row>
    <row r="38" spans="1:15" x14ac:dyDescent="0.2">
      <c r="A38" s="830">
        <v>1920</v>
      </c>
      <c r="B38" s="783" t="s">
        <v>316</v>
      </c>
      <c r="C38" s="204"/>
      <c r="D38" s="204"/>
      <c r="E38" s="282"/>
      <c r="F38" s="282"/>
      <c r="G38" s="586">
        <f t="shared" si="0"/>
        <v>0</v>
      </c>
      <c r="H38" s="796">
        <f t="shared" si="1"/>
        <v>0</v>
      </c>
      <c r="I38" s="796">
        <f t="shared" si="2"/>
        <v>0</v>
      </c>
      <c r="J38" s="796">
        <f t="shared" si="3"/>
        <v>0</v>
      </c>
      <c r="K38" s="204"/>
      <c r="L38" s="796">
        <f t="shared" si="4"/>
        <v>0</v>
      </c>
      <c r="M38" s="796">
        <f t="shared" si="5"/>
        <v>0</v>
      </c>
      <c r="N38" s="204"/>
      <c r="O38" s="796">
        <f t="shared" si="6"/>
        <v>0</v>
      </c>
    </row>
    <row r="39" spans="1:15" x14ac:dyDescent="0.2">
      <c r="A39" s="830">
        <v>1920</v>
      </c>
      <c r="B39" s="783" t="s">
        <v>315</v>
      </c>
      <c r="C39" s="204"/>
      <c r="D39" s="204"/>
      <c r="E39" s="282"/>
      <c r="F39" s="282"/>
      <c r="G39" s="586">
        <f t="shared" si="0"/>
        <v>0</v>
      </c>
      <c r="H39" s="796">
        <f t="shared" si="1"/>
        <v>0</v>
      </c>
      <c r="I39" s="796">
        <f t="shared" si="2"/>
        <v>0</v>
      </c>
      <c r="J39" s="796">
        <f t="shared" si="3"/>
        <v>0</v>
      </c>
      <c r="K39" s="204"/>
      <c r="L39" s="796">
        <f t="shared" si="4"/>
        <v>0</v>
      </c>
      <c r="M39" s="796">
        <f t="shared" si="5"/>
        <v>0</v>
      </c>
      <c r="N39" s="204"/>
      <c r="O39" s="796">
        <f t="shared" si="6"/>
        <v>0</v>
      </c>
    </row>
    <row r="40" spans="1:15" x14ac:dyDescent="0.2">
      <c r="A40" s="828">
        <v>1930</v>
      </c>
      <c r="B40" s="787" t="s">
        <v>404</v>
      </c>
      <c r="C40" s="204"/>
      <c r="D40" s="204"/>
      <c r="E40" s="282"/>
      <c r="F40" s="282"/>
      <c r="G40" s="586">
        <f t="shared" si="0"/>
        <v>0</v>
      </c>
      <c r="H40" s="796">
        <f t="shared" si="1"/>
        <v>0</v>
      </c>
      <c r="I40" s="796">
        <f t="shared" si="2"/>
        <v>0</v>
      </c>
      <c r="J40" s="796">
        <f t="shared" si="3"/>
        <v>0</v>
      </c>
      <c r="K40" s="204"/>
      <c r="L40" s="796">
        <f t="shared" si="4"/>
        <v>0</v>
      </c>
      <c r="M40" s="796">
        <f t="shared" si="5"/>
        <v>0</v>
      </c>
      <c r="N40" s="204"/>
      <c r="O40" s="796">
        <f t="shared" si="6"/>
        <v>0</v>
      </c>
    </row>
    <row r="41" spans="1:15" x14ac:dyDescent="0.2">
      <c r="A41" s="828">
        <v>1935</v>
      </c>
      <c r="B41" s="787" t="s">
        <v>405</v>
      </c>
      <c r="C41" s="204"/>
      <c r="D41" s="204"/>
      <c r="E41" s="282"/>
      <c r="F41" s="282"/>
      <c r="G41" s="586">
        <f t="shared" si="0"/>
        <v>0</v>
      </c>
      <c r="H41" s="796">
        <f t="shared" si="1"/>
        <v>0</v>
      </c>
      <c r="I41" s="796">
        <f t="shared" si="2"/>
        <v>0</v>
      </c>
      <c r="J41" s="796">
        <f t="shared" si="3"/>
        <v>0</v>
      </c>
      <c r="K41" s="204"/>
      <c r="L41" s="796">
        <f t="shared" si="4"/>
        <v>0</v>
      </c>
      <c r="M41" s="796">
        <f t="shared" si="5"/>
        <v>0</v>
      </c>
      <c r="N41" s="204"/>
      <c r="O41" s="796">
        <f t="shared" si="6"/>
        <v>0</v>
      </c>
    </row>
    <row r="42" spans="1:15" x14ac:dyDescent="0.2">
      <c r="A42" s="828">
        <v>1940</v>
      </c>
      <c r="B42" s="787" t="s">
        <v>406</v>
      </c>
      <c r="C42" s="204"/>
      <c r="D42" s="204"/>
      <c r="E42" s="282"/>
      <c r="F42" s="282"/>
      <c r="G42" s="586">
        <f t="shared" si="0"/>
        <v>0</v>
      </c>
      <c r="H42" s="796">
        <f t="shared" si="1"/>
        <v>0</v>
      </c>
      <c r="I42" s="796">
        <f t="shared" si="2"/>
        <v>0</v>
      </c>
      <c r="J42" s="796">
        <f t="shared" si="3"/>
        <v>0</v>
      </c>
      <c r="K42" s="204"/>
      <c r="L42" s="796">
        <f t="shared" si="4"/>
        <v>0</v>
      </c>
      <c r="M42" s="796">
        <f t="shared" si="5"/>
        <v>0</v>
      </c>
      <c r="N42" s="204"/>
      <c r="O42" s="796">
        <f t="shared" si="6"/>
        <v>0</v>
      </c>
    </row>
    <row r="43" spans="1:15" x14ac:dyDescent="0.2">
      <c r="A43" s="828">
        <v>1945</v>
      </c>
      <c r="B43" s="787" t="s">
        <v>407</v>
      </c>
      <c r="C43" s="204"/>
      <c r="D43" s="204"/>
      <c r="E43" s="282"/>
      <c r="F43" s="282"/>
      <c r="G43" s="586">
        <f t="shared" si="0"/>
        <v>0</v>
      </c>
      <c r="H43" s="796">
        <f t="shared" si="1"/>
        <v>0</v>
      </c>
      <c r="I43" s="796">
        <f t="shared" si="2"/>
        <v>0</v>
      </c>
      <c r="J43" s="796">
        <f t="shared" si="3"/>
        <v>0</v>
      </c>
      <c r="K43" s="204"/>
      <c r="L43" s="796">
        <f t="shared" si="4"/>
        <v>0</v>
      </c>
      <c r="M43" s="796">
        <f t="shared" si="5"/>
        <v>0</v>
      </c>
      <c r="N43" s="204"/>
      <c r="O43" s="796">
        <f t="shared" si="6"/>
        <v>0</v>
      </c>
    </row>
    <row r="44" spans="1:15" x14ac:dyDescent="0.2">
      <c r="A44" s="828">
        <v>1950</v>
      </c>
      <c r="B44" s="787" t="s">
        <v>317</v>
      </c>
      <c r="C44" s="204"/>
      <c r="D44" s="204"/>
      <c r="E44" s="282"/>
      <c r="F44" s="282"/>
      <c r="G44" s="586">
        <f t="shared" si="0"/>
        <v>0</v>
      </c>
      <c r="H44" s="796">
        <f t="shared" si="1"/>
        <v>0</v>
      </c>
      <c r="I44" s="796">
        <f t="shared" si="2"/>
        <v>0</v>
      </c>
      <c r="J44" s="796">
        <f t="shared" si="3"/>
        <v>0</v>
      </c>
      <c r="K44" s="204"/>
      <c r="L44" s="796">
        <f t="shared" si="4"/>
        <v>0</v>
      </c>
      <c r="M44" s="796">
        <f t="shared" si="5"/>
        <v>0</v>
      </c>
      <c r="N44" s="204"/>
      <c r="O44" s="796">
        <f t="shared" si="6"/>
        <v>0</v>
      </c>
    </row>
    <row r="45" spans="1:15" x14ac:dyDescent="0.2">
      <c r="A45" s="828">
        <v>1955</v>
      </c>
      <c r="B45" s="787" t="s">
        <v>408</v>
      </c>
      <c r="C45" s="204"/>
      <c r="D45" s="204"/>
      <c r="E45" s="282"/>
      <c r="F45" s="282"/>
      <c r="G45" s="586">
        <f t="shared" si="0"/>
        <v>0</v>
      </c>
      <c r="H45" s="796">
        <f t="shared" si="1"/>
        <v>0</v>
      </c>
      <c r="I45" s="796">
        <f t="shared" si="2"/>
        <v>0</v>
      </c>
      <c r="J45" s="796">
        <f t="shared" si="3"/>
        <v>0</v>
      </c>
      <c r="K45" s="204"/>
      <c r="L45" s="796">
        <f t="shared" si="4"/>
        <v>0</v>
      </c>
      <c r="M45" s="796">
        <f t="shared" si="5"/>
        <v>0</v>
      </c>
      <c r="N45" s="204"/>
      <c r="O45" s="796">
        <f t="shared" si="6"/>
        <v>0</v>
      </c>
    </row>
    <row r="46" spans="1:15" x14ac:dyDescent="0.2">
      <c r="A46" s="831">
        <v>1955</v>
      </c>
      <c r="B46" s="790" t="s">
        <v>318</v>
      </c>
      <c r="C46" s="204"/>
      <c r="D46" s="204"/>
      <c r="E46" s="282"/>
      <c r="F46" s="282"/>
      <c r="G46" s="586">
        <f t="shared" si="0"/>
        <v>0</v>
      </c>
      <c r="H46" s="796">
        <f t="shared" si="1"/>
        <v>0</v>
      </c>
      <c r="I46" s="796">
        <f t="shared" si="2"/>
        <v>0</v>
      </c>
      <c r="J46" s="796">
        <f t="shared" si="3"/>
        <v>0</v>
      </c>
      <c r="K46" s="204"/>
      <c r="L46" s="796">
        <f t="shared" si="4"/>
        <v>0</v>
      </c>
      <c r="M46" s="796">
        <f t="shared" si="5"/>
        <v>0</v>
      </c>
      <c r="N46" s="204"/>
      <c r="O46" s="796">
        <f t="shared" si="6"/>
        <v>0</v>
      </c>
    </row>
    <row r="47" spans="1:15" x14ac:dyDescent="0.2">
      <c r="A47" s="830">
        <v>1960</v>
      </c>
      <c r="B47" s="783" t="s">
        <v>319</v>
      </c>
      <c r="C47" s="204"/>
      <c r="D47" s="204"/>
      <c r="E47" s="282"/>
      <c r="F47" s="282"/>
      <c r="G47" s="586">
        <f t="shared" si="0"/>
        <v>0</v>
      </c>
      <c r="H47" s="796">
        <f t="shared" si="1"/>
        <v>0</v>
      </c>
      <c r="I47" s="796">
        <f t="shared" si="2"/>
        <v>0</v>
      </c>
      <c r="J47" s="796">
        <f t="shared" si="3"/>
        <v>0</v>
      </c>
      <c r="K47" s="204"/>
      <c r="L47" s="796">
        <f t="shared" si="4"/>
        <v>0</v>
      </c>
      <c r="M47" s="796">
        <f t="shared" si="5"/>
        <v>0</v>
      </c>
      <c r="N47" s="204"/>
      <c r="O47" s="796">
        <f t="shared" si="6"/>
        <v>0</v>
      </c>
    </row>
    <row r="48" spans="1:15" x14ac:dyDescent="0.2">
      <c r="A48" s="831">
        <v>1970</v>
      </c>
      <c r="B48" s="832" t="s">
        <v>773</v>
      </c>
      <c r="C48" s="204"/>
      <c r="D48" s="204"/>
      <c r="E48" s="282"/>
      <c r="F48" s="282"/>
      <c r="G48" s="586">
        <f t="shared" si="0"/>
        <v>0</v>
      </c>
      <c r="H48" s="796">
        <f t="shared" si="1"/>
        <v>0</v>
      </c>
      <c r="I48" s="796">
        <f t="shared" si="2"/>
        <v>0</v>
      </c>
      <c r="J48" s="796">
        <f t="shared" si="3"/>
        <v>0</v>
      </c>
      <c r="K48" s="204"/>
      <c r="L48" s="796">
        <f t="shared" si="4"/>
        <v>0</v>
      </c>
      <c r="M48" s="796">
        <f t="shared" si="5"/>
        <v>0</v>
      </c>
      <c r="N48" s="204"/>
      <c r="O48" s="796">
        <f t="shared" si="6"/>
        <v>0</v>
      </c>
    </row>
    <row r="49" spans="1:15" x14ac:dyDescent="0.2">
      <c r="A49" s="828">
        <v>1975</v>
      </c>
      <c r="B49" s="787" t="s">
        <v>409</v>
      </c>
      <c r="C49" s="204"/>
      <c r="D49" s="204"/>
      <c r="E49" s="282"/>
      <c r="F49" s="282"/>
      <c r="G49" s="586">
        <f t="shared" si="0"/>
        <v>0</v>
      </c>
      <c r="H49" s="796">
        <f t="shared" si="1"/>
        <v>0</v>
      </c>
      <c r="I49" s="796">
        <f t="shared" si="2"/>
        <v>0</v>
      </c>
      <c r="J49" s="796">
        <f t="shared" si="3"/>
        <v>0</v>
      </c>
      <c r="K49" s="204"/>
      <c r="L49" s="796">
        <f t="shared" si="4"/>
        <v>0</v>
      </c>
      <c r="M49" s="796">
        <f t="shared" si="5"/>
        <v>0</v>
      </c>
      <c r="N49" s="204"/>
      <c r="O49" s="796">
        <f t="shared" si="6"/>
        <v>0</v>
      </c>
    </row>
    <row r="50" spans="1:15" x14ac:dyDescent="0.2">
      <c r="A50" s="828">
        <v>1980</v>
      </c>
      <c r="B50" s="787" t="s">
        <v>410</v>
      </c>
      <c r="C50" s="204"/>
      <c r="D50" s="204"/>
      <c r="E50" s="282"/>
      <c r="F50" s="282"/>
      <c r="G50" s="586">
        <f t="shared" si="0"/>
        <v>0</v>
      </c>
      <c r="H50" s="796">
        <f t="shared" si="1"/>
        <v>0</v>
      </c>
      <c r="I50" s="796">
        <f t="shared" si="2"/>
        <v>0</v>
      </c>
      <c r="J50" s="796">
        <f t="shared" si="3"/>
        <v>0</v>
      </c>
      <c r="K50" s="204"/>
      <c r="L50" s="796">
        <f t="shared" si="4"/>
        <v>0</v>
      </c>
      <c r="M50" s="796">
        <f t="shared" si="5"/>
        <v>0</v>
      </c>
      <c r="N50" s="204"/>
      <c r="O50" s="796">
        <f t="shared" si="6"/>
        <v>0</v>
      </c>
    </row>
    <row r="51" spans="1:15" x14ac:dyDescent="0.2">
      <c r="A51" s="828">
        <v>1985</v>
      </c>
      <c r="B51" s="787" t="s">
        <v>411</v>
      </c>
      <c r="C51" s="204"/>
      <c r="D51" s="204"/>
      <c r="E51" s="282"/>
      <c r="F51" s="282"/>
      <c r="G51" s="586">
        <f t="shared" si="0"/>
        <v>0</v>
      </c>
      <c r="H51" s="796">
        <f t="shared" si="1"/>
        <v>0</v>
      </c>
      <c r="I51" s="796">
        <f t="shared" si="2"/>
        <v>0</v>
      </c>
      <c r="J51" s="796">
        <f t="shared" si="3"/>
        <v>0</v>
      </c>
      <c r="K51" s="204"/>
      <c r="L51" s="796">
        <f t="shared" si="4"/>
        <v>0</v>
      </c>
      <c r="M51" s="796">
        <f t="shared" si="5"/>
        <v>0</v>
      </c>
      <c r="N51" s="204"/>
      <c r="O51" s="796">
        <f t="shared" si="6"/>
        <v>0</v>
      </c>
    </row>
    <row r="52" spans="1:15" x14ac:dyDescent="0.2">
      <c r="A52" s="828">
        <v>1990</v>
      </c>
      <c r="B52" s="791" t="s">
        <v>774</v>
      </c>
      <c r="C52" s="204"/>
      <c r="D52" s="204"/>
      <c r="E52" s="282"/>
      <c r="F52" s="282"/>
      <c r="G52" s="586">
        <f t="shared" si="0"/>
        <v>0</v>
      </c>
      <c r="H52" s="796">
        <f t="shared" si="1"/>
        <v>0</v>
      </c>
      <c r="I52" s="796">
        <f t="shared" si="2"/>
        <v>0</v>
      </c>
      <c r="J52" s="796">
        <f t="shared" si="3"/>
        <v>0</v>
      </c>
      <c r="K52" s="204"/>
      <c r="L52" s="796">
        <f t="shared" si="4"/>
        <v>0</v>
      </c>
      <c r="M52" s="796">
        <f t="shared" si="5"/>
        <v>0</v>
      </c>
      <c r="N52" s="204"/>
      <c r="O52" s="796">
        <f t="shared" si="6"/>
        <v>0</v>
      </c>
    </row>
    <row r="53" spans="1:15" x14ac:dyDescent="0.2">
      <c r="A53" s="828">
        <v>1995</v>
      </c>
      <c r="B53" s="787" t="s">
        <v>412</v>
      </c>
      <c r="C53" s="204"/>
      <c r="D53" s="204"/>
      <c r="E53" s="282"/>
      <c r="F53" s="282"/>
      <c r="G53" s="586">
        <f t="shared" si="0"/>
        <v>0</v>
      </c>
      <c r="H53" s="796">
        <f t="shared" si="1"/>
        <v>0</v>
      </c>
      <c r="I53" s="796">
        <f t="shared" si="2"/>
        <v>0</v>
      </c>
      <c r="J53" s="796">
        <f t="shared" si="3"/>
        <v>0</v>
      </c>
      <c r="K53" s="204"/>
      <c r="L53" s="796">
        <f t="shared" si="4"/>
        <v>0</v>
      </c>
      <c r="M53" s="796">
        <f t="shared" si="5"/>
        <v>0</v>
      </c>
      <c r="N53" s="204"/>
      <c r="O53" s="796">
        <f t="shared" si="6"/>
        <v>0</v>
      </c>
    </row>
    <row r="54" spans="1:15" x14ac:dyDescent="0.2">
      <c r="A54" s="227" t="s">
        <v>13</v>
      </c>
      <c r="B54" s="228"/>
      <c r="C54" s="204"/>
      <c r="D54" s="204"/>
      <c r="E54" s="282"/>
      <c r="F54" s="282"/>
      <c r="G54" s="586">
        <f t="shared" si="0"/>
        <v>0</v>
      </c>
      <c r="H54" s="796">
        <f t="shared" si="1"/>
        <v>0</v>
      </c>
      <c r="I54" s="796">
        <f t="shared" si="2"/>
        <v>0</v>
      </c>
      <c r="J54" s="796">
        <f t="shared" si="3"/>
        <v>0</v>
      </c>
      <c r="K54" s="204"/>
      <c r="L54" s="796">
        <f t="shared" si="4"/>
        <v>0</v>
      </c>
      <c r="M54" s="796">
        <f t="shared" si="5"/>
        <v>0</v>
      </c>
      <c r="N54" s="204"/>
      <c r="O54" s="796">
        <f t="shared" si="6"/>
        <v>0</v>
      </c>
    </row>
    <row r="55" spans="1:15" ht="13.5" thickBot="1" x14ac:dyDescent="0.25">
      <c r="A55" s="229"/>
      <c r="B55" s="230"/>
      <c r="C55" s="204"/>
      <c r="D55" s="204"/>
      <c r="E55" s="289"/>
      <c r="F55" s="289"/>
      <c r="G55" s="587">
        <f t="shared" si="0"/>
        <v>0</v>
      </c>
      <c r="H55" s="796">
        <f t="shared" si="1"/>
        <v>0</v>
      </c>
      <c r="I55" s="796">
        <f t="shared" si="2"/>
        <v>0</v>
      </c>
      <c r="J55" s="796">
        <f t="shared" si="3"/>
        <v>0</v>
      </c>
      <c r="K55" s="204"/>
      <c r="L55" s="796">
        <f t="shared" si="4"/>
        <v>0</v>
      </c>
      <c r="M55" s="796">
        <f t="shared" si="5"/>
        <v>0</v>
      </c>
      <c r="N55" s="204"/>
      <c r="O55" s="796">
        <f t="shared" si="6"/>
        <v>0</v>
      </c>
    </row>
    <row r="56" spans="1:15" ht="14.25" thickTop="1" thickBot="1" x14ac:dyDescent="0.25">
      <c r="A56" s="231"/>
      <c r="B56" s="232" t="s">
        <v>413</v>
      </c>
      <c r="C56" s="796">
        <f>SUM(C16:C55)</f>
        <v>0</v>
      </c>
      <c r="D56" s="796">
        <f>SUM(D16:D55)</f>
        <v>0</v>
      </c>
      <c r="E56" s="235"/>
      <c r="F56" s="292"/>
      <c r="G56" s="596"/>
      <c r="H56" s="796">
        <f t="shared" ref="H56:O56" si="7">SUM(H16:H55)</f>
        <v>0</v>
      </c>
      <c r="I56" s="796">
        <f t="shared" si="7"/>
        <v>0</v>
      </c>
      <c r="J56" s="796">
        <f t="shared" si="7"/>
        <v>0</v>
      </c>
      <c r="K56" s="796">
        <f t="shared" si="7"/>
        <v>0</v>
      </c>
      <c r="L56" s="796">
        <f t="shared" si="7"/>
        <v>0</v>
      </c>
      <c r="M56" s="796">
        <f t="shared" si="7"/>
        <v>0</v>
      </c>
      <c r="N56" s="796">
        <f>SUM(N16:N55)</f>
        <v>0</v>
      </c>
      <c r="O56" s="796">
        <f t="shared" si="7"/>
        <v>0</v>
      </c>
    </row>
    <row r="57" spans="1:15" x14ac:dyDescent="0.2">
      <c r="A57" s="239"/>
      <c r="B57" s="803" t="s">
        <v>778</v>
      </c>
      <c r="C57" s="176"/>
      <c r="D57" s="176"/>
      <c r="E57" s="176"/>
      <c r="G57" s="840"/>
      <c r="H57" s="176"/>
      <c r="I57" s="176"/>
      <c r="J57" s="204">
        <v>0</v>
      </c>
      <c r="K57" s="176"/>
      <c r="L57" s="176"/>
      <c r="M57" s="176"/>
      <c r="N57" s="176"/>
      <c r="O57" s="176"/>
    </row>
    <row r="58" spans="1:15" x14ac:dyDescent="0.2">
      <c r="B58" s="803" t="s">
        <v>413</v>
      </c>
      <c r="C58" s="176"/>
      <c r="D58" s="176"/>
      <c r="E58" s="176"/>
      <c r="J58" s="796">
        <f>+J56+J57</f>
        <v>0</v>
      </c>
      <c r="K58" s="597"/>
    </row>
    <row r="59" spans="1:15" x14ac:dyDescent="0.2">
      <c r="A59" s="217" t="s">
        <v>15</v>
      </c>
    </row>
    <row r="61" spans="1:15" x14ac:dyDescent="0.2">
      <c r="A61" s="284">
        <v>1</v>
      </c>
      <c r="B61" s="1857" t="s">
        <v>607</v>
      </c>
      <c r="C61" s="1857"/>
      <c r="D61" s="1857"/>
      <c r="E61" s="1857"/>
      <c r="F61" s="1857"/>
      <c r="G61" s="1857"/>
      <c r="H61" s="1857"/>
      <c r="I61" s="1857"/>
      <c r="J61" s="1857"/>
      <c r="K61" s="1857"/>
      <c r="L61" s="1857"/>
      <c r="M61" s="1857"/>
      <c r="N61" s="1857"/>
      <c r="O61" s="1857"/>
    </row>
    <row r="62" spans="1:15" x14ac:dyDescent="0.2">
      <c r="A62" s="284">
        <v>2</v>
      </c>
      <c r="B62" s="1887" t="s">
        <v>1934</v>
      </c>
      <c r="C62" s="1887"/>
      <c r="D62" s="1887"/>
      <c r="E62" s="1887"/>
      <c r="F62" s="1887"/>
      <c r="G62" s="1887"/>
      <c r="H62" s="1887"/>
      <c r="I62" s="1887"/>
      <c r="J62" s="1887"/>
      <c r="K62" s="1887"/>
      <c r="L62" s="1887"/>
      <c r="M62" s="1887"/>
      <c r="N62" s="1887"/>
      <c r="O62" s="1887"/>
    </row>
    <row r="63" spans="1:15" ht="14.25" customHeight="1" x14ac:dyDescent="0.2">
      <c r="A63" s="284">
        <v>3</v>
      </c>
      <c r="B63" s="1857" t="s">
        <v>609</v>
      </c>
      <c r="C63" s="1857"/>
      <c r="D63" s="1857"/>
      <c r="E63" s="1857"/>
      <c r="F63" s="1857"/>
      <c r="G63" s="1857"/>
      <c r="H63" s="1857"/>
      <c r="I63" s="1857"/>
      <c r="J63" s="1857"/>
      <c r="K63" s="1857"/>
      <c r="L63" s="1857"/>
      <c r="M63" s="1857"/>
      <c r="N63" s="1857"/>
      <c r="O63" s="1857"/>
    </row>
    <row r="64" spans="1:15" ht="44.25" customHeight="1" x14ac:dyDescent="0.2">
      <c r="A64" s="284">
        <v>4</v>
      </c>
      <c r="B64" s="1857" t="s">
        <v>800</v>
      </c>
      <c r="C64" s="1857"/>
      <c r="D64" s="1857"/>
      <c r="E64" s="1857"/>
      <c r="F64" s="1857"/>
      <c r="G64" s="1857"/>
      <c r="H64" s="1857"/>
      <c r="I64" s="1857"/>
      <c r="J64" s="1857"/>
      <c r="K64" s="1857"/>
      <c r="L64" s="1857"/>
      <c r="M64" s="1857"/>
      <c r="N64" s="1857"/>
      <c r="O64" s="1857"/>
    </row>
    <row r="65" spans="1:15" ht="12.75" customHeight="1" x14ac:dyDescent="0.2">
      <c r="A65" s="284">
        <v>5</v>
      </c>
      <c r="B65" s="1857" t="s">
        <v>606</v>
      </c>
      <c r="C65" s="1857"/>
      <c r="D65" s="1857"/>
      <c r="E65" s="1857"/>
      <c r="F65" s="1857"/>
      <c r="G65" s="1857"/>
      <c r="H65" s="1857"/>
      <c r="I65" s="1857"/>
      <c r="J65" s="1857"/>
      <c r="K65" s="1857"/>
      <c r="L65" s="1857"/>
      <c r="M65" s="1857"/>
      <c r="N65" s="1857"/>
      <c r="O65" s="1857"/>
    </row>
    <row r="66" spans="1:15" ht="12.75" customHeight="1" x14ac:dyDescent="0.2">
      <c r="A66" s="286">
        <v>6</v>
      </c>
      <c r="B66" s="1790" t="s">
        <v>718</v>
      </c>
      <c r="C66" s="1790"/>
      <c r="D66" s="1790"/>
      <c r="E66" s="1790"/>
      <c r="F66" s="1790"/>
      <c r="G66" s="1790"/>
      <c r="H66" s="1790"/>
      <c r="I66" s="1790"/>
      <c r="J66" s="1790"/>
      <c r="K66" s="1790"/>
      <c r="L66" s="1790"/>
      <c r="M66" s="1790"/>
      <c r="N66" s="1790"/>
      <c r="O66" s="1790"/>
    </row>
    <row r="68" spans="1:15" x14ac:dyDescent="0.2">
      <c r="A68" s="217" t="s">
        <v>325</v>
      </c>
      <c r="B68" s="1886" t="s">
        <v>270</v>
      </c>
      <c r="C68" s="1886"/>
      <c r="D68" s="1886"/>
      <c r="E68" s="1886"/>
      <c r="F68" s="1886"/>
      <c r="G68" s="1886"/>
      <c r="H68" s="1886"/>
      <c r="I68" s="1886"/>
      <c r="J68" s="1886"/>
      <c r="K68" s="1886"/>
      <c r="L68" s="1886"/>
    </row>
    <row r="69" spans="1:15" x14ac:dyDescent="0.2">
      <c r="B69" s="1886"/>
      <c r="C69" s="1886"/>
      <c r="D69" s="1886"/>
      <c r="E69" s="1886"/>
      <c r="F69" s="1886"/>
      <c r="G69" s="1886"/>
      <c r="H69" s="1886"/>
      <c r="I69" s="1886"/>
      <c r="J69" s="1886"/>
      <c r="K69" s="1886"/>
      <c r="L69" s="1886"/>
    </row>
    <row r="70" spans="1:15" x14ac:dyDescent="0.2">
      <c r="B70" s="1886"/>
      <c r="C70" s="1886"/>
      <c r="D70" s="1886"/>
      <c r="E70" s="1886"/>
      <c r="F70" s="1886"/>
      <c r="G70" s="1886"/>
      <c r="H70" s="1886"/>
      <c r="I70" s="1886"/>
      <c r="J70" s="1886"/>
      <c r="K70" s="1886"/>
      <c r="L70" s="1886"/>
    </row>
    <row r="78" spans="1:15" x14ac:dyDescent="0.2">
      <c r="B78" s="236"/>
      <c r="C78" s="236"/>
      <c r="D78" s="236"/>
      <c r="E78" s="236"/>
      <c r="F78" s="236"/>
      <c r="G78" s="236"/>
      <c r="H78" s="236"/>
      <c r="I78" s="236"/>
      <c r="J78" s="236"/>
      <c r="K78" s="236"/>
      <c r="L78" s="236"/>
    </row>
    <row r="79" spans="1:15" x14ac:dyDescent="0.2">
      <c r="A79" s="236"/>
      <c r="B79" s="236"/>
      <c r="C79" s="236"/>
      <c r="D79" s="236"/>
      <c r="E79" s="236"/>
      <c r="F79" s="236"/>
      <c r="G79" s="236"/>
      <c r="H79" s="236"/>
      <c r="I79" s="236"/>
      <c r="J79" s="236"/>
      <c r="K79" s="236"/>
      <c r="L79" s="236"/>
    </row>
    <row r="81" spans="1:12" x14ac:dyDescent="0.2">
      <c r="L81" s="236"/>
    </row>
    <row r="82" spans="1:12" ht="12.75" customHeight="1" x14ac:dyDescent="0.2">
      <c r="L82" s="236"/>
    </row>
    <row r="83" spans="1:12" x14ac:dyDescent="0.2">
      <c r="L83" s="236"/>
    </row>
    <row r="84" spans="1:12" x14ac:dyDescent="0.2">
      <c r="L84" s="236"/>
    </row>
    <row r="85" spans="1:12" x14ac:dyDescent="0.2">
      <c r="A85" s="673"/>
      <c r="B85" s="673"/>
      <c r="C85" s="673"/>
      <c r="D85" s="673"/>
      <c r="E85" s="673"/>
      <c r="F85" s="673"/>
      <c r="G85" s="673"/>
      <c r="H85" s="236"/>
      <c r="I85" s="236"/>
      <c r="J85" s="236"/>
      <c r="K85" s="236"/>
      <c r="L85" s="236"/>
    </row>
    <row r="86" spans="1:12" x14ac:dyDescent="0.2">
      <c r="A86" s="673"/>
      <c r="B86" s="673"/>
      <c r="C86" s="673"/>
      <c r="D86" s="673"/>
      <c r="E86" s="673"/>
      <c r="F86" s="673"/>
      <c r="G86" s="673"/>
      <c r="H86" s="236"/>
      <c r="I86" s="236"/>
      <c r="J86" s="236"/>
      <c r="K86" s="236"/>
      <c r="L86" s="236"/>
    </row>
    <row r="87" spans="1:12" x14ac:dyDescent="0.2">
      <c r="L87" s="236"/>
    </row>
    <row r="88" spans="1:12" x14ac:dyDescent="0.2">
      <c r="H88" s="678"/>
      <c r="I88" s="678"/>
      <c r="J88" s="678"/>
      <c r="K88" s="678"/>
      <c r="L88" s="236"/>
    </row>
    <row r="89" spans="1:12" ht="14.25" x14ac:dyDescent="0.2">
      <c r="A89" s="238"/>
      <c r="B89" s="677"/>
      <c r="C89" s="677"/>
      <c r="D89" s="677"/>
      <c r="E89" s="677"/>
      <c r="F89" s="677"/>
      <c r="G89" s="678"/>
      <c r="H89" s="678"/>
      <c r="I89" s="678"/>
      <c r="J89" s="678"/>
      <c r="K89" s="678"/>
      <c r="L89" s="236"/>
    </row>
    <row r="90" spans="1:12" ht="14.25" x14ac:dyDescent="0.2">
      <c r="A90" s="238"/>
      <c r="B90" s="677"/>
      <c r="C90" s="677"/>
      <c r="D90" s="677"/>
      <c r="E90" s="677"/>
      <c r="F90" s="677"/>
      <c r="G90" s="678"/>
      <c r="H90" s="678"/>
      <c r="I90" s="678"/>
      <c r="J90" s="678"/>
      <c r="K90" s="678"/>
      <c r="L90" s="236"/>
    </row>
    <row r="92" spans="1:12" x14ac:dyDescent="0.2">
      <c r="A92" s="236"/>
    </row>
    <row r="93" spans="1:12" x14ac:dyDescent="0.2">
      <c r="A93" s="236"/>
    </row>
  </sheetData>
  <mergeCells count="14">
    <mergeCell ref="B68:L70"/>
    <mergeCell ref="B61:O61"/>
    <mergeCell ref="B62:O62"/>
    <mergeCell ref="B63:O63"/>
    <mergeCell ref="B64:O64"/>
    <mergeCell ref="B65:O65"/>
    <mergeCell ref="B66:O66"/>
    <mergeCell ref="A9:O9"/>
    <mergeCell ref="A10:O10"/>
    <mergeCell ref="A11:O11"/>
    <mergeCell ref="A14:A15"/>
    <mergeCell ref="B14:B15"/>
    <mergeCell ref="K14:K15"/>
    <mergeCell ref="N14:N15"/>
  </mergeCells>
  <dataValidations count="1">
    <dataValidation allowBlank="1" showInputMessage="1" showErrorMessage="1" promptTitle="Date Format" prompt="E.g:  &quot;August 1, 2011&quot;" sqref="WVU983050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L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L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L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L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L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L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L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L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L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L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L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L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L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L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L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dataValidations>
  <printOptions horizontalCentered="1"/>
  <pageMargins left="0.74803149606299213" right="0.74803149606299213" top="0.70866141732283472" bottom="0.39370078740157483" header="0.39370078740157483" footer="0.27559055118110237"/>
  <pageSetup scale="5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80"/>
  <sheetViews>
    <sheetView showGridLines="0" zoomScaleNormal="100" workbookViewId="0">
      <selection activeCell="A10" sqref="A10:J10"/>
    </sheetView>
  </sheetViews>
  <sheetFormatPr defaultRowHeight="12.75" x14ac:dyDescent="0.2"/>
  <cols>
    <col min="1" max="1" width="9.140625" style="216"/>
    <col min="2" max="2" width="40.28515625" style="216" bestFit="1" customWidth="1"/>
    <col min="3" max="3" width="10" style="216" customWidth="1"/>
    <col min="4" max="4" width="10.140625" style="216" customWidth="1"/>
    <col min="5" max="5" width="12.28515625" style="216" customWidth="1"/>
    <col min="6" max="7" width="15.7109375" style="216" customWidth="1"/>
    <col min="8" max="8" width="12.7109375" style="216" customWidth="1"/>
    <col min="9" max="9" width="12.85546875" style="216" customWidth="1"/>
    <col min="10" max="10" width="14.42578125" style="216" customWidth="1"/>
    <col min="11" max="255" width="9.140625" style="216"/>
    <col min="256" max="256" width="2.7109375" style="216" customWidth="1"/>
    <col min="257" max="257" width="9.140625" style="216"/>
    <col min="258" max="258" width="40.28515625" style="216" bestFit="1" customWidth="1"/>
    <col min="259" max="259" width="10" style="216" customWidth="1"/>
    <col min="260" max="260" width="10.140625" style="216" customWidth="1"/>
    <col min="261" max="261" width="12.28515625" style="216" customWidth="1"/>
    <col min="262" max="262" width="15.7109375" style="216" customWidth="1"/>
    <col min="263" max="263" width="12.85546875" style="216" customWidth="1"/>
    <col min="264" max="264" width="12.7109375" style="216" customWidth="1"/>
    <col min="265" max="265" width="12.85546875" style="216" customWidth="1"/>
    <col min="266" max="266" width="14.42578125" style="216" customWidth="1"/>
    <col min="267" max="511" width="9.140625" style="216"/>
    <col min="512" max="512" width="2.7109375" style="216" customWidth="1"/>
    <col min="513" max="513" width="9.140625" style="216"/>
    <col min="514" max="514" width="40.28515625" style="216" bestFit="1" customWidth="1"/>
    <col min="515" max="515" width="10" style="216" customWidth="1"/>
    <col min="516" max="516" width="10.140625" style="216" customWidth="1"/>
    <col min="517" max="517" width="12.28515625" style="216" customWidth="1"/>
    <col min="518" max="518" width="15.7109375" style="216" customWidth="1"/>
    <col min="519" max="519" width="12.85546875" style="216" customWidth="1"/>
    <col min="520" max="520" width="12.7109375" style="216" customWidth="1"/>
    <col min="521" max="521" width="12.85546875" style="216" customWidth="1"/>
    <col min="522" max="522" width="14.42578125" style="216" customWidth="1"/>
    <col min="523" max="767" width="9.140625" style="216"/>
    <col min="768" max="768" width="2.7109375" style="216" customWidth="1"/>
    <col min="769" max="769" width="9.140625" style="216"/>
    <col min="770" max="770" width="40.28515625" style="216" bestFit="1" customWidth="1"/>
    <col min="771" max="771" width="10" style="216" customWidth="1"/>
    <col min="772" max="772" width="10.140625" style="216" customWidth="1"/>
    <col min="773" max="773" width="12.28515625" style="216" customWidth="1"/>
    <col min="774" max="774" width="15.7109375" style="216" customWidth="1"/>
    <col min="775" max="775" width="12.85546875" style="216" customWidth="1"/>
    <col min="776" max="776" width="12.7109375" style="216" customWidth="1"/>
    <col min="777" max="777" width="12.85546875" style="216" customWidth="1"/>
    <col min="778" max="778" width="14.42578125" style="216" customWidth="1"/>
    <col min="779" max="1023" width="9.140625" style="216"/>
    <col min="1024" max="1024" width="2.7109375" style="216" customWidth="1"/>
    <col min="1025" max="1025" width="9.140625" style="216"/>
    <col min="1026" max="1026" width="40.28515625" style="216" bestFit="1" customWidth="1"/>
    <col min="1027" max="1027" width="10" style="216" customWidth="1"/>
    <col min="1028" max="1028" width="10.140625" style="216" customWidth="1"/>
    <col min="1029" max="1029" width="12.28515625" style="216" customWidth="1"/>
    <col min="1030" max="1030" width="15.7109375" style="216" customWidth="1"/>
    <col min="1031" max="1031" width="12.85546875" style="216" customWidth="1"/>
    <col min="1032" max="1032" width="12.7109375" style="216" customWidth="1"/>
    <col min="1033" max="1033" width="12.85546875" style="216" customWidth="1"/>
    <col min="1034" max="1034" width="14.42578125" style="216" customWidth="1"/>
    <col min="1035" max="1279" width="9.140625" style="216"/>
    <col min="1280" max="1280" width="2.7109375" style="216" customWidth="1"/>
    <col min="1281" max="1281" width="9.140625" style="216"/>
    <col min="1282" max="1282" width="40.28515625" style="216" bestFit="1" customWidth="1"/>
    <col min="1283" max="1283" width="10" style="216" customWidth="1"/>
    <col min="1284" max="1284" width="10.140625" style="216" customWidth="1"/>
    <col min="1285" max="1285" width="12.28515625" style="216" customWidth="1"/>
    <col min="1286" max="1286" width="15.7109375" style="216" customWidth="1"/>
    <col min="1287" max="1287" width="12.85546875" style="216" customWidth="1"/>
    <col min="1288" max="1288" width="12.7109375" style="216" customWidth="1"/>
    <col min="1289" max="1289" width="12.85546875" style="216" customWidth="1"/>
    <col min="1290" max="1290" width="14.42578125" style="216" customWidth="1"/>
    <col min="1291" max="1535" width="9.140625" style="216"/>
    <col min="1536" max="1536" width="2.7109375" style="216" customWidth="1"/>
    <col min="1537" max="1537" width="9.140625" style="216"/>
    <col min="1538" max="1538" width="40.28515625" style="216" bestFit="1" customWidth="1"/>
    <col min="1539" max="1539" width="10" style="216" customWidth="1"/>
    <col min="1540" max="1540" width="10.140625" style="216" customWidth="1"/>
    <col min="1541" max="1541" width="12.28515625" style="216" customWidth="1"/>
    <col min="1542" max="1542" width="15.7109375" style="216" customWidth="1"/>
    <col min="1543" max="1543" width="12.85546875" style="216" customWidth="1"/>
    <col min="1544" max="1544" width="12.7109375" style="216" customWidth="1"/>
    <col min="1545" max="1545" width="12.85546875" style="216" customWidth="1"/>
    <col min="1546" max="1546" width="14.42578125" style="216" customWidth="1"/>
    <col min="1547" max="1791" width="9.140625" style="216"/>
    <col min="1792" max="1792" width="2.7109375" style="216" customWidth="1"/>
    <col min="1793" max="1793" width="9.140625" style="216"/>
    <col min="1794" max="1794" width="40.28515625" style="216" bestFit="1" customWidth="1"/>
    <col min="1795" max="1795" width="10" style="216" customWidth="1"/>
    <col min="1796" max="1796" width="10.140625" style="216" customWidth="1"/>
    <col min="1797" max="1797" width="12.28515625" style="216" customWidth="1"/>
    <col min="1798" max="1798" width="15.7109375" style="216" customWidth="1"/>
    <col min="1799" max="1799" width="12.85546875" style="216" customWidth="1"/>
    <col min="1800" max="1800" width="12.7109375" style="216" customWidth="1"/>
    <col min="1801" max="1801" width="12.85546875" style="216" customWidth="1"/>
    <col min="1802" max="1802" width="14.42578125" style="216" customWidth="1"/>
    <col min="1803" max="2047" width="9.140625" style="216"/>
    <col min="2048" max="2048" width="2.7109375" style="216" customWidth="1"/>
    <col min="2049" max="2049" width="9.140625" style="216"/>
    <col min="2050" max="2050" width="40.28515625" style="216" bestFit="1" customWidth="1"/>
    <col min="2051" max="2051" width="10" style="216" customWidth="1"/>
    <col min="2052" max="2052" width="10.140625" style="216" customWidth="1"/>
    <col min="2053" max="2053" width="12.28515625" style="216" customWidth="1"/>
    <col min="2054" max="2054" width="15.7109375" style="216" customWidth="1"/>
    <col min="2055" max="2055" width="12.85546875" style="216" customWidth="1"/>
    <col min="2056" max="2056" width="12.7109375" style="216" customWidth="1"/>
    <col min="2057" max="2057" width="12.85546875" style="216" customWidth="1"/>
    <col min="2058" max="2058" width="14.42578125" style="216" customWidth="1"/>
    <col min="2059" max="2303" width="9.140625" style="216"/>
    <col min="2304" max="2304" width="2.7109375" style="216" customWidth="1"/>
    <col min="2305" max="2305" width="9.140625" style="216"/>
    <col min="2306" max="2306" width="40.28515625" style="216" bestFit="1" customWidth="1"/>
    <col min="2307" max="2307" width="10" style="216" customWidth="1"/>
    <col min="2308" max="2308" width="10.140625" style="216" customWidth="1"/>
    <col min="2309" max="2309" width="12.28515625" style="216" customWidth="1"/>
    <col min="2310" max="2310" width="15.7109375" style="216" customWidth="1"/>
    <col min="2311" max="2311" width="12.85546875" style="216" customWidth="1"/>
    <col min="2312" max="2312" width="12.7109375" style="216" customWidth="1"/>
    <col min="2313" max="2313" width="12.85546875" style="216" customWidth="1"/>
    <col min="2314" max="2314" width="14.42578125" style="216" customWidth="1"/>
    <col min="2315" max="2559" width="9.140625" style="216"/>
    <col min="2560" max="2560" width="2.7109375" style="216" customWidth="1"/>
    <col min="2561" max="2561" width="9.140625" style="216"/>
    <col min="2562" max="2562" width="40.28515625" style="216" bestFit="1" customWidth="1"/>
    <col min="2563" max="2563" width="10" style="216" customWidth="1"/>
    <col min="2564" max="2564" width="10.140625" style="216" customWidth="1"/>
    <col min="2565" max="2565" width="12.28515625" style="216" customWidth="1"/>
    <col min="2566" max="2566" width="15.7109375" style="216" customWidth="1"/>
    <col min="2567" max="2567" width="12.85546875" style="216" customWidth="1"/>
    <col min="2568" max="2568" width="12.7109375" style="216" customWidth="1"/>
    <col min="2569" max="2569" width="12.85546875" style="216" customWidth="1"/>
    <col min="2570" max="2570" width="14.42578125" style="216" customWidth="1"/>
    <col min="2571" max="2815" width="9.140625" style="216"/>
    <col min="2816" max="2816" width="2.7109375" style="216" customWidth="1"/>
    <col min="2817" max="2817" width="9.140625" style="216"/>
    <col min="2818" max="2818" width="40.28515625" style="216" bestFit="1" customWidth="1"/>
    <col min="2819" max="2819" width="10" style="216" customWidth="1"/>
    <col min="2820" max="2820" width="10.140625" style="216" customWidth="1"/>
    <col min="2821" max="2821" width="12.28515625" style="216" customWidth="1"/>
    <col min="2822" max="2822" width="15.7109375" style="216" customWidth="1"/>
    <col min="2823" max="2823" width="12.85546875" style="216" customWidth="1"/>
    <col min="2824" max="2824" width="12.7109375" style="216" customWidth="1"/>
    <col min="2825" max="2825" width="12.85546875" style="216" customWidth="1"/>
    <col min="2826" max="2826" width="14.42578125" style="216" customWidth="1"/>
    <col min="2827" max="3071" width="9.140625" style="216"/>
    <col min="3072" max="3072" width="2.7109375" style="216" customWidth="1"/>
    <col min="3073" max="3073" width="9.140625" style="216"/>
    <col min="3074" max="3074" width="40.28515625" style="216" bestFit="1" customWidth="1"/>
    <col min="3075" max="3075" width="10" style="216" customWidth="1"/>
    <col min="3076" max="3076" width="10.140625" style="216" customWidth="1"/>
    <col min="3077" max="3077" width="12.28515625" style="216" customWidth="1"/>
    <col min="3078" max="3078" width="15.7109375" style="216" customWidth="1"/>
    <col min="3079" max="3079" width="12.85546875" style="216" customWidth="1"/>
    <col min="3080" max="3080" width="12.7109375" style="216" customWidth="1"/>
    <col min="3081" max="3081" width="12.85546875" style="216" customWidth="1"/>
    <col min="3082" max="3082" width="14.42578125" style="216" customWidth="1"/>
    <col min="3083" max="3327" width="9.140625" style="216"/>
    <col min="3328" max="3328" width="2.7109375" style="216" customWidth="1"/>
    <col min="3329" max="3329" width="9.140625" style="216"/>
    <col min="3330" max="3330" width="40.28515625" style="216" bestFit="1" customWidth="1"/>
    <col min="3331" max="3331" width="10" style="216" customWidth="1"/>
    <col min="3332" max="3332" width="10.140625" style="216" customWidth="1"/>
    <col min="3333" max="3333" width="12.28515625" style="216" customWidth="1"/>
    <col min="3334" max="3334" width="15.7109375" style="216" customWidth="1"/>
    <col min="3335" max="3335" width="12.85546875" style="216" customWidth="1"/>
    <col min="3336" max="3336" width="12.7109375" style="216" customWidth="1"/>
    <col min="3337" max="3337" width="12.85546875" style="216" customWidth="1"/>
    <col min="3338" max="3338" width="14.42578125" style="216" customWidth="1"/>
    <col min="3339" max="3583" width="9.140625" style="216"/>
    <col min="3584" max="3584" width="2.7109375" style="216" customWidth="1"/>
    <col min="3585" max="3585" width="9.140625" style="216"/>
    <col min="3586" max="3586" width="40.28515625" style="216" bestFit="1" customWidth="1"/>
    <col min="3587" max="3587" width="10" style="216" customWidth="1"/>
    <col min="3588" max="3588" width="10.140625" style="216" customWidth="1"/>
    <col min="3589" max="3589" width="12.28515625" style="216" customWidth="1"/>
    <col min="3590" max="3590" width="15.7109375" style="216" customWidth="1"/>
    <col min="3591" max="3591" width="12.85546875" style="216" customWidth="1"/>
    <col min="3592" max="3592" width="12.7109375" style="216" customWidth="1"/>
    <col min="3593" max="3593" width="12.85546875" style="216" customWidth="1"/>
    <col min="3594" max="3594" width="14.42578125" style="216" customWidth="1"/>
    <col min="3595" max="3839" width="9.140625" style="216"/>
    <col min="3840" max="3840" width="2.7109375" style="216" customWidth="1"/>
    <col min="3841" max="3841" width="9.140625" style="216"/>
    <col min="3842" max="3842" width="40.28515625" style="216" bestFit="1" customWidth="1"/>
    <col min="3843" max="3843" width="10" style="216" customWidth="1"/>
    <col min="3844" max="3844" width="10.140625" style="216" customWidth="1"/>
    <col min="3845" max="3845" width="12.28515625" style="216" customWidth="1"/>
    <col min="3846" max="3846" width="15.7109375" style="216" customWidth="1"/>
    <col min="3847" max="3847" width="12.85546875" style="216" customWidth="1"/>
    <col min="3848" max="3848" width="12.7109375" style="216" customWidth="1"/>
    <col min="3849" max="3849" width="12.85546875" style="216" customWidth="1"/>
    <col min="3850" max="3850" width="14.42578125" style="216" customWidth="1"/>
    <col min="3851" max="4095" width="9.140625" style="216"/>
    <col min="4096" max="4096" width="2.7109375" style="216" customWidth="1"/>
    <col min="4097" max="4097" width="9.140625" style="216"/>
    <col min="4098" max="4098" width="40.28515625" style="216" bestFit="1" customWidth="1"/>
    <col min="4099" max="4099" width="10" style="216" customWidth="1"/>
    <col min="4100" max="4100" width="10.140625" style="216" customWidth="1"/>
    <col min="4101" max="4101" width="12.28515625" style="216" customWidth="1"/>
    <col min="4102" max="4102" width="15.7109375" style="216" customWidth="1"/>
    <col min="4103" max="4103" width="12.85546875" style="216" customWidth="1"/>
    <col min="4104" max="4104" width="12.7109375" style="216" customWidth="1"/>
    <col min="4105" max="4105" width="12.85546875" style="216" customWidth="1"/>
    <col min="4106" max="4106" width="14.42578125" style="216" customWidth="1"/>
    <col min="4107" max="4351" width="9.140625" style="216"/>
    <col min="4352" max="4352" width="2.7109375" style="216" customWidth="1"/>
    <col min="4353" max="4353" width="9.140625" style="216"/>
    <col min="4354" max="4354" width="40.28515625" style="216" bestFit="1" customWidth="1"/>
    <col min="4355" max="4355" width="10" style="216" customWidth="1"/>
    <col min="4356" max="4356" width="10.140625" style="216" customWidth="1"/>
    <col min="4357" max="4357" width="12.28515625" style="216" customWidth="1"/>
    <col min="4358" max="4358" width="15.7109375" style="216" customWidth="1"/>
    <col min="4359" max="4359" width="12.85546875" style="216" customWidth="1"/>
    <col min="4360" max="4360" width="12.7109375" style="216" customWidth="1"/>
    <col min="4361" max="4361" width="12.85546875" style="216" customWidth="1"/>
    <col min="4362" max="4362" width="14.42578125" style="216" customWidth="1"/>
    <col min="4363" max="4607" width="9.140625" style="216"/>
    <col min="4608" max="4608" width="2.7109375" style="216" customWidth="1"/>
    <col min="4609" max="4609" width="9.140625" style="216"/>
    <col min="4610" max="4610" width="40.28515625" style="216" bestFit="1" customWidth="1"/>
    <col min="4611" max="4611" width="10" style="216" customWidth="1"/>
    <col min="4612" max="4612" width="10.140625" style="216" customWidth="1"/>
    <col min="4613" max="4613" width="12.28515625" style="216" customWidth="1"/>
    <col min="4614" max="4614" width="15.7109375" style="216" customWidth="1"/>
    <col min="4615" max="4615" width="12.85546875" style="216" customWidth="1"/>
    <col min="4616" max="4616" width="12.7109375" style="216" customWidth="1"/>
    <col min="4617" max="4617" width="12.85546875" style="216" customWidth="1"/>
    <col min="4618" max="4618" width="14.42578125" style="216" customWidth="1"/>
    <col min="4619" max="4863" width="9.140625" style="216"/>
    <col min="4864" max="4864" width="2.7109375" style="216" customWidth="1"/>
    <col min="4865" max="4865" width="9.140625" style="216"/>
    <col min="4866" max="4866" width="40.28515625" style="216" bestFit="1" customWidth="1"/>
    <col min="4867" max="4867" width="10" style="216" customWidth="1"/>
    <col min="4868" max="4868" width="10.140625" style="216" customWidth="1"/>
    <col min="4869" max="4869" width="12.28515625" style="216" customWidth="1"/>
    <col min="4870" max="4870" width="15.7109375" style="216" customWidth="1"/>
    <col min="4871" max="4871" width="12.85546875" style="216" customWidth="1"/>
    <col min="4872" max="4872" width="12.7109375" style="216" customWidth="1"/>
    <col min="4873" max="4873" width="12.85546875" style="216" customWidth="1"/>
    <col min="4874" max="4874" width="14.42578125" style="216" customWidth="1"/>
    <col min="4875" max="5119" width="9.140625" style="216"/>
    <col min="5120" max="5120" width="2.7109375" style="216" customWidth="1"/>
    <col min="5121" max="5121" width="9.140625" style="216"/>
    <col min="5122" max="5122" width="40.28515625" style="216" bestFit="1" customWidth="1"/>
    <col min="5123" max="5123" width="10" style="216" customWidth="1"/>
    <col min="5124" max="5124" width="10.140625" style="216" customWidth="1"/>
    <col min="5125" max="5125" width="12.28515625" style="216" customWidth="1"/>
    <col min="5126" max="5126" width="15.7109375" style="216" customWidth="1"/>
    <col min="5127" max="5127" width="12.85546875" style="216" customWidth="1"/>
    <col min="5128" max="5128" width="12.7109375" style="216" customWidth="1"/>
    <col min="5129" max="5129" width="12.85546875" style="216" customWidth="1"/>
    <col min="5130" max="5130" width="14.42578125" style="216" customWidth="1"/>
    <col min="5131" max="5375" width="9.140625" style="216"/>
    <col min="5376" max="5376" width="2.7109375" style="216" customWidth="1"/>
    <col min="5377" max="5377" width="9.140625" style="216"/>
    <col min="5378" max="5378" width="40.28515625" style="216" bestFit="1" customWidth="1"/>
    <col min="5379" max="5379" width="10" style="216" customWidth="1"/>
    <col min="5380" max="5380" width="10.140625" style="216" customWidth="1"/>
    <col min="5381" max="5381" width="12.28515625" style="216" customWidth="1"/>
    <col min="5382" max="5382" width="15.7109375" style="216" customWidth="1"/>
    <col min="5383" max="5383" width="12.85546875" style="216" customWidth="1"/>
    <col min="5384" max="5384" width="12.7109375" style="216" customWidth="1"/>
    <col min="5385" max="5385" width="12.85546875" style="216" customWidth="1"/>
    <col min="5386" max="5386" width="14.42578125" style="216" customWidth="1"/>
    <col min="5387" max="5631" width="9.140625" style="216"/>
    <col min="5632" max="5632" width="2.7109375" style="216" customWidth="1"/>
    <col min="5633" max="5633" width="9.140625" style="216"/>
    <col min="5634" max="5634" width="40.28515625" style="216" bestFit="1" customWidth="1"/>
    <col min="5635" max="5635" width="10" style="216" customWidth="1"/>
    <col min="5636" max="5636" width="10.140625" style="216" customWidth="1"/>
    <col min="5637" max="5637" width="12.28515625" style="216" customWidth="1"/>
    <col min="5638" max="5638" width="15.7109375" style="216" customWidth="1"/>
    <col min="5639" max="5639" width="12.85546875" style="216" customWidth="1"/>
    <col min="5640" max="5640" width="12.7109375" style="216" customWidth="1"/>
    <col min="5641" max="5641" width="12.85546875" style="216" customWidth="1"/>
    <col min="5642" max="5642" width="14.42578125" style="216" customWidth="1"/>
    <col min="5643" max="5887" width="9.140625" style="216"/>
    <col min="5888" max="5888" width="2.7109375" style="216" customWidth="1"/>
    <col min="5889" max="5889" width="9.140625" style="216"/>
    <col min="5890" max="5890" width="40.28515625" style="216" bestFit="1" customWidth="1"/>
    <col min="5891" max="5891" width="10" style="216" customWidth="1"/>
    <col min="5892" max="5892" width="10.140625" style="216" customWidth="1"/>
    <col min="5893" max="5893" width="12.28515625" style="216" customWidth="1"/>
    <col min="5894" max="5894" width="15.7109375" style="216" customWidth="1"/>
    <col min="5895" max="5895" width="12.85546875" style="216" customWidth="1"/>
    <col min="5896" max="5896" width="12.7109375" style="216" customWidth="1"/>
    <col min="5897" max="5897" width="12.85546875" style="216" customWidth="1"/>
    <col min="5898" max="5898" width="14.42578125" style="216" customWidth="1"/>
    <col min="5899" max="6143" width="9.140625" style="216"/>
    <col min="6144" max="6144" width="2.7109375" style="216" customWidth="1"/>
    <col min="6145" max="6145" width="9.140625" style="216"/>
    <col min="6146" max="6146" width="40.28515625" style="216" bestFit="1" customWidth="1"/>
    <col min="6147" max="6147" width="10" style="216" customWidth="1"/>
    <col min="6148" max="6148" width="10.140625" style="216" customWidth="1"/>
    <col min="6149" max="6149" width="12.28515625" style="216" customWidth="1"/>
    <col min="6150" max="6150" width="15.7109375" style="216" customWidth="1"/>
    <col min="6151" max="6151" width="12.85546875" style="216" customWidth="1"/>
    <col min="6152" max="6152" width="12.7109375" style="216" customWidth="1"/>
    <col min="6153" max="6153" width="12.85546875" style="216" customWidth="1"/>
    <col min="6154" max="6154" width="14.42578125" style="216" customWidth="1"/>
    <col min="6155" max="6399" width="9.140625" style="216"/>
    <col min="6400" max="6400" width="2.7109375" style="216" customWidth="1"/>
    <col min="6401" max="6401" width="9.140625" style="216"/>
    <col min="6402" max="6402" width="40.28515625" style="216" bestFit="1" customWidth="1"/>
    <col min="6403" max="6403" width="10" style="216" customWidth="1"/>
    <col min="6404" max="6404" width="10.140625" style="216" customWidth="1"/>
    <col min="6405" max="6405" width="12.28515625" style="216" customWidth="1"/>
    <col min="6406" max="6406" width="15.7109375" style="216" customWidth="1"/>
    <col min="6407" max="6407" width="12.85546875" style="216" customWidth="1"/>
    <col min="6408" max="6408" width="12.7109375" style="216" customWidth="1"/>
    <col min="6409" max="6409" width="12.85546875" style="216" customWidth="1"/>
    <col min="6410" max="6410" width="14.42578125" style="216" customWidth="1"/>
    <col min="6411" max="6655" width="9.140625" style="216"/>
    <col min="6656" max="6656" width="2.7109375" style="216" customWidth="1"/>
    <col min="6657" max="6657" width="9.140625" style="216"/>
    <col min="6658" max="6658" width="40.28515625" style="216" bestFit="1" customWidth="1"/>
    <col min="6659" max="6659" width="10" style="216" customWidth="1"/>
    <col min="6660" max="6660" width="10.140625" style="216" customWidth="1"/>
    <col min="6661" max="6661" width="12.28515625" style="216" customWidth="1"/>
    <col min="6662" max="6662" width="15.7109375" style="216" customWidth="1"/>
    <col min="6663" max="6663" width="12.85546875" style="216" customWidth="1"/>
    <col min="6664" max="6664" width="12.7109375" style="216" customWidth="1"/>
    <col min="6665" max="6665" width="12.85546875" style="216" customWidth="1"/>
    <col min="6666" max="6666" width="14.42578125" style="216" customWidth="1"/>
    <col min="6667" max="6911" width="9.140625" style="216"/>
    <col min="6912" max="6912" width="2.7109375" style="216" customWidth="1"/>
    <col min="6913" max="6913" width="9.140625" style="216"/>
    <col min="6914" max="6914" width="40.28515625" style="216" bestFit="1" customWidth="1"/>
    <col min="6915" max="6915" width="10" style="216" customWidth="1"/>
    <col min="6916" max="6916" width="10.140625" style="216" customWidth="1"/>
    <col min="6917" max="6917" width="12.28515625" style="216" customWidth="1"/>
    <col min="6918" max="6918" width="15.7109375" style="216" customWidth="1"/>
    <col min="6919" max="6919" width="12.85546875" style="216" customWidth="1"/>
    <col min="6920" max="6920" width="12.7109375" style="216" customWidth="1"/>
    <col min="6921" max="6921" width="12.85546875" style="216" customWidth="1"/>
    <col min="6922" max="6922" width="14.42578125" style="216" customWidth="1"/>
    <col min="6923" max="7167" width="9.140625" style="216"/>
    <col min="7168" max="7168" width="2.7109375" style="216" customWidth="1"/>
    <col min="7169" max="7169" width="9.140625" style="216"/>
    <col min="7170" max="7170" width="40.28515625" style="216" bestFit="1" customWidth="1"/>
    <col min="7171" max="7171" width="10" style="216" customWidth="1"/>
    <col min="7172" max="7172" width="10.140625" style="216" customWidth="1"/>
    <col min="7173" max="7173" width="12.28515625" style="216" customWidth="1"/>
    <col min="7174" max="7174" width="15.7109375" style="216" customWidth="1"/>
    <col min="7175" max="7175" width="12.85546875" style="216" customWidth="1"/>
    <col min="7176" max="7176" width="12.7109375" style="216" customWidth="1"/>
    <col min="7177" max="7177" width="12.85546875" style="216" customWidth="1"/>
    <col min="7178" max="7178" width="14.42578125" style="216" customWidth="1"/>
    <col min="7179" max="7423" width="9.140625" style="216"/>
    <col min="7424" max="7424" width="2.7109375" style="216" customWidth="1"/>
    <col min="7425" max="7425" width="9.140625" style="216"/>
    <col min="7426" max="7426" width="40.28515625" style="216" bestFit="1" customWidth="1"/>
    <col min="7427" max="7427" width="10" style="216" customWidth="1"/>
    <col min="7428" max="7428" width="10.140625" style="216" customWidth="1"/>
    <col min="7429" max="7429" width="12.28515625" style="216" customWidth="1"/>
    <col min="7430" max="7430" width="15.7109375" style="216" customWidth="1"/>
    <col min="7431" max="7431" width="12.85546875" style="216" customWidth="1"/>
    <col min="7432" max="7432" width="12.7109375" style="216" customWidth="1"/>
    <col min="7433" max="7433" width="12.85546875" style="216" customWidth="1"/>
    <col min="7434" max="7434" width="14.42578125" style="216" customWidth="1"/>
    <col min="7435" max="7679" width="9.140625" style="216"/>
    <col min="7680" max="7680" width="2.7109375" style="216" customWidth="1"/>
    <col min="7681" max="7681" width="9.140625" style="216"/>
    <col min="7682" max="7682" width="40.28515625" style="216" bestFit="1" customWidth="1"/>
    <col min="7683" max="7683" width="10" style="216" customWidth="1"/>
    <col min="7684" max="7684" width="10.140625" style="216" customWidth="1"/>
    <col min="7685" max="7685" width="12.28515625" style="216" customWidth="1"/>
    <col min="7686" max="7686" width="15.7109375" style="216" customWidth="1"/>
    <col min="7687" max="7687" width="12.85546875" style="216" customWidth="1"/>
    <col min="7688" max="7688" width="12.7109375" style="216" customWidth="1"/>
    <col min="7689" max="7689" width="12.85546875" style="216" customWidth="1"/>
    <col min="7690" max="7690" width="14.42578125" style="216" customWidth="1"/>
    <col min="7691" max="7935" width="9.140625" style="216"/>
    <col min="7936" max="7936" width="2.7109375" style="216" customWidth="1"/>
    <col min="7937" max="7937" width="9.140625" style="216"/>
    <col min="7938" max="7938" width="40.28515625" style="216" bestFit="1" customWidth="1"/>
    <col min="7939" max="7939" width="10" style="216" customWidth="1"/>
    <col min="7940" max="7940" width="10.140625" style="216" customWidth="1"/>
    <col min="7941" max="7941" width="12.28515625" style="216" customWidth="1"/>
    <col min="7942" max="7942" width="15.7109375" style="216" customWidth="1"/>
    <col min="7943" max="7943" width="12.85546875" style="216" customWidth="1"/>
    <col min="7944" max="7944" width="12.7109375" style="216" customWidth="1"/>
    <col min="7945" max="7945" width="12.85546875" style="216" customWidth="1"/>
    <col min="7946" max="7946" width="14.42578125" style="216" customWidth="1"/>
    <col min="7947" max="8191" width="9.140625" style="216"/>
    <col min="8192" max="8192" width="2.7109375" style="216" customWidth="1"/>
    <col min="8193" max="8193" width="9.140625" style="216"/>
    <col min="8194" max="8194" width="40.28515625" style="216" bestFit="1" customWidth="1"/>
    <col min="8195" max="8195" width="10" style="216" customWidth="1"/>
    <col min="8196" max="8196" width="10.140625" style="216" customWidth="1"/>
    <col min="8197" max="8197" width="12.28515625" style="216" customWidth="1"/>
    <col min="8198" max="8198" width="15.7109375" style="216" customWidth="1"/>
    <col min="8199" max="8199" width="12.85546875" style="216" customWidth="1"/>
    <col min="8200" max="8200" width="12.7109375" style="216" customWidth="1"/>
    <col min="8201" max="8201" width="12.85546875" style="216" customWidth="1"/>
    <col min="8202" max="8202" width="14.42578125" style="216" customWidth="1"/>
    <col min="8203" max="8447" width="9.140625" style="216"/>
    <col min="8448" max="8448" width="2.7109375" style="216" customWidth="1"/>
    <col min="8449" max="8449" width="9.140625" style="216"/>
    <col min="8450" max="8450" width="40.28515625" style="216" bestFit="1" customWidth="1"/>
    <col min="8451" max="8451" width="10" style="216" customWidth="1"/>
    <col min="8452" max="8452" width="10.140625" style="216" customWidth="1"/>
    <col min="8453" max="8453" width="12.28515625" style="216" customWidth="1"/>
    <col min="8454" max="8454" width="15.7109375" style="216" customWidth="1"/>
    <col min="8455" max="8455" width="12.85546875" style="216" customWidth="1"/>
    <col min="8456" max="8456" width="12.7109375" style="216" customWidth="1"/>
    <col min="8457" max="8457" width="12.85546875" style="216" customWidth="1"/>
    <col min="8458" max="8458" width="14.42578125" style="216" customWidth="1"/>
    <col min="8459" max="8703" width="9.140625" style="216"/>
    <col min="8704" max="8704" width="2.7109375" style="216" customWidth="1"/>
    <col min="8705" max="8705" width="9.140625" style="216"/>
    <col min="8706" max="8706" width="40.28515625" style="216" bestFit="1" customWidth="1"/>
    <col min="8707" max="8707" width="10" style="216" customWidth="1"/>
    <col min="8708" max="8708" width="10.140625" style="216" customWidth="1"/>
    <col min="8709" max="8709" width="12.28515625" style="216" customWidth="1"/>
    <col min="8710" max="8710" width="15.7109375" style="216" customWidth="1"/>
    <col min="8711" max="8711" width="12.85546875" style="216" customWidth="1"/>
    <col min="8712" max="8712" width="12.7109375" style="216" customWidth="1"/>
    <col min="8713" max="8713" width="12.85546875" style="216" customWidth="1"/>
    <col min="8714" max="8714" width="14.42578125" style="216" customWidth="1"/>
    <col min="8715" max="8959" width="9.140625" style="216"/>
    <col min="8960" max="8960" width="2.7109375" style="216" customWidth="1"/>
    <col min="8961" max="8961" width="9.140625" style="216"/>
    <col min="8962" max="8962" width="40.28515625" style="216" bestFit="1" customWidth="1"/>
    <col min="8963" max="8963" width="10" style="216" customWidth="1"/>
    <col min="8964" max="8964" width="10.140625" style="216" customWidth="1"/>
    <col min="8965" max="8965" width="12.28515625" style="216" customWidth="1"/>
    <col min="8966" max="8966" width="15.7109375" style="216" customWidth="1"/>
    <col min="8967" max="8967" width="12.85546875" style="216" customWidth="1"/>
    <col min="8968" max="8968" width="12.7109375" style="216" customWidth="1"/>
    <col min="8969" max="8969" width="12.85546875" style="216" customWidth="1"/>
    <col min="8970" max="8970" width="14.42578125" style="216" customWidth="1"/>
    <col min="8971" max="9215" width="9.140625" style="216"/>
    <col min="9216" max="9216" width="2.7109375" style="216" customWidth="1"/>
    <col min="9217" max="9217" width="9.140625" style="216"/>
    <col min="9218" max="9218" width="40.28515625" style="216" bestFit="1" customWidth="1"/>
    <col min="9219" max="9219" width="10" style="216" customWidth="1"/>
    <col min="9220" max="9220" width="10.140625" style="216" customWidth="1"/>
    <col min="9221" max="9221" width="12.28515625" style="216" customWidth="1"/>
    <col min="9222" max="9222" width="15.7109375" style="216" customWidth="1"/>
    <col min="9223" max="9223" width="12.85546875" style="216" customWidth="1"/>
    <col min="9224" max="9224" width="12.7109375" style="216" customWidth="1"/>
    <col min="9225" max="9225" width="12.85546875" style="216" customWidth="1"/>
    <col min="9226" max="9226" width="14.42578125" style="216" customWidth="1"/>
    <col min="9227" max="9471" width="9.140625" style="216"/>
    <col min="9472" max="9472" width="2.7109375" style="216" customWidth="1"/>
    <col min="9473" max="9473" width="9.140625" style="216"/>
    <col min="9474" max="9474" width="40.28515625" style="216" bestFit="1" customWidth="1"/>
    <col min="9475" max="9475" width="10" style="216" customWidth="1"/>
    <col min="9476" max="9476" width="10.140625" style="216" customWidth="1"/>
    <col min="9477" max="9477" width="12.28515625" style="216" customWidth="1"/>
    <col min="9478" max="9478" width="15.7109375" style="216" customWidth="1"/>
    <col min="9479" max="9479" width="12.85546875" style="216" customWidth="1"/>
    <col min="9480" max="9480" width="12.7109375" style="216" customWidth="1"/>
    <col min="9481" max="9481" width="12.85546875" style="216" customWidth="1"/>
    <col min="9482" max="9482" width="14.42578125" style="216" customWidth="1"/>
    <col min="9483" max="9727" width="9.140625" style="216"/>
    <col min="9728" max="9728" width="2.7109375" style="216" customWidth="1"/>
    <col min="9729" max="9729" width="9.140625" style="216"/>
    <col min="9730" max="9730" width="40.28515625" style="216" bestFit="1" customWidth="1"/>
    <col min="9731" max="9731" width="10" style="216" customWidth="1"/>
    <col min="9732" max="9732" width="10.140625" style="216" customWidth="1"/>
    <col min="9733" max="9733" width="12.28515625" style="216" customWidth="1"/>
    <col min="9734" max="9734" width="15.7109375" style="216" customWidth="1"/>
    <col min="9735" max="9735" width="12.85546875" style="216" customWidth="1"/>
    <col min="9736" max="9736" width="12.7109375" style="216" customWidth="1"/>
    <col min="9737" max="9737" width="12.85546875" style="216" customWidth="1"/>
    <col min="9738" max="9738" width="14.42578125" style="216" customWidth="1"/>
    <col min="9739" max="9983" width="9.140625" style="216"/>
    <col min="9984" max="9984" width="2.7109375" style="216" customWidth="1"/>
    <col min="9985" max="9985" width="9.140625" style="216"/>
    <col min="9986" max="9986" width="40.28515625" style="216" bestFit="1" customWidth="1"/>
    <col min="9987" max="9987" width="10" style="216" customWidth="1"/>
    <col min="9988" max="9988" width="10.140625" style="216" customWidth="1"/>
    <col min="9989" max="9989" width="12.28515625" style="216" customWidth="1"/>
    <col min="9990" max="9990" width="15.7109375" style="216" customWidth="1"/>
    <col min="9991" max="9991" width="12.85546875" style="216" customWidth="1"/>
    <col min="9992" max="9992" width="12.7109375" style="216" customWidth="1"/>
    <col min="9993" max="9993" width="12.85546875" style="216" customWidth="1"/>
    <col min="9994" max="9994" width="14.42578125" style="216" customWidth="1"/>
    <col min="9995" max="10239" width="9.140625" style="216"/>
    <col min="10240" max="10240" width="2.7109375" style="216" customWidth="1"/>
    <col min="10241" max="10241" width="9.140625" style="216"/>
    <col min="10242" max="10242" width="40.28515625" style="216" bestFit="1" customWidth="1"/>
    <col min="10243" max="10243" width="10" style="216" customWidth="1"/>
    <col min="10244" max="10244" width="10.140625" style="216" customWidth="1"/>
    <col min="10245" max="10245" width="12.28515625" style="216" customWidth="1"/>
    <col min="10246" max="10246" width="15.7109375" style="216" customWidth="1"/>
    <col min="10247" max="10247" width="12.85546875" style="216" customWidth="1"/>
    <col min="10248" max="10248" width="12.7109375" style="216" customWidth="1"/>
    <col min="10249" max="10249" width="12.85546875" style="216" customWidth="1"/>
    <col min="10250" max="10250" width="14.42578125" style="216" customWidth="1"/>
    <col min="10251" max="10495" width="9.140625" style="216"/>
    <col min="10496" max="10496" width="2.7109375" style="216" customWidth="1"/>
    <col min="10497" max="10497" width="9.140625" style="216"/>
    <col min="10498" max="10498" width="40.28515625" style="216" bestFit="1" customWidth="1"/>
    <col min="10499" max="10499" width="10" style="216" customWidth="1"/>
    <col min="10500" max="10500" width="10.140625" style="216" customWidth="1"/>
    <col min="10501" max="10501" width="12.28515625" style="216" customWidth="1"/>
    <col min="10502" max="10502" width="15.7109375" style="216" customWidth="1"/>
    <col min="10503" max="10503" width="12.85546875" style="216" customWidth="1"/>
    <col min="10504" max="10504" width="12.7109375" style="216" customWidth="1"/>
    <col min="10505" max="10505" width="12.85546875" style="216" customWidth="1"/>
    <col min="10506" max="10506" width="14.42578125" style="216" customWidth="1"/>
    <col min="10507" max="10751" width="9.140625" style="216"/>
    <col min="10752" max="10752" width="2.7109375" style="216" customWidth="1"/>
    <col min="10753" max="10753" width="9.140625" style="216"/>
    <col min="10754" max="10754" width="40.28515625" style="216" bestFit="1" customWidth="1"/>
    <col min="10755" max="10755" width="10" style="216" customWidth="1"/>
    <col min="10756" max="10756" width="10.140625" style="216" customWidth="1"/>
    <col min="10757" max="10757" width="12.28515625" style="216" customWidth="1"/>
    <col min="10758" max="10758" width="15.7109375" style="216" customWidth="1"/>
    <col min="10759" max="10759" width="12.85546875" style="216" customWidth="1"/>
    <col min="10760" max="10760" width="12.7109375" style="216" customWidth="1"/>
    <col min="10761" max="10761" width="12.85546875" style="216" customWidth="1"/>
    <col min="10762" max="10762" width="14.42578125" style="216" customWidth="1"/>
    <col min="10763" max="11007" width="9.140625" style="216"/>
    <col min="11008" max="11008" width="2.7109375" style="216" customWidth="1"/>
    <col min="11009" max="11009" width="9.140625" style="216"/>
    <col min="11010" max="11010" width="40.28515625" style="216" bestFit="1" customWidth="1"/>
    <col min="11011" max="11011" width="10" style="216" customWidth="1"/>
    <col min="11012" max="11012" width="10.140625" style="216" customWidth="1"/>
    <col min="11013" max="11013" width="12.28515625" style="216" customWidth="1"/>
    <col min="11014" max="11014" width="15.7109375" style="216" customWidth="1"/>
    <col min="11015" max="11015" width="12.85546875" style="216" customWidth="1"/>
    <col min="11016" max="11016" width="12.7109375" style="216" customWidth="1"/>
    <col min="11017" max="11017" width="12.85546875" style="216" customWidth="1"/>
    <col min="11018" max="11018" width="14.42578125" style="216" customWidth="1"/>
    <col min="11019" max="11263" width="9.140625" style="216"/>
    <col min="11264" max="11264" width="2.7109375" style="216" customWidth="1"/>
    <col min="11265" max="11265" width="9.140625" style="216"/>
    <col min="11266" max="11266" width="40.28515625" style="216" bestFit="1" customWidth="1"/>
    <col min="11267" max="11267" width="10" style="216" customWidth="1"/>
    <col min="11268" max="11268" width="10.140625" style="216" customWidth="1"/>
    <col min="11269" max="11269" width="12.28515625" style="216" customWidth="1"/>
    <col min="11270" max="11270" width="15.7109375" style="216" customWidth="1"/>
    <col min="11271" max="11271" width="12.85546875" style="216" customWidth="1"/>
    <col min="11272" max="11272" width="12.7109375" style="216" customWidth="1"/>
    <col min="11273" max="11273" width="12.85546875" style="216" customWidth="1"/>
    <col min="11274" max="11274" width="14.42578125" style="216" customWidth="1"/>
    <col min="11275" max="11519" width="9.140625" style="216"/>
    <col min="11520" max="11520" width="2.7109375" style="216" customWidth="1"/>
    <col min="11521" max="11521" width="9.140625" style="216"/>
    <col min="11522" max="11522" width="40.28515625" style="216" bestFit="1" customWidth="1"/>
    <col min="11523" max="11523" width="10" style="216" customWidth="1"/>
    <col min="11524" max="11524" width="10.140625" style="216" customWidth="1"/>
    <col min="11525" max="11525" width="12.28515625" style="216" customWidth="1"/>
    <col min="11526" max="11526" width="15.7109375" style="216" customWidth="1"/>
    <col min="11527" max="11527" width="12.85546875" style="216" customWidth="1"/>
    <col min="11528" max="11528" width="12.7109375" style="216" customWidth="1"/>
    <col min="11529" max="11529" width="12.85546875" style="216" customWidth="1"/>
    <col min="11530" max="11530" width="14.42578125" style="216" customWidth="1"/>
    <col min="11531" max="11775" width="9.140625" style="216"/>
    <col min="11776" max="11776" width="2.7109375" style="216" customWidth="1"/>
    <col min="11777" max="11777" width="9.140625" style="216"/>
    <col min="11778" max="11778" width="40.28515625" style="216" bestFit="1" customWidth="1"/>
    <col min="11779" max="11779" width="10" style="216" customWidth="1"/>
    <col min="11780" max="11780" width="10.140625" style="216" customWidth="1"/>
    <col min="11781" max="11781" width="12.28515625" style="216" customWidth="1"/>
    <col min="11782" max="11782" width="15.7109375" style="216" customWidth="1"/>
    <col min="11783" max="11783" width="12.85546875" style="216" customWidth="1"/>
    <col min="11784" max="11784" width="12.7109375" style="216" customWidth="1"/>
    <col min="11785" max="11785" width="12.85546875" style="216" customWidth="1"/>
    <col min="11786" max="11786" width="14.42578125" style="216" customWidth="1"/>
    <col min="11787" max="12031" width="9.140625" style="216"/>
    <col min="12032" max="12032" width="2.7109375" style="216" customWidth="1"/>
    <col min="12033" max="12033" width="9.140625" style="216"/>
    <col min="12034" max="12034" width="40.28515625" style="216" bestFit="1" customWidth="1"/>
    <col min="12035" max="12035" width="10" style="216" customWidth="1"/>
    <col min="12036" max="12036" width="10.140625" style="216" customWidth="1"/>
    <col min="12037" max="12037" width="12.28515625" style="216" customWidth="1"/>
    <col min="12038" max="12038" width="15.7109375" style="216" customWidth="1"/>
    <col min="12039" max="12039" width="12.85546875" style="216" customWidth="1"/>
    <col min="12040" max="12040" width="12.7109375" style="216" customWidth="1"/>
    <col min="12041" max="12041" width="12.85546875" style="216" customWidth="1"/>
    <col min="12042" max="12042" width="14.42578125" style="216" customWidth="1"/>
    <col min="12043" max="12287" width="9.140625" style="216"/>
    <col min="12288" max="12288" width="2.7109375" style="216" customWidth="1"/>
    <col min="12289" max="12289" width="9.140625" style="216"/>
    <col min="12290" max="12290" width="40.28515625" style="216" bestFit="1" customWidth="1"/>
    <col min="12291" max="12291" width="10" style="216" customWidth="1"/>
    <col min="12292" max="12292" width="10.140625" style="216" customWidth="1"/>
    <col min="12293" max="12293" width="12.28515625" style="216" customWidth="1"/>
    <col min="12294" max="12294" width="15.7109375" style="216" customWidth="1"/>
    <col min="12295" max="12295" width="12.85546875" style="216" customWidth="1"/>
    <col min="12296" max="12296" width="12.7109375" style="216" customWidth="1"/>
    <col min="12297" max="12297" width="12.85546875" style="216" customWidth="1"/>
    <col min="12298" max="12298" width="14.42578125" style="216" customWidth="1"/>
    <col min="12299" max="12543" width="9.140625" style="216"/>
    <col min="12544" max="12544" width="2.7109375" style="216" customWidth="1"/>
    <col min="12545" max="12545" width="9.140625" style="216"/>
    <col min="12546" max="12546" width="40.28515625" style="216" bestFit="1" customWidth="1"/>
    <col min="12547" max="12547" width="10" style="216" customWidth="1"/>
    <col min="12548" max="12548" width="10.140625" style="216" customWidth="1"/>
    <col min="12549" max="12549" width="12.28515625" style="216" customWidth="1"/>
    <col min="12550" max="12550" width="15.7109375" style="216" customWidth="1"/>
    <col min="12551" max="12551" width="12.85546875" style="216" customWidth="1"/>
    <col min="12552" max="12552" width="12.7109375" style="216" customWidth="1"/>
    <col min="12553" max="12553" width="12.85546875" style="216" customWidth="1"/>
    <col min="12554" max="12554" width="14.42578125" style="216" customWidth="1"/>
    <col min="12555" max="12799" width="9.140625" style="216"/>
    <col min="12800" max="12800" width="2.7109375" style="216" customWidth="1"/>
    <col min="12801" max="12801" width="9.140625" style="216"/>
    <col min="12802" max="12802" width="40.28515625" style="216" bestFit="1" customWidth="1"/>
    <col min="12803" max="12803" width="10" style="216" customWidth="1"/>
    <col min="12804" max="12804" width="10.140625" style="216" customWidth="1"/>
    <col min="12805" max="12805" width="12.28515625" style="216" customWidth="1"/>
    <col min="12806" max="12806" width="15.7109375" style="216" customWidth="1"/>
    <col min="12807" max="12807" width="12.85546875" style="216" customWidth="1"/>
    <col min="12808" max="12808" width="12.7109375" style="216" customWidth="1"/>
    <col min="12809" max="12809" width="12.85546875" style="216" customWidth="1"/>
    <col min="12810" max="12810" width="14.42578125" style="216" customWidth="1"/>
    <col min="12811" max="13055" width="9.140625" style="216"/>
    <col min="13056" max="13056" width="2.7109375" style="216" customWidth="1"/>
    <col min="13057" max="13057" width="9.140625" style="216"/>
    <col min="13058" max="13058" width="40.28515625" style="216" bestFit="1" customWidth="1"/>
    <col min="13059" max="13059" width="10" style="216" customWidth="1"/>
    <col min="13060" max="13060" width="10.140625" style="216" customWidth="1"/>
    <col min="13061" max="13061" width="12.28515625" style="216" customWidth="1"/>
    <col min="13062" max="13062" width="15.7109375" style="216" customWidth="1"/>
    <col min="13063" max="13063" width="12.85546875" style="216" customWidth="1"/>
    <col min="13064" max="13064" width="12.7109375" style="216" customWidth="1"/>
    <col min="13065" max="13065" width="12.85546875" style="216" customWidth="1"/>
    <col min="13066" max="13066" width="14.42578125" style="216" customWidth="1"/>
    <col min="13067" max="13311" width="9.140625" style="216"/>
    <col min="13312" max="13312" width="2.7109375" style="216" customWidth="1"/>
    <col min="13313" max="13313" width="9.140625" style="216"/>
    <col min="13314" max="13314" width="40.28515625" style="216" bestFit="1" customWidth="1"/>
    <col min="13315" max="13315" width="10" style="216" customWidth="1"/>
    <col min="13316" max="13316" width="10.140625" style="216" customWidth="1"/>
    <col min="13317" max="13317" width="12.28515625" style="216" customWidth="1"/>
    <col min="13318" max="13318" width="15.7109375" style="216" customWidth="1"/>
    <col min="13319" max="13319" width="12.85546875" style="216" customWidth="1"/>
    <col min="13320" max="13320" width="12.7109375" style="216" customWidth="1"/>
    <col min="13321" max="13321" width="12.85546875" style="216" customWidth="1"/>
    <col min="13322" max="13322" width="14.42578125" style="216" customWidth="1"/>
    <col min="13323" max="13567" width="9.140625" style="216"/>
    <col min="13568" max="13568" width="2.7109375" style="216" customWidth="1"/>
    <col min="13569" max="13569" width="9.140625" style="216"/>
    <col min="13570" max="13570" width="40.28515625" style="216" bestFit="1" customWidth="1"/>
    <col min="13571" max="13571" width="10" style="216" customWidth="1"/>
    <col min="13572" max="13572" width="10.140625" style="216" customWidth="1"/>
    <col min="13573" max="13573" width="12.28515625" style="216" customWidth="1"/>
    <col min="13574" max="13574" width="15.7109375" style="216" customWidth="1"/>
    <col min="13575" max="13575" width="12.85546875" style="216" customWidth="1"/>
    <col min="13576" max="13576" width="12.7109375" style="216" customWidth="1"/>
    <col min="13577" max="13577" width="12.85546875" style="216" customWidth="1"/>
    <col min="13578" max="13578" width="14.42578125" style="216" customWidth="1"/>
    <col min="13579" max="13823" width="9.140625" style="216"/>
    <col min="13824" max="13824" width="2.7109375" style="216" customWidth="1"/>
    <col min="13825" max="13825" width="9.140625" style="216"/>
    <col min="13826" max="13826" width="40.28515625" style="216" bestFit="1" customWidth="1"/>
    <col min="13827" max="13827" width="10" style="216" customWidth="1"/>
    <col min="13828" max="13828" width="10.140625" style="216" customWidth="1"/>
    <col min="13829" max="13829" width="12.28515625" style="216" customWidth="1"/>
    <col min="13830" max="13830" width="15.7109375" style="216" customWidth="1"/>
    <col min="13831" max="13831" width="12.85546875" style="216" customWidth="1"/>
    <col min="13832" max="13832" width="12.7109375" style="216" customWidth="1"/>
    <col min="13833" max="13833" width="12.85546875" style="216" customWidth="1"/>
    <col min="13834" max="13834" width="14.42578125" style="216" customWidth="1"/>
    <col min="13835" max="14079" width="9.140625" style="216"/>
    <col min="14080" max="14080" width="2.7109375" style="216" customWidth="1"/>
    <col min="14081" max="14081" width="9.140625" style="216"/>
    <col min="14082" max="14082" width="40.28515625" style="216" bestFit="1" customWidth="1"/>
    <col min="14083" max="14083" width="10" style="216" customWidth="1"/>
    <col min="14084" max="14084" width="10.140625" style="216" customWidth="1"/>
    <col min="14085" max="14085" width="12.28515625" style="216" customWidth="1"/>
    <col min="14086" max="14086" width="15.7109375" style="216" customWidth="1"/>
    <col min="14087" max="14087" width="12.85546875" style="216" customWidth="1"/>
    <col min="14088" max="14088" width="12.7109375" style="216" customWidth="1"/>
    <col min="14089" max="14089" width="12.85546875" style="216" customWidth="1"/>
    <col min="14090" max="14090" width="14.42578125" style="216" customWidth="1"/>
    <col min="14091" max="14335" width="9.140625" style="216"/>
    <col min="14336" max="14336" width="2.7109375" style="216" customWidth="1"/>
    <col min="14337" max="14337" width="9.140625" style="216"/>
    <col min="14338" max="14338" width="40.28515625" style="216" bestFit="1" customWidth="1"/>
    <col min="14339" max="14339" width="10" style="216" customWidth="1"/>
    <col min="14340" max="14340" width="10.140625" style="216" customWidth="1"/>
    <col min="14341" max="14341" width="12.28515625" style="216" customWidth="1"/>
    <col min="14342" max="14342" width="15.7109375" style="216" customWidth="1"/>
    <col min="14343" max="14343" width="12.85546875" style="216" customWidth="1"/>
    <col min="14344" max="14344" width="12.7109375" style="216" customWidth="1"/>
    <col min="14345" max="14345" width="12.85546875" style="216" customWidth="1"/>
    <col min="14346" max="14346" width="14.42578125" style="216" customWidth="1"/>
    <col min="14347" max="14591" width="9.140625" style="216"/>
    <col min="14592" max="14592" width="2.7109375" style="216" customWidth="1"/>
    <col min="14593" max="14593" width="9.140625" style="216"/>
    <col min="14594" max="14594" width="40.28515625" style="216" bestFit="1" customWidth="1"/>
    <col min="14595" max="14595" width="10" style="216" customWidth="1"/>
    <col min="14596" max="14596" width="10.140625" style="216" customWidth="1"/>
    <col min="14597" max="14597" width="12.28515625" style="216" customWidth="1"/>
    <col min="14598" max="14598" width="15.7109375" style="216" customWidth="1"/>
    <col min="14599" max="14599" width="12.85546875" style="216" customWidth="1"/>
    <col min="14600" max="14600" width="12.7109375" style="216" customWidth="1"/>
    <col min="14601" max="14601" width="12.85546875" style="216" customWidth="1"/>
    <col min="14602" max="14602" width="14.42578125" style="216" customWidth="1"/>
    <col min="14603" max="14847" width="9.140625" style="216"/>
    <col min="14848" max="14848" width="2.7109375" style="216" customWidth="1"/>
    <col min="14849" max="14849" width="9.140625" style="216"/>
    <col min="14850" max="14850" width="40.28515625" style="216" bestFit="1" customWidth="1"/>
    <col min="14851" max="14851" width="10" style="216" customWidth="1"/>
    <col min="14852" max="14852" width="10.140625" style="216" customWidth="1"/>
    <col min="14853" max="14853" width="12.28515625" style="216" customWidth="1"/>
    <col min="14854" max="14854" width="15.7109375" style="216" customWidth="1"/>
    <col min="14855" max="14855" width="12.85546875" style="216" customWidth="1"/>
    <col min="14856" max="14856" width="12.7109375" style="216" customWidth="1"/>
    <col min="14857" max="14857" width="12.85546875" style="216" customWidth="1"/>
    <col min="14858" max="14858" width="14.42578125" style="216" customWidth="1"/>
    <col min="14859" max="15103" width="9.140625" style="216"/>
    <col min="15104" max="15104" width="2.7109375" style="216" customWidth="1"/>
    <col min="15105" max="15105" width="9.140625" style="216"/>
    <col min="15106" max="15106" width="40.28515625" style="216" bestFit="1" customWidth="1"/>
    <col min="15107" max="15107" width="10" style="216" customWidth="1"/>
    <col min="15108" max="15108" width="10.140625" style="216" customWidth="1"/>
    <col min="15109" max="15109" width="12.28515625" style="216" customWidth="1"/>
    <col min="15110" max="15110" width="15.7109375" style="216" customWidth="1"/>
    <col min="15111" max="15111" width="12.85546875" style="216" customWidth="1"/>
    <col min="15112" max="15112" width="12.7109375" style="216" customWidth="1"/>
    <col min="15113" max="15113" width="12.85546875" style="216" customWidth="1"/>
    <col min="15114" max="15114" width="14.42578125" style="216" customWidth="1"/>
    <col min="15115" max="15359" width="9.140625" style="216"/>
    <col min="15360" max="15360" width="2.7109375" style="216" customWidth="1"/>
    <col min="15361" max="15361" width="9.140625" style="216"/>
    <col min="15362" max="15362" width="40.28515625" style="216" bestFit="1" customWidth="1"/>
    <col min="15363" max="15363" width="10" style="216" customWidth="1"/>
    <col min="15364" max="15364" width="10.140625" style="216" customWidth="1"/>
    <col min="15365" max="15365" width="12.28515625" style="216" customWidth="1"/>
    <col min="15366" max="15366" width="15.7109375" style="216" customWidth="1"/>
    <col min="15367" max="15367" width="12.85546875" style="216" customWidth="1"/>
    <col min="15368" max="15368" width="12.7109375" style="216" customWidth="1"/>
    <col min="15369" max="15369" width="12.85546875" style="216" customWidth="1"/>
    <col min="15370" max="15370" width="14.42578125" style="216" customWidth="1"/>
    <col min="15371" max="15615" width="9.140625" style="216"/>
    <col min="15616" max="15616" width="2.7109375" style="216" customWidth="1"/>
    <col min="15617" max="15617" width="9.140625" style="216"/>
    <col min="15618" max="15618" width="40.28515625" style="216" bestFit="1" customWidth="1"/>
    <col min="15619" max="15619" width="10" style="216" customWidth="1"/>
    <col min="15620" max="15620" width="10.140625" style="216" customWidth="1"/>
    <col min="15621" max="15621" width="12.28515625" style="216" customWidth="1"/>
    <col min="15622" max="15622" width="15.7109375" style="216" customWidth="1"/>
    <col min="15623" max="15623" width="12.85546875" style="216" customWidth="1"/>
    <col min="15624" max="15624" width="12.7109375" style="216" customWidth="1"/>
    <col min="15625" max="15625" width="12.85546875" style="216" customWidth="1"/>
    <col min="15626" max="15626" width="14.42578125" style="216" customWidth="1"/>
    <col min="15627" max="15871" width="9.140625" style="216"/>
    <col min="15872" max="15872" width="2.7109375" style="216" customWidth="1"/>
    <col min="15873" max="15873" width="9.140625" style="216"/>
    <col min="15874" max="15874" width="40.28515625" style="216" bestFit="1" customWidth="1"/>
    <col min="15875" max="15875" width="10" style="216" customWidth="1"/>
    <col min="15876" max="15876" width="10.140625" style="216" customWidth="1"/>
    <col min="15877" max="15877" width="12.28515625" style="216" customWidth="1"/>
    <col min="15878" max="15878" width="15.7109375" style="216" customWidth="1"/>
    <col min="15879" max="15879" width="12.85546875" style="216" customWidth="1"/>
    <col min="15880" max="15880" width="12.7109375" style="216" customWidth="1"/>
    <col min="15881" max="15881" width="12.85546875" style="216" customWidth="1"/>
    <col min="15882" max="15882" width="14.42578125" style="216" customWidth="1"/>
    <col min="15883" max="16127" width="9.140625" style="216"/>
    <col min="16128" max="16128" width="2.7109375" style="216" customWidth="1"/>
    <col min="16129" max="16129" width="9.140625" style="216"/>
    <col min="16130" max="16130" width="40.28515625" style="216" bestFit="1" customWidth="1"/>
    <col min="16131" max="16131" width="10" style="216" customWidth="1"/>
    <col min="16132" max="16132" width="10.140625" style="216" customWidth="1"/>
    <col min="16133" max="16133" width="12.28515625" style="216" customWidth="1"/>
    <col min="16134" max="16134" width="15.7109375" style="216" customWidth="1"/>
    <col min="16135" max="16135" width="12.85546875" style="216" customWidth="1"/>
    <col min="16136" max="16136" width="12.7109375" style="216" customWidth="1"/>
    <col min="16137" max="16137" width="12.85546875" style="216" customWidth="1"/>
    <col min="16138" max="16138" width="14.42578125" style="216" customWidth="1"/>
    <col min="16139" max="16384" width="9.140625" style="216"/>
  </cols>
  <sheetData>
    <row r="1" spans="1:11" x14ac:dyDescent="0.2">
      <c r="I1" s="217" t="s">
        <v>419</v>
      </c>
      <c r="J1" s="766" t="str">
        <f>EBNUMBER</f>
        <v>EB-2014-0113</v>
      </c>
      <c r="K1" s="219"/>
    </row>
    <row r="2" spans="1:11" x14ac:dyDescent="0.2">
      <c r="I2" s="217" t="s">
        <v>420</v>
      </c>
      <c r="J2" s="767">
        <v>2</v>
      </c>
      <c r="K2" s="219"/>
    </row>
    <row r="3" spans="1:11" x14ac:dyDescent="0.2">
      <c r="I3" s="217" t="s">
        <v>421</v>
      </c>
      <c r="J3" s="767">
        <v>2</v>
      </c>
      <c r="K3" s="219"/>
    </row>
    <row r="4" spans="1:11" x14ac:dyDescent="0.2">
      <c r="I4" s="217" t="s">
        <v>422</v>
      </c>
      <c r="J4" s="767">
        <v>2</v>
      </c>
      <c r="K4" s="219"/>
    </row>
    <row r="5" spans="1:11" x14ac:dyDescent="0.2">
      <c r="I5" s="217" t="s">
        <v>423</v>
      </c>
      <c r="J5" s="768"/>
      <c r="K5" s="219"/>
    </row>
    <row r="6" spans="1:11" x14ac:dyDescent="0.2">
      <c r="I6" s="217"/>
      <c r="J6" s="766"/>
      <c r="K6" s="219"/>
    </row>
    <row r="7" spans="1:11" x14ac:dyDescent="0.2">
      <c r="I7" s="217" t="s">
        <v>424</v>
      </c>
      <c r="J7" s="1467">
        <v>42119</v>
      </c>
      <c r="K7" s="220"/>
    </row>
    <row r="9" spans="1:11" ht="18" x14ac:dyDescent="0.2">
      <c r="A9" s="1809" t="s">
        <v>2152</v>
      </c>
      <c r="B9" s="1809"/>
      <c r="C9" s="1809"/>
      <c r="D9" s="1809"/>
      <c r="E9" s="1809"/>
      <c r="F9" s="1809"/>
      <c r="G9" s="1809"/>
      <c r="H9" s="1809"/>
      <c r="I9" s="1809"/>
      <c r="J9" s="1809"/>
    </row>
    <row r="10" spans="1:11" ht="18" x14ac:dyDescent="0.2">
      <c r="A10" s="1809" t="s">
        <v>3</v>
      </c>
      <c r="B10" s="1809"/>
      <c r="C10" s="1809"/>
      <c r="D10" s="1809"/>
      <c r="E10" s="1809"/>
      <c r="F10" s="1809"/>
      <c r="G10" s="1809"/>
      <c r="H10" s="1809"/>
      <c r="I10" s="1809"/>
      <c r="J10" s="1809"/>
    </row>
    <row r="11" spans="1:11" ht="23.25" customHeight="1" x14ac:dyDescent="0.2">
      <c r="A11" s="1888" t="s">
        <v>795</v>
      </c>
      <c r="B11" s="1888"/>
      <c r="C11" s="1888"/>
      <c r="D11" s="1888"/>
      <c r="E11" s="1888"/>
      <c r="F11" s="1888"/>
      <c r="G11" s="1888"/>
      <c r="H11" s="1888"/>
      <c r="I11" s="1888"/>
      <c r="J11" s="1888"/>
    </row>
    <row r="12" spans="1:11" ht="13.5" customHeight="1" x14ac:dyDescent="0.25">
      <c r="A12" s="1005"/>
      <c r="B12" s="1005"/>
      <c r="C12" s="311" t="s">
        <v>40</v>
      </c>
      <c r="D12" s="664">
        <v>2014</v>
      </c>
      <c r="E12" s="1008" t="s">
        <v>162</v>
      </c>
      <c r="F12" s="1005"/>
      <c r="G12" s="1005"/>
      <c r="H12" s="1005"/>
    </row>
    <row r="13" spans="1:11" ht="13.5" thickBot="1" x14ac:dyDescent="0.25"/>
    <row r="14" spans="1:11" ht="62.25" customHeight="1" x14ac:dyDescent="0.2">
      <c r="A14" s="1871" t="s">
        <v>4</v>
      </c>
      <c r="B14" s="1873" t="s">
        <v>346</v>
      </c>
      <c r="C14" s="221" t="s">
        <v>348</v>
      </c>
      <c r="D14" s="221" t="s">
        <v>530</v>
      </c>
      <c r="E14" s="221" t="s">
        <v>520</v>
      </c>
      <c r="F14" s="222" t="s">
        <v>791</v>
      </c>
      <c r="G14" s="1880" t="s">
        <v>792</v>
      </c>
      <c r="H14" s="222" t="s">
        <v>523</v>
      </c>
    </row>
    <row r="15" spans="1:11" ht="52.5" customHeight="1" thickBot="1" x14ac:dyDescent="0.25">
      <c r="A15" s="1878"/>
      <c r="B15" s="1879"/>
      <c r="C15" s="294" t="s">
        <v>6</v>
      </c>
      <c r="D15" s="294" t="s">
        <v>9</v>
      </c>
      <c r="E15" s="294" t="s">
        <v>10</v>
      </c>
      <c r="F15" s="295" t="s">
        <v>793</v>
      </c>
      <c r="G15" s="1881"/>
      <c r="H15" s="296" t="s">
        <v>517</v>
      </c>
    </row>
    <row r="16" spans="1:11" ht="25.5" x14ac:dyDescent="0.2">
      <c r="A16" s="843">
        <v>1611</v>
      </c>
      <c r="B16" s="839" t="s">
        <v>515</v>
      </c>
      <c r="C16" s="204"/>
      <c r="D16" s="293"/>
      <c r="E16" s="594">
        <f t="shared" ref="E16:E55" si="0">IF(D16=0,0,1/D16)</f>
        <v>0</v>
      </c>
      <c r="F16" s="796">
        <f>IF(D16=0,'App.2-CL_MIFRS_DepExp_2013'!O16,+'App.2-CL_MIFRS_DepExp_2013'!O16+((C16*0.5)/D16))</f>
        <v>0</v>
      </c>
      <c r="G16" s="204"/>
      <c r="H16" s="796">
        <f t="shared" ref="H16:H55" si="1">IF(ISERROR(+F16-G16), 0, +F16-G16)</f>
        <v>0</v>
      </c>
    </row>
    <row r="17" spans="1:8" ht="25.5" x14ac:dyDescent="0.2">
      <c r="A17" s="828">
        <v>1612</v>
      </c>
      <c r="B17" s="783" t="s">
        <v>650</v>
      </c>
      <c r="C17" s="204"/>
      <c r="D17" s="282"/>
      <c r="E17" s="586">
        <f t="shared" si="0"/>
        <v>0</v>
      </c>
      <c r="F17" s="796">
        <f>IF(D17=0,'App.2-CL_MIFRS_DepExp_2013'!O17,+'App.2-CL_MIFRS_DepExp_2013'!O17+((C17*0.5)/D17))</f>
        <v>0</v>
      </c>
      <c r="G17" s="204"/>
      <c r="H17" s="796">
        <f t="shared" si="1"/>
        <v>0</v>
      </c>
    </row>
    <row r="18" spans="1:8" x14ac:dyDescent="0.2">
      <c r="A18" s="829">
        <v>1805</v>
      </c>
      <c r="B18" s="786" t="s">
        <v>383</v>
      </c>
      <c r="C18" s="204"/>
      <c r="D18" s="282"/>
      <c r="E18" s="586">
        <f t="shared" si="0"/>
        <v>0</v>
      </c>
      <c r="F18" s="796">
        <f>IF(D18=0,'App.2-CL_MIFRS_DepExp_2013'!O18,+'App.2-CL_MIFRS_DepExp_2013'!O18+((C18*0.5)/D18))</f>
        <v>0</v>
      </c>
      <c r="G18" s="204"/>
      <c r="H18" s="796">
        <f t="shared" si="1"/>
        <v>0</v>
      </c>
    </row>
    <row r="19" spans="1:8" x14ac:dyDescent="0.2">
      <c r="A19" s="828">
        <v>1808</v>
      </c>
      <c r="B19" s="787" t="s">
        <v>384</v>
      </c>
      <c r="C19" s="204"/>
      <c r="D19" s="282"/>
      <c r="E19" s="586">
        <f t="shared" si="0"/>
        <v>0</v>
      </c>
      <c r="F19" s="796">
        <f>IF(D19=0,'App.2-CL_MIFRS_DepExp_2013'!O19,+'App.2-CL_MIFRS_DepExp_2013'!O19+((C19*0.5)/D19))</f>
        <v>0</v>
      </c>
      <c r="G19" s="204"/>
      <c r="H19" s="796">
        <f t="shared" si="1"/>
        <v>0</v>
      </c>
    </row>
    <row r="20" spans="1:8" x14ac:dyDescent="0.2">
      <c r="A20" s="828">
        <v>1810</v>
      </c>
      <c r="B20" s="787" t="s">
        <v>417</v>
      </c>
      <c r="C20" s="204"/>
      <c r="D20" s="282"/>
      <c r="E20" s="586">
        <f t="shared" si="0"/>
        <v>0</v>
      </c>
      <c r="F20" s="796">
        <f>IF(D20=0,'App.2-CL_MIFRS_DepExp_2013'!O20,+'App.2-CL_MIFRS_DepExp_2013'!O20+((C20*0.5)/D20))</f>
        <v>0</v>
      </c>
      <c r="G20" s="204"/>
      <c r="H20" s="796">
        <f t="shared" si="1"/>
        <v>0</v>
      </c>
    </row>
    <row r="21" spans="1:8" x14ac:dyDescent="0.2">
      <c r="A21" s="828">
        <v>1815</v>
      </c>
      <c r="B21" s="787" t="s">
        <v>385</v>
      </c>
      <c r="C21" s="204"/>
      <c r="D21" s="282"/>
      <c r="E21" s="586">
        <f t="shared" si="0"/>
        <v>0</v>
      </c>
      <c r="F21" s="796">
        <f>IF(D21=0,'App.2-CL_MIFRS_DepExp_2013'!O21,+'App.2-CL_MIFRS_DepExp_2013'!O21+((C21*0.5)/D21))</f>
        <v>0</v>
      </c>
      <c r="G21" s="204"/>
      <c r="H21" s="796">
        <f t="shared" si="1"/>
        <v>0</v>
      </c>
    </row>
    <row r="22" spans="1:8" x14ac:dyDescent="0.2">
      <c r="A22" s="828">
        <v>1820</v>
      </c>
      <c r="B22" s="783" t="s">
        <v>306</v>
      </c>
      <c r="C22" s="204"/>
      <c r="D22" s="282"/>
      <c r="E22" s="586">
        <f t="shared" si="0"/>
        <v>0</v>
      </c>
      <c r="F22" s="796">
        <f>IF(D22=0,'App.2-CL_MIFRS_DepExp_2013'!O22,+'App.2-CL_MIFRS_DepExp_2013'!O22+((C22*0.5)/D22))</f>
        <v>0</v>
      </c>
      <c r="G22" s="204"/>
      <c r="H22" s="796">
        <f t="shared" si="1"/>
        <v>0</v>
      </c>
    </row>
    <row r="23" spans="1:8" x14ac:dyDescent="0.2">
      <c r="A23" s="828">
        <v>1825</v>
      </c>
      <c r="B23" s="787" t="s">
        <v>386</v>
      </c>
      <c r="C23" s="204"/>
      <c r="D23" s="282"/>
      <c r="E23" s="586">
        <f t="shared" si="0"/>
        <v>0</v>
      </c>
      <c r="F23" s="796">
        <f>IF(D23=0,'App.2-CL_MIFRS_DepExp_2013'!O23,+'App.2-CL_MIFRS_DepExp_2013'!O23+((C23*0.5)/D23))</f>
        <v>0</v>
      </c>
      <c r="G23" s="204"/>
      <c r="H23" s="796">
        <f t="shared" si="1"/>
        <v>0</v>
      </c>
    </row>
    <row r="24" spans="1:8" x14ac:dyDescent="0.2">
      <c r="A24" s="828">
        <v>1830</v>
      </c>
      <c r="B24" s="787" t="s">
        <v>387</v>
      </c>
      <c r="C24" s="204"/>
      <c r="D24" s="282"/>
      <c r="E24" s="586">
        <f t="shared" si="0"/>
        <v>0</v>
      </c>
      <c r="F24" s="796">
        <f>IF(D24=0,'App.2-CL_MIFRS_DepExp_2013'!O24,+'App.2-CL_MIFRS_DepExp_2013'!O24+((C24*0.5)/D24))</f>
        <v>0</v>
      </c>
      <c r="G24" s="204"/>
      <c r="H24" s="796">
        <f t="shared" si="1"/>
        <v>0</v>
      </c>
    </row>
    <row r="25" spans="1:8" x14ac:dyDescent="0.2">
      <c r="A25" s="828">
        <v>1835</v>
      </c>
      <c r="B25" s="787" t="s">
        <v>307</v>
      </c>
      <c r="C25" s="204"/>
      <c r="D25" s="282"/>
      <c r="E25" s="586">
        <f t="shared" si="0"/>
        <v>0</v>
      </c>
      <c r="F25" s="796">
        <f>IF(D25=0,'App.2-CL_MIFRS_DepExp_2013'!O25,+'App.2-CL_MIFRS_DepExp_2013'!O25+((C25*0.5)/D25))</f>
        <v>0</v>
      </c>
      <c r="G25" s="204"/>
      <c r="H25" s="796">
        <f t="shared" si="1"/>
        <v>0</v>
      </c>
    </row>
    <row r="26" spans="1:8" x14ac:dyDescent="0.2">
      <c r="A26" s="828">
        <v>1840</v>
      </c>
      <c r="B26" s="787" t="s">
        <v>308</v>
      </c>
      <c r="C26" s="204"/>
      <c r="D26" s="282"/>
      <c r="E26" s="586">
        <f t="shared" si="0"/>
        <v>0</v>
      </c>
      <c r="F26" s="796">
        <f>IF(D26=0,'App.2-CL_MIFRS_DepExp_2013'!O26,+'App.2-CL_MIFRS_DepExp_2013'!O26+((C26*0.5)/D26))</f>
        <v>0</v>
      </c>
      <c r="G26" s="204"/>
      <c r="H26" s="796">
        <f t="shared" si="1"/>
        <v>0</v>
      </c>
    </row>
    <row r="27" spans="1:8" x14ac:dyDescent="0.2">
      <c r="A27" s="828">
        <v>1845</v>
      </c>
      <c r="B27" s="787" t="s">
        <v>309</v>
      </c>
      <c r="C27" s="204"/>
      <c r="D27" s="282"/>
      <c r="E27" s="586">
        <f t="shared" si="0"/>
        <v>0</v>
      </c>
      <c r="F27" s="796">
        <f>IF(D27=0,'App.2-CL_MIFRS_DepExp_2013'!O27,+'App.2-CL_MIFRS_DepExp_2013'!O27+((C27*0.5)/D27))</f>
        <v>0</v>
      </c>
      <c r="G27" s="204"/>
      <c r="H27" s="796">
        <f t="shared" si="1"/>
        <v>0</v>
      </c>
    </row>
    <row r="28" spans="1:8" x14ac:dyDescent="0.2">
      <c r="A28" s="828">
        <v>1850</v>
      </c>
      <c r="B28" s="787" t="s">
        <v>388</v>
      </c>
      <c r="C28" s="204"/>
      <c r="D28" s="282"/>
      <c r="E28" s="586">
        <f t="shared" si="0"/>
        <v>0</v>
      </c>
      <c r="F28" s="796">
        <f>IF(D28=0,'App.2-CL_MIFRS_DepExp_2013'!O28,+'App.2-CL_MIFRS_DepExp_2013'!O28+((C28*0.5)/D28))</f>
        <v>0</v>
      </c>
      <c r="G28" s="204"/>
      <c r="H28" s="796">
        <f t="shared" si="1"/>
        <v>0</v>
      </c>
    </row>
    <row r="29" spans="1:8" x14ac:dyDescent="0.2">
      <c r="A29" s="828">
        <v>1855</v>
      </c>
      <c r="B29" s="787" t="s">
        <v>310</v>
      </c>
      <c r="C29" s="204"/>
      <c r="D29" s="282"/>
      <c r="E29" s="586">
        <f t="shared" si="0"/>
        <v>0</v>
      </c>
      <c r="F29" s="796">
        <f>IF(D29=0,'App.2-CL_MIFRS_DepExp_2013'!O29,+'App.2-CL_MIFRS_DepExp_2013'!O29+((C29*0.5)/D29))</f>
        <v>0</v>
      </c>
      <c r="G29" s="204"/>
      <c r="H29" s="796">
        <f t="shared" si="1"/>
        <v>0</v>
      </c>
    </row>
    <row r="30" spans="1:8" x14ac:dyDescent="0.2">
      <c r="A30" s="828">
        <v>1860</v>
      </c>
      <c r="B30" s="787" t="s">
        <v>389</v>
      </c>
      <c r="C30" s="204"/>
      <c r="D30" s="282"/>
      <c r="E30" s="586">
        <f t="shared" si="0"/>
        <v>0</v>
      </c>
      <c r="F30" s="796">
        <f>IF(D30=0,'App.2-CL_MIFRS_DepExp_2013'!O30,+'App.2-CL_MIFRS_DepExp_2013'!O30+((C30*0.5)/D30))</f>
        <v>0</v>
      </c>
      <c r="G30" s="204"/>
      <c r="H30" s="796">
        <f t="shared" si="1"/>
        <v>0</v>
      </c>
    </row>
    <row r="31" spans="1:8" x14ac:dyDescent="0.2">
      <c r="A31" s="829">
        <v>1860</v>
      </c>
      <c r="B31" s="786" t="s">
        <v>311</v>
      </c>
      <c r="C31" s="204"/>
      <c r="D31" s="282"/>
      <c r="E31" s="586">
        <f t="shared" si="0"/>
        <v>0</v>
      </c>
      <c r="F31" s="796">
        <f>IF(D31=0,'App.2-CL_MIFRS_DepExp_2013'!O31,+'App.2-CL_MIFRS_DepExp_2013'!O31+((C31*0.5)/D31))</f>
        <v>0</v>
      </c>
      <c r="G31" s="204"/>
      <c r="H31" s="796">
        <f t="shared" si="1"/>
        <v>0</v>
      </c>
    </row>
    <row r="32" spans="1:8" x14ac:dyDescent="0.2">
      <c r="A32" s="829">
        <v>1905</v>
      </c>
      <c r="B32" s="786" t="s">
        <v>383</v>
      </c>
      <c r="C32" s="204"/>
      <c r="D32" s="282"/>
      <c r="E32" s="586">
        <f t="shared" si="0"/>
        <v>0</v>
      </c>
      <c r="F32" s="796">
        <f>IF(D32=0,'App.2-CL_MIFRS_DepExp_2013'!O32,+'App.2-CL_MIFRS_DepExp_2013'!O32+((C32*0.5)/D32))</f>
        <v>0</v>
      </c>
      <c r="G32" s="204"/>
      <c r="H32" s="796">
        <f t="shared" si="1"/>
        <v>0</v>
      </c>
    </row>
    <row r="33" spans="1:8" x14ac:dyDescent="0.2">
      <c r="A33" s="828">
        <v>1908</v>
      </c>
      <c r="B33" s="787" t="s">
        <v>391</v>
      </c>
      <c r="C33" s="204"/>
      <c r="D33" s="282"/>
      <c r="E33" s="586">
        <f t="shared" si="0"/>
        <v>0</v>
      </c>
      <c r="F33" s="796">
        <f>IF(D33=0,'App.2-CL_MIFRS_DepExp_2013'!O33,+'App.2-CL_MIFRS_DepExp_2013'!O33+((C33*0.5)/D33))</f>
        <v>0</v>
      </c>
      <c r="G33" s="204"/>
      <c r="H33" s="796">
        <f t="shared" si="1"/>
        <v>0</v>
      </c>
    </row>
    <row r="34" spans="1:8" x14ac:dyDescent="0.2">
      <c r="A34" s="828">
        <v>1910</v>
      </c>
      <c r="B34" s="787" t="s">
        <v>417</v>
      </c>
      <c r="C34" s="204"/>
      <c r="D34" s="282"/>
      <c r="E34" s="586">
        <f t="shared" si="0"/>
        <v>0</v>
      </c>
      <c r="F34" s="796">
        <f>IF(D34=0,'App.2-CL_MIFRS_DepExp_2013'!O34,+'App.2-CL_MIFRS_DepExp_2013'!O34+((C34*0.5)/D34))</f>
        <v>0</v>
      </c>
      <c r="G34" s="204"/>
      <c r="H34" s="796">
        <f t="shared" si="1"/>
        <v>0</v>
      </c>
    </row>
    <row r="35" spans="1:8" x14ac:dyDescent="0.2">
      <c r="A35" s="828">
        <v>1915</v>
      </c>
      <c r="B35" s="787" t="s">
        <v>312</v>
      </c>
      <c r="C35" s="204"/>
      <c r="D35" s="282"/>
      <c r="E35" s="586">
        <f t="shared" si="0"/>
        <v>0</v>
      </c>
      <c r="F35" s="796">
        <f>IF(D35=0,'App.2-CL_MIFRS_DepExp_2013'!O35,+'App.2-CL_MIFRS_DepExp_2013'!O35+((C35*0.5)/D35))</f>
        <v>0</v>
      </c>
      <c r="G35" s="204"/>
      <c r="H35" s="796">
        <f t="shared" si="1"/>
        <v>0</v>
      </c>
    </row>
    <row r="36" spans="1:8" x14ac:dyDescent="0.2">
      <c r="A36" s="828">
        <v>1915</v>
      </c>
      <c r="B36" s="787" t="s">
        <v>313</v>
      </c>
      <c r="C36" s="204"/>
      <c r="D36" s="282"/>
      <c r="E36" s="586">
        <f t="shared" si="0"/>
        <v>0</v>
      </c>
      <c r="F36" s="796">
        <f>IF(D36=0,'App.2-CL_MIFRS_DepExp_2013'!O36,+'App.2-CL_MIFRS_DepExp_2013'!O36+((C36*0.5)/D36))</f>
        <v>0</v>
      </c>
      <c r="G36" s="204"/>
      <c r="H36" s="796">
        <f t="shared" si="1"/>
        <v>0</v>
      </c>
    </row>
    <row r="37" spans="1:8" x14ac:dyDescent="0.2">
      <c r="A37" s="828">
        <v>1920</v>
      </c>
      <c r="B37" s="787" t="s">
        <v>314</v>
      </c>
      <c r="C37" s="204"/>
      <c r="D37" s="282"/>
      <c r="E37" s="586">
        <f t="shared" si="0"/>
        <v>0</v>
      </c>
      <c r="F37" s="796">
        <f>IF(D37=0,'App.2-CL_MIFRS_DepExp_2013'!O37,+'App.2-CL_MIFRS_DepExp_2013'!O37+((C37*0.5)/D37))</f>
        <v>0</v>
      </c>
      <c r="G37" s="204"/>
      <c r="H37" s="796">
        <f t="shared" si="1"/>
        <v>0</v>
      </c>
    </row>
    <row r="38" spans="1:8" x14ac:dyDescent="0.2">
      <c r="A38" s="830">
        <v>1920</v>
      </c>
      <c r="B38" s="783" t="s">
        <v>316</v>
      </c>
      <c r="C38" s="204"/>
      <c r="D38" s="282"/>
      <c r="E38" s="586">
        <f t="shared" si="0"/>
        <v>0</v>
      </c>
      <c r="F38" s="796">
        <f>IF(D38=0,'App.2-CL_MIFRS_DepExp_2013'!O38,+'App.2-CL_MIFRS_DepExp_2013'!O38+((C38*0.5)/D38))</f>
        <v>0</v>
      </c>
      <c r="G38" s="204"/>
      <c r="H38" s="796">
        <f t="shared" si="1"/>
        <v>0</v>
      </c>
    </row>
    <row r="39" spans="1:8" x14ac:dyDescent="0.2">
      <c r="A39" s="830">
        <v>1920</v>
      </c>
      <c r="B39" s="783" t="s">
        <v>315</v>
      </c>
      <c r="C39" s="204"/>
      <c r="D39" s="282"/>
      <c r="E39" s="586">
        <f t="shared" si="0"/>
        <v>0</v>
      </c>
      <c r="F39" s="796">
        <f>IF(D39=0,'App.2-CL_MIFRS_DepExp_2013'!O39,+'App.2-CL_MIFRS_DepExp_2013'!O39+((C39*0.5)/D39))</f>
        <v>0</v>
      </c>
      <c r="G39" s="204"/>
      <c r="H39" s="796">
        <f t="shared" si="1"/>
        <v>0</v>
      </c>
    </row>
    <row r="40" spans="1:8" x14ac:dyDescent="0.2">
      <c r="A40" s="828">
        <v>1930</v>
      </c>
      <c r="B40" s="787" t="s">
        <v>404</v>
      </c>
      <c r="C40" s="204"/>
      <c r="D40" s="282"/>
      <c r="E40" s="586">
        <f t="shared" si="0"/>
        <v>0</v>
      </c>
      <c r="F40" s="796">
        <f>IF(D40=0,'App.2-CL_MIFRS_DepExp_2013'!O40,+'App.2-CL_MIFRS_DepExp_2013'!O40+((C40*0.5)/D40))</f>
        <v>0</v>
      </c>
      <c r="G40" s="204"/>
      <c r="H40" s="796">
        <f t="shared" si="1"/>
        <v>0</v>
      </c>
    </row>
    <row r="41" spans="1:8" x14ac:dyDescent="0.2">
      <c r="A41" s="828">
        <v>1935</v>
      </c>
      <c r="B41" s="787" t="s">
        <v>405</v>
      </c>
      <c r="C41" s="204"/>
      <c r="D41" s="282"/>
      <c r="E41" s="586">
        <f t="shared" si="0"/>
        <v>0</v>
      </c>
      <c r="F41" s="796">
        <f>IF(D41=0,'App.2-CL_MIFRS_DepExp_2013'!O41,+'App.2-CL_MIFRS_DepExp_2013'!O41+((C41*0.5)/D41))</f>
        <v>0</v>
      </c>
      <c r="G41" s="204"/>
      <c r="H41" s="796">
        <f t="shared" si="1"/>
        <v>0</v>
      </c>
    </row>
    <row r="42" spans="1:8" x14ac:dyDescent="0.2">
      <c r="A42" s="828">
        <v>1940</v>
      </c>
      <c r="B42" s="787" t="s">
        <v>406</v>
      </c>
      <c r="C42" s="204"/>
      <c r="D42" s="282"/>
      <c r="E42" s="586">
        <f t="shared" si="0"/>
        <v>0</v>
      </c>
      <c r="F42" s="796">
        <f>IF(D42=0,'App.2-CL_MIFRS_DepExp_2013'!O42,+'App.2-CL_MIFRS_DepExp_2013'!O42+((C42*0.5)/D42))</f>
        <v>0</v>
      </c>
      <c r="G42" s="204"/>
      <c r="H42" s="796">
        <f t="shared" si="1"/>
        <v>0</v>
      </c>
    </row>
    <row r="43" spans="1:8" x14ac:dyDescent="0.2">
      <c r="A43" s="828">
        <v>1945</v>
      </c>
      <c r="B43" s="787" t="s">
        <v>407</v>
      </c>
      <c r="C43" s="204"/>
      <c r="D43" s="282"/>
      <c r="E43" s="586">
        <f t="shared" si="0"/>
        <v>0</v>
      </c>
      <c r="F43" s="796">
        <f>IF(D43=0,'App.2-CL_MIFRS_DepExp_2013'!O43,+'App.2-CL_MIFRS_DepExp_2013'!O43+((C43*0.5)/D43))</f>
        <v>0</v>
      </c>
      <c r="G43" s="204"/>
      <c r="H43" s="796">
        <f t="shared" si="1"/>
        <v>0</v>
      </c>
    </row>
    <row r="44" spans="1:8" x14ac:dyDescent="0.2">
      <c r="A44" s="828">
        <v>1950</v>
      </c>
      <c r="B44" s="787" t="s">
        <v>317</v>
      </c>
      <c r="C44" s="204"/>
      <c r="D44" s="282"/>
      <c r="E44" s="586">
        <f t="shared" si="0"/>
        <v>0</v>
      </c>
      <c r="F44" s="796">
        <f>IF(D44=0,'App.2-CL_MIFRS_DepExp_2013'!O44,+'App.2-CL_MIFRS_DepExp_2013'!O44+((C44*0.5)/D44))</f>
        <v>0</v>
      </c>
      <c r="G44" s="204"/>
      <c r="H44" s="796">
        <f t="shared" si="1"/>
        <v>0</v>
      </c>
    </row>
    <row r="45" spans="1:8" x14ac:dyDescent="0.2">
      <c r="A45" s="828">
        <v>1955</v>
      </c>
      <c r="B45" s="787" t="s">
        <v>408</v>
      </c>
      <c r="C45" s="204"/>
      <c r="D45" s="282"/>
      <c r="E45" s="586">
        <f t="shared" si="0"/>
        <v>0</v>
      </c>
      <c r="F45" s="796">
        <f>IF(D45=0,'App.2-CL_MIFRS_DepExp_2013'!O45,+'App.2-CL_MIFRS_DepExp_2013'!O45+((C45*0.5)/D45))</f>
        <v>0</v>
      </c>
      <c r="G45" s="204"/>
      <c r="H45" s="796">
        <f t="shared" si="1"/>
        <v>0</v>
      </c>
    </row>
    <row r="46" spans="1:8" x14ac:dyDescent="0.2">
      <c r="A46" s="831">
        <v>1955</v>
      </c>
      <c r="B46" s="790" t="s">
        <v>318</v>
      </c>
      <c r="C46" s="204"/>
      <c r="D46" s="282"/>
      <c r="E46" s="586">
        <f t="shared" si="0"/>
        <v>0</v>
      </c>
      <c r="F46" s="796">
        <f>IF(D46=0,'App.2-CL_MIFRS_DepExp_2013'!O46,+'App.2-CL_MIFRS_DepExp_2013'!O46+((C46*0.5)/D46))</f>
        <v>0</v>
      </c>
      <c r="G46" s="204"/>
      <c r="H46" s="796">
        <f t="shared" si="1"/>
        <v>0</v>
      </c>
    </row>
    <row r="47" spans="1:8" x14ac:dyDescent="0.2">
      <c r="A47" s="830">
        <v>1960</v>
      </c>
      <c r="B47" s="783" t="s">
        <v>319</v>
      </c>
      <c r="C47" s="204"/>
      <c r="D47" s="282"/>
      <c r="E47" s="586">
        <f t="shared" si="0"/>
        <v>0</v>
      </c>
      <c r="F47" s="796">
        <f>IF(D47=0,'App.2-CL_MIFRS_DepExp_2013'!O47,+'App.2-CL_MIFRS_DepExp_2013'!O47+((C47*0.5)/D47))</f>
        <v>0</v>
      </c>
      <c r="G47" s="204"/>
      <c r="H47" s="796">
        <f t="shared" si="1"/>
        <v>0</v>
      </c>
    </row>
    <row r="48" spans="1:8" x14ac:dyDescent="0.2">
      <c r="A48" s="831">
        <v>1970</v>
      </c>
      <c r="B48" s="832" t="s">
        <v>773</v>
      </c>
      <c r="C48" s="204"/>
      <c r="D48" s="282"/>
      <c r="E48" s="586">
        <f t="shared" si="0"/>
        <v>0</v>
      </c>
      <c r="F48" s="796">
        <f>IF(D48=0,'App.2-CL_MIFRS_DepExp_2013'!O48,+'App.2-CL_MIFRS_DepExp_2013'!O48+((C48*0.5)/D48))</f>
        <v>0</v>
      </c>
      <c r="G48" s="204"/>
      <c r="H48" s="796">
        <f t="shared" si="1"/>
        <v>0</v>
      </c>
    </row>
    <row r="49" spans="1:10" x14ac:dyDescent="0.2">
      <c r="A49" s="828">
        <v>1975</v>
      </c>
      <c r="B49" s="787" t="s">
        <v>409</v>
      </c>
      <c r="C49" s="204"/>
      <c r="D49" s="282"/>
      <c r="E49" s="586">
        <f t="shared" si="0"/>
        <v>0</v>
      </c>
      <c r="F49" s="796">
        <f>IF(D49=0,'App.2-CL_MIFRS_DepExp_2013'!O49,+'App.2-CL_MIFRS_DepExp_2013'!O49+((C49*0.5)/D49))</f>
        <v>0</v>
      </c>
      <c r="G49" s="204"/>
      <c r="H49" s="796">
        <f t="shared" si="1"/>
        <v>0</v>
      </c>
    </row>
    <row r="50" spans="1:10" x14ac:dyDescent="0.2">
      <c r="A50" s="828">
        <v>1980</v>
      </c>
      <c r="B50" s="787" t="s">
        <v>410</v>
      </c>
      <c r="C50" s="204"/>
      <c r="D50" s="282"/>
      <c r="E50" s="586">
        <f t="shared" si="0"/>
        <v>0</v>
      </c>
      <c r="F50" s="796">
        <f>IF(D50=0,'App.2-CL_MIFRS_DepExp_2013'!O50,+'App.2-CL_MIFRS_DepExp_2013'!O50+((C50*0.5)/D50))</f>
        <v>0</v>
      </c>
      <c r="G50" s="204"/>
      <c r="H50" s="796">
        <f t="shared" si="1"/>
        <v>0</v>
      </c>
    </row>
    <row r="51" spans="1:10" x14ac:dyDescent="0.2">
      <c r="A51" s="828">
        <v>1985</v>
      </c>
      <c r="B51" s="787" t="s">
        <v>411</v>
      </c>
      <c r="C51" s="204"/>
      <c r="D51" s="282"/>
      <c r="E51" s="586">
        <f t="shared" si="0"/>
        <v>0</v>
      </c>
      <c r="F51" s="796">
        <f>IF(D51=0,'App.2-CL_MIFRS_DepExp_2013'!O51,+'App.2-CL_MIFRS_DepExp_2013'!O51+((C51*0.5)/D51))</f>
        <v>0</v>
      </c>
      <c r="G51" s="204"/>
      <c r="H51" s="796">
        <f t="shared" si="1"/>
        <v>0</v>
      </c>
    </row>
    <row r="52" spans="1:10" x14ac:dyDescent="0.2">
      <c r="A52" s="828">
        <v>1990</v>
      </c>
      <c r="B52" s="791" t="s">
        <v>774</v>
      </c>
      <c r="C52" s="204"/>
      <c r="D52" s="282"/>
      <c r="E52" s="586">
        <f t="shared" si="0"/>
        <v>0</v>
      </c>
      <c r="F52" s="796">
        <f>IF(D52=0,'App.2-CL_MIFRS_DepExp_2013'!O52,+'App.2-CL_MIFRS_DepExp_2013'!O52+((C52*0.5)/D52))</f>
        <v>0</v>
      </c>
      <c r="G52" s="204"/>
      <c r="H52" s="796">
        <f t="shared" si="1"/>
        <v>0</v>
      </c>
    </row>
    <row r="53" spans="1:10" x14ac:dyDescent="0.2">
      <c r="A53" s="828">
        <v>1995</v>
      </c>
      <c r="B53" s="787" t="s">
        <v>412</v>
      </c>
      <c r="C53" s="204"/>
      <c r="D53" s="281"/>
      <c r="E53" s="586">
        <f t="shared" si="0"/>
        <v>0</v>
      </c>
      <c r="F53" s="796">
        <f>IF(D53=0,'App.2-CL_MIFRS_DepExp_2013'!O53,+'App.2-CL_MIFRS_DepExp_2013'!O53+((C53*0.5)/D53))</f>
        <v>0</v>
      </c>
      <c r="G53" s="204"/>
      <c r="H53" s="796">
        <f t="shared" si="1"/>
        <v>0</v>
      </c>
    </row>
    <row r="54" spans="1:10" x14ac:dyDescent="0.2">
      <c r="A54" s="227" t="s">
        <v>13</v>
      </c>
      <c r="B54" s="228"/>
      <c r="C54" s="204"/>
      <c r="D54" s="281"/>
      <c r="E54" s="586">
        <f t="shared" si="0"/>
        <v>0</v>
      </c>
      <c r="F54" s="796">
        <f>IF(D54=0,'App.2-CL_MIFRS_DepExp_2013'!O54,+'App.2-CL_MIFRS_DepExp_2013'!O54+((C54*0.5)/D54))</f>
        <v>0</v>
      </c>
      <c r="G54" s="204"/>
      <c r="H54" s="796">
        <f t="shared" si="1"/>
        <v>0</v>
      </c>
    </row>
    <row r="55" spans="1:10" ht="13.5" thickBot="1" x14ac:dyDescent="0.25">
      <c r="A55" s="229"/>
      <c r="B55" s="230"/>
      <c r="C55" s="204"/>
      <c r="D55" s="595"/>
      <c r="E55" s="593">
        <f t="shared" si="0"/>
        <v>0</v>
      </c>
      <c r="F55" s="796">
        <f>IF(D55=0,'App.2-CL_MIFRS_DepExp_2013'!O55,+'App.2-CL_MIFRS_DepExp_2013'!O55+((C55*0.5)/D55))</f>
        <v>0</v>
      </c>
      <c r="G55" s="204"/>
      <c r="H55" s="796">
        <f t="shared" si="1"/>
        <v>0</v>
      </c>
    </row>
    <row r="56" spans="1:10" ht="14.25" thickTop="1" thickBot="1" x14ac:dyDescent="0.25">
      <c r="A56" s="231"/>
      <c r="B56" s="232" t="s">
        <v>413</v>
      </c>
      <c r="C56" s="796">
        <f>SUM(C16:C55)</f>
        <v>0</v>
      </c>
      <c r="D56" s="233"/>
      <c r="E56" s="233"/>
      <c r="F56" s="796">
        <f>SUM(F16:F55)</f>
        <v>0</v>
      </c>
      <c r="G56" s="796">
        <f>SUM(G16:G55)</f>
        <v>0</v>
      </c>
      <c r="H56" s="796">
        <f>SUM(H16:H55)</f>
        <v>0</v>
      </c>
    </row>
    <row r="57" spans="1:10" x14ac:dyDescent="0.2">
      <c r="A57" s="239"/>
      <c r="B57" s="803" t="s">
        <v>778</v>
      </c>
      <c r="C57" s="176"/>
      <c r="D57" s="176"/>
      <c r="E57" s="176"/>
      <c r="F57" s="204">
        <v>0</v>
      </c>
      <c r="G57" s="176"/>
      <c r="H57" s="176"/>
    </row>
    <row r="58" spans="1:10" ht="24.75" customHeight="1" x14ac:dyDescent="0.2">
      <c r="A58" s="239"/>
      <c r="B58" s="1866" t="s">
        <v>534</v>
      </c>
      <c r="C58" s="1866"/>
      <c r="D58" s="1866"/>
      <c r="E58" s="1889"/>
      <c r="F58" s="796">
        <f>SUM(F56:F57)</f>
        <v>0</v>
      </c>
      <c r="H58" s="240"/>
      <c r="I58" s="176"/>
      <c r="J58" s="241"/>
    </row>
    <row r="60" spans="1:10" x14ac:dyDescent="0.2">
      <c r="A60" s="217" t="s">
        <v>15</v>
      </c>
      <c r="B60" s="236"/>
      <c r="C60" s="236"/>
      <c r="D60" s="236"/>
      <c r="E60" s="236"/>
      <c r="F60" s="236"/>
      <c r="G60" s="236"/>
      <c r="H60" s="236"/>
    </row>
    <row r="61" spans="1:10" ht="29.25" customHeight="1" x14ac:dyDescent="0.2">
      <c r="A61" s="301">
        <v>1</v>
      </c>
      <c r="B61" s="1857" t="s">
        <v>607</v>
      </c>
      <c r="C61" s="1857"/>
      <c r="D61" s="1857"/>
      <c r="E61" s="1857"/>
      <c r="F61" s="1857"/>
      <c r="G61" s="1857"/>
      <c r="H61" s="1857"/>
      <c r="I61" s="1857"/>
      <c r="J61" s="1857"/>
    </row>
    <row r="62" spans="1:10" x14ac:dyDescent="0.2">
      <c r="A62" s="284">
        <v>2</v>
      </c>
      <c r="B62" s="1857" t="s">
        <v>1934</v>
      </c>
      <c r="C62" s="1857"/>
      <c r="D62" s="1857"/>
      <c r="E62" s="1857"/>
      <c r="F62" s="1857"/>
      <c r="G62" s="1857"/>
      <c r="H62" s="1857"/>
      <c r="I62" s="1857"/>
      <c r="J62" s="1857"/>
    </row>
    <row r="65" spans="1:12" ht="12.75" customHeight="1" x14ac:dyDescent="0.2">
      <c r="A65" s="217" t="s">
        <v>325</v>
      </c>
      <c r="B65" s="1869" t="s">
        <v>270</v>
      </c>
      <c r="C65" s="1869"/>
      <c r="D65" s="1869"/>
      <c r="E65" s="1869"/>
      <c r="F65" s="1869"/>
      <c r="G65" s="1869"/>
      <c r="H65" s="1869"/>
      <c r="I65" s="1869"/>
      <c r="J65" s="1869"/>
      <c r="K65" s="1007"/>
      <c r="L65" s="1007"/>
    </row>
    <row r="66" spans="1:12" ht="15" customHeight="1" x14ac:dyDescent="0.2">
      <c r="B66" s="1869"/>
      <c r="C66" s="1869"/>
      <c r="D66" s="1869"/>
      <c r="E66" s="1869"/>
      <c r="F66" s="1869"/>
      <c r="G66" s="1869"/>
      <c r="H66" s="1869"/>
      <c r="I66" s="1869"/>
      <c r="J66" s="1869"/>
      <c r="K66" s="1007"/>
      <c r="L66" s="1007"/>
    </row>
    <row r="67" spans="1:12" ht="12.75" customHeight="1" x14ac:dyDescent="0.2">
      <c r="A67" s="217"/>
      <c r="B67" s="1869"/>
      <c r="C67" s="1869"/>
      <c r="D67" s="1869"/>
      <c r="E67" s="1869"/>
      <c r="F67" s="1869"/>
      <c r="G67" s="1869"/>
      <c r="H67" s="1869"/>
      <c r="I67" s="1869"/>
      <c r="J67" s="1869"/>
      <c r="K67" s="675"/>
      <c r="L67" s="675"/>
    </row>
    <row r="68" spans="1:12" ht="15" customHeight="1" x14ac:dyDescent="0.2">
      <c r="B68" s="1869"/>
      <c r="C68" s="1869"/>
      <c r="D68" s="1869"/>
      <c r="E68" s="1869"/>
      <c r="F68" s="1869"/>
      <c r="G68" s="1869"/>
      <c r="H68" s="1869"/>
      <c r="I68" s="1869"/>
      <c r="J68" s="1869"/>
      <c r="K68" s="675"/>
      <c r="L68" s="675"/>
    </row>
    <row r="69" spans="1:12" x14ac:dyDescent="0.2">
      <c r="B69" s="675"/>
      <c r="C69" s="675"/>
      <c r="D69" s="675"/>
      <c r="E69" s="675"/>
      <c r="F69" s="675"/>
      <c r="G69" s="675"/>
      <c r="H69" s="675"/>
      <c r="I69" s="675"/>
      <c r="J69" s="675"/>
      <c r="K69" s="675"/>
      <c r="L69" s="675"/>
    </row>
    <row r="73" spans="1:12" x14ac:dyDescent="0.2">
      <c r="G73" s="677"/>
    </row>
    <row r="74" spans="1:12" x14ac:dyDescent="0.2">
      <c r="A74" s="236"/>
      <c r="B74" s="236"/>
      <c r="C74" s="236"/>
      <c r="D74" s="236"/>
      <c r="E74" s="236"/>
      <c r="F74" s="236"/>
      <c r="G74" s="236"/>
      <c r="H74" s="236"/>
    </row>
    <row r="75" spans="1:12" ht="12.75" customHeight="1" x14ac:dyDescent="0.2">
      <c r="B75" s="673"/>
      <c r="C75" s="673"/>
      <c r="D75" s="673"/>
      <c r="E75" s="673"/>
      <c r="F75" s="236"/>
      <c r="G75" s="236"/>
      <c r="H75" s="236"/>
    </row>
    <row r="76" spans="1:12" x14ac:dyDescent="0.2">
      <c r="A76" s="673"/>
      <c r="B76" s="673"/>
      <c r="C76" s="673"/>
      <c r="D76" s="673"/>
      <c r="E76" s="673"/>
      <c r="F76" s="236"/>
      <c r="G76" s="236"/>
      <c r="H76" s="236"/>
    </row>
    <row r="77" spans="1:12" x14ac:dyDescent="0.2">
      <c r="B77" s="673"/>
      <c r="C77" s="673"/>
      <c r="D77" s="673"/>
      <c r="E77" s="673"/>
      <c r="F77" s="236"/>
      <c r="G77" s="236"/>
      <c r="H77" s="236"/>
    </row>
    <row r="79" spans="1:12" x14ac:dyDescent="0.2">
      <c r="A79" s="236"/>
    </row>
    <row r="80" spans="1:12" x14ac:dyDescent="0.2">
      <c r="A80" s="236"/>
    </row>
  </sheetData>
  <mergeCells count="11">
    <mergeCell ref="B67:J68"/>
    <mergeCell ref="A9:J9"/>
    <mergeCell ref="A10:J10"/>
    <mergeCell ref="A11:J11"/>
    <mergeCell ref="A14:A15"/>
    <mergeCell ref="B14:B15"/>
    <mergeCell ref="G14:G15"/>
    <mergeCell ref="B58:E58"/>
    <mergeCell ref="B61:J61"/>
    <mergeCell ref="B62:J62"/>
    <mergeCell ref="B65:J66"/>
  </mergeCells>
  <dataValidations count="1">
    <dataValidation allowBlank="1" showInputMessage="1" showErrorMessage="1" promptTitle="Date Format" prompt="E.g:  &quot;August 1, 2011&quot;" sqref="WVP983050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dataValidations>
  <printOptions horizontalCentered="1"/>
  <pageMargins left="0.74803149606299213" right="0.74803149606299213" top="0.70866141732283472" bottom="0.39370078740157483" header="0.39370078740157483" footer="0.27559055118110237"/>
  <pageSetup scale="4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S12"/>
  <sheetViews>
    <sheetView showGridLines="0" zoomScaleNormal="100" workbookViewId="0"/>
  </sheetViews>
  <sheetFormatPr defaultColWidth="9.140625" defaultRowHeight="12.75" x14ac:dyDescent="0.2"/>
  <cols>
    <col min="1" max="16384" width="9.140625" style="216"/>
  </cols>
  <sheetData>
    <row r="1" spans="1:19" ht="18" x14ac:dyDescent="0.25">
      <c r="A1" s="929" t="s">
        <v>944</v>
      </c>
    </row>
    <row r="2" spans="1:19" x14ac:dyDescent="0.2">
      <c r="A2" s="217" t="s">
        <v>824</v>
      </c>
    </row>
    <row r="4" spans="1:19" x14ac:dyDescent="0.2">
      <c r="A4" s="236"/>
      <c r="B4" s="236"/>
    </row>
    <row r="5" spans="1:19" x14ac:dyDescent="0.2">
      <c r="A5" s="853" t="s">
        <v>943</v>
      </c>
      <c r="B5" s="236"/>
    </row>
    <row r="6" spans="1:19" x14ac:dyDescent="0.2">
      <c r="A6" s="854"/>
      <c r="B6" s="236"/>
    </row>
    <row r="7" spans="1:19" ht="20.25" customHeight="1" x14ac:dyDescent="0.2">
      <c r="A7" s="304" t="s">
        <v>850</v>
      </c>
    </row>
    <row r="8" spans="1:19" ht="26.25" customHeight="1" x14ac:dyDescent="0.2">
      <c r="A8" s="1857" t="s">
        <v>942</v>
      </c>
      <c r="B8" s="1857"/>
      <c r="C8" s="1857"/>
      <c r="D8" s="1857"/>
      <c r="E8" s="1857"/>
      <c r="F8" s="1857"/>
      <c r="G8" s="1857"/>
      <c r="H8" s="1857"/>
      <c r="I8" s="1857"/>
      <c r="J8" s="1857"/>
      <c r="K8" s="1857"/>
      <c r="L8" s="1857"/>
      <c r="M8" s="1857"/>
    </row>
    <row r="9" spans="1:19" ht="36.75" customHeight="1" x14ac:dyDescent="0.2">
      <c r="A9" s="1857" t="s">
        <v>941</v>
      </c>
      <c r="B9" s="1857"/>
      <c r="C9" s="1857"/>
      <c r="D9" s="1857"/>
      <c r="E9" s="1857"/>
      <c r="F9" s="1857"/>
      <c r="G9" s="1857"/>
      <c r="H9" s="1857"/>
      <c r="I9" s="1857"/>
      <c r="J9" s="1857"/>
      <c r="K9" s="1857"/>
      <c r="L9" s="1857"/>
      <c r="M9" s="1857"/>
    </row>
    <row r="11" spans="1:19" x14ac:dyDescent="0.2">
      <c r="A11" s="1866" t="s">
        <v>1844</v>
      </c>
      <c r="B11" s="1866"/>
      <c r="C11" s="1866"/>
      <c r="D11" s="1866"/>
      <c r="E11" s="1866"/>
      <c r="F11" s="1866"/>
      <c r="G11" s="1866"/>
      <c r="H11" s="1866"/>
      <c r="I11" s="1866"/>
      <c r="J11" s="1866"/>
      <c r="K11" s="1866"/>
      <c r="L11" s="1857"/>
      <c r="M11" s="1857"/>
      <c r="N11" s="1857"/>
      <c r="O11" s="1857"/>
      <c r="P11" s="1857"/>
      <c r="Q11" s="1857"/>
      <c r="R11" s="1857"/>
      <c r="S11" s="1857"/>
    </row>
    <row r="12" spans="1:19" x14ac:dyDescent="0.2">
      <c r="A12" s="1857" t="s">
        <v>1842</v>
      </c>
      <c r="B12" s="1857"/>
      <c r="C12" s="1857"/>
      <c r="D12" s="1857"/>
      <c r="E12" s="1857"/>
      <c r="F12" s="1857"/>
      <c r="G12" s="1857"/>
      <c r="H12" s="1857"/>
      <c r="I12" s="1857"/>
      <c r="J12" s="1857"/>
      <c r="K12" s="1857"/>
      <c r="L12" s="1857"/>
      <c r="M12" s="1857"/>
      <c r="N12" s="1857"/>
      <c r="O12" s="1857"/>
      <c r="P12" s="1857"/>
      <c r="Q12" s="1857"/>
      <c r="R12" s="1857"/>
      <c r="S12" s="1857"/>
    </row>
  </sheetData>
  <mergeCells count="6">
    <mergeCell ref="A8:M8"/>
    <mergeCell ref="A9:M9"/>
    <mergeCell ref="A11:K11"/>
    <mergeCell ref="L11:S11"/>
    <mergeCell ref="A12:K12"/>
    <mergeCell ref="L12:S12"/>
  </mergeCells>
  <pageMargins left="0.7" right="0.7" top="0.75" bottom="0.75" header="0.3" footer="0.3"/>
  <pageSetup scale="72" fitToHeight="0" orientation="landscape" horizontalDpi="20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65"/>
  <sheetViews>
    <sheetView showGridLines="0" topLeftCell="A4" zoomScale="90" zoomScaleNormal="90" workbookViewId="0">
      <selection activeCell="K2" sqref="K2"/>
    </sheetView>
  </sheetViews>
  <sheetFormatPr defaultRowHeight="12.75" x14ac:dyDescent="0.2"/>
  <cols>
    <col min="1" max="1" width="9.140625" style="216"/>
    <col min="2" max="2" width="45" style="216" customWidth="1"/>
    <col min="3" max="5" width="12.85546875" style="216" customWidth="1"/>
    <col min="6" max="6" width="10" style="216" customWidth="1"/>
    <col min="7" max="7" width="19.42578125" style="216" customWidth="1"/>
    <col min="8" max="8" width="7.7109375" style="216" customWidth="1"/>
    <col min="9" max="9" width="12.28515625" style="216" customWidth="1"/>
    <col min="10" max="10" width="12.7109375" style="216" customWidth="1"/>
    <col min="11" max="11" width="17.28515625" style="216" customWidth="1"/>
    <col min="12" max="12" width="11.85546875" style="216" customWidth="1"/>
    <col min="13" max="257" width="9.140625" style="216"/>
    <col min="258" max="258" width="2.7109375" style="216" customWidth="1"/>
    <col min="259" max="259" width="9.140625" style="216"/>
    <col min="260" max="260" width="40.28515625" style="216" bestFit="1" customWidth="1"/>
    <col min="261" max="261" width="12.85546875" style="216" customWidth="1"/>
    <col min="262" max="262" width="10" style="216" customWidth="1"/>
    <col min="263" max="263" width="19.42578125" style="216" customWidth="1"/>
    <col min="264" max="264" width="7.7109375" style="216" customWidth="1"/>
    <col min="265" max="265" width="12.28515625" style="216" customWidth="1"/>
    <col min="266" max="266" width="12.7109375" style="216" customWidth="1"/>
    <col min="267" max="267" width="13.5703125" style="216" customWidth="1"/>
    <col min="268" max="268" width="11.85546875" style="216" customWidth="1"/>
    <col min="269" max="513" width="9.140625" style="216"/>
    <col min="514" max="514" width="2.7109375" style="216" customWidth="1"/>
    <col min="515" max="515" width="9.140625" style="216"/>
    <col min="516" max="516" width="40.28515625" style="216" bestFit="1" customWidth="1"/>
    <col min="517" max="517" width="12.85546875" style="216" customWidth="1"/>
    <col min="518" max="518" width="10" style="216" customWidth="1"/>
    <col min="519" max="519" width="19.42578125" style="216" customWidth="1"/>
    <col min="520" max="520" width="7.7109375" style="216" customWidth="1"/>
    <col min="521" max="521" width="12.28515625" style="216" customWidth="1"/>
    <col min="522" max="522" width="12.7109375" style="216" customWidth="1"/>
    <col min="523" max="523" width="13.5703125" style="216" customWidth="1"/>
    <col min="524" max="524" width="11.85546875" style="216" customWidth="1"/>
    <col min="525" max="769" width="9.140625" style="216"/>
    <col min="770" max="770" width="2.7109375" style="216" customWidth="1"/>
    <col min="771" max="771" width="9.140625" style="216"/>
    <col min="772" max="772" width="40.28515625" style="216" bestFit="1" customWidth="1"/>
    <col min="773" max="773" width="12.85546875" style="216" customWidth="1"/>
    <col min="774" max="774" width="10" style="216" customWidth="1"/>
    <col min="775" max="775" width="19.42578125" style="216" customWidth="1"/>
    <col min="776" max="776" width="7.7109375" style="216" customWidth="1"/>
    <col min="777" max="777" width="12.28515625" style="216" customWidth="1"/>
    <col min="778" max="778" width="12.7109375" style="216" customWidth="1"/>
    <col min="779" max="779" width="13.5703125" style="216" customWidth="1"/>
    <col min="780" max="780" width="11.85546875" style="216" customWidth="1"/>
    <col min="781" max="1025" width="9.140625" style="216"/>
    <col min="1026" max="1026" width="2.7109375" style="216" customWidth="1"/>
    <col min="1027" max="1027" width="9.140625" style="216"/>
    <col min="1028" max="1028" width="40.28515625" style="216" bestFit="1" customWidth="1"/>
    <col min="1029" max="1029" width="12.85546875" style="216" customWidth="1"/>
    <col min="1030" max="1030" width="10" style="216" customWidth="1"/>
    <col min="1031" max="1031" width="19.42578125" style="216" customWidth="1"/>
    <col min="1032" max="1032" width="7.7109375" style="216" customWidth="1"/>
    <col min="1033" max="1033" width="12.28515625" style="216" customWidth="1"/>
    <col min="1034" max="1034" width="12.7109375" style="216" customWidth="1"/>
    <col min="1035" max="1035" width="13.5703125" style="216" customWidth="1"/>
    <col min="1036" max="1036" width="11.85546875" style="216" customWidth="1"/>
    <col min="1037" max="1281" width="9.140625" style="216"/>
    <col min="1282" max="1282" width="2.7109375" style="216" customWidth="1"/>
    <col min="1283" max="1283" width="9.140625" style="216"/>
    <col min="1284" max="1284" width="40.28515625" style="216" bestFit="1" customWidth="1"/>
    <col min="1285" max="1285" width="12.85546875" style="216" customWidth="1"/>
    <col min="1286" max="1286" width="10" style="216" customWidth="1"/>
    <col min="1287" max="1287" width="19.42578125" style="216" customWidth="1"/>
    <col min="1288" max="1288" width="7.7109375" style="216" customWidth="1"/>
    <col min="1289" max="1289" width="12.28515625" style="216" customWidth="1"/>
    <col min="1290" max="1290" width="12.7109375" style="216" customWidth="1"/>
    <col min="1291" max="1291" width="13.5703125" style="216" customWidth="1"/>
    <col min="1292" max="1292" width="11.85546875" style="216" customWidth="1"/>
    <col min="1293" max="1537" width="9.140625" style="216"/>
    <col min="1538" max="1538" width="2.7109375" style="216" customWidth="1"/>
    <col min="1539" max="1539" width="9.140625" style="216"/>
    <col min="1540" max="1540" width="40.28515625" style="216" bestFit="1" customWidth="1"/>
    <col min="1541" max="1541" width="12.85546875" style="216" customWidth="1"/>
    <col min="1542" max="1542" width="10" style="216" customWidth="1"/>
    <col min="1543" max="1543" width="19.42578125" style="216" customWidth="1"/>
    <col min="1544" max="1544" width="7.7109375" style="216" customWidth="1"/>
    <col min="1545" max="1545" width="12.28515625" style="216" customWidth="1"/>
    <col min="1546" max="1546" width="12.7109375" style="216" customWidth="1"/>
    <col min="1547" max="1547" width="13.5703125" style="216" customWidth="1"/>
    <col min="1548" max="1548" width="11.85546875" style="216" customWidth="1"/>
    <col min="1549" max="1793" width="9.140625" style="216"/>
    <col min="1794" max="1794" width="2.7109375" style="216" customWidth="1"/>
    <col min="1795" max="1795" width="9.140625" style="216"/>
    <col min="1796" max="1796" width="40.28515625" style="216" bestFit="1" customWidth="1"/>
    <col min="1797" max="1797" width="12.85546875" style="216" customWidth="1"/>
    <col min="1798" max="1798" width="10" style="216" customWidth="1"/>
    <col min="1799" max="1799" width="19.42578125" style="216" customWidth="1"/>
    <col min="1800" max="1800" width="7.7109375" style="216" customWidth="1"/>
    <col min="1801" max="1801" width="12.28515625" style="216" customWidth="1"/>
    <col min="1802" max="1802" width="12.7109375" style="216" customWidth="1"/>
    <col min="1803" max="1803" width="13.5703125" style="216" customWidth="1"/>
    <col min="1804" max="1804" width="11.85546875" style="216" customWidth="1"/>
    <col min="1805" max="2049" width="9.140625" style="216"/>
    <col min="2050" max="2050" width="2.7109375" style="216" customWidth="1"/>
    <col min="2051" max="2051" width="9.140625" style="216"/>
    <col min="2052" max="2052" width="40.28515625" style="216" bestFit="1" customWidth="1"/>
    <col min="2053" max="2053" width="12.85546875" style="216" customWidth="1"/>
    <col min="2054" max="2054" width="10" style="216" customWidth="1"/>
    <col min="2055" max="2055" width="19.42578125" style="216" customWidth="1"/>
    <col min="2056" max="2056" width="7.7109375" style="216" customWidth="1"/>
    <col min="2057" max="2057" width="12.28515625" style="216" customWidth="1"/>
    <col min="2058" max="2058" width="12.7109375" style="216" customWidth="1"/>
    <col min="2059" max="2059" width="13.5703125" style="216" customWidth="1"/>
    <col min="2060" max="2060" width="11.85546875" style="216" customWidth="1"/>
    <col min="2061" max="2305" width="9.140625" style="216"/>
    <col min="2306" max="2306" width="2.7109375" style="216" customWidth="1"/>
    <col min="2307" max="2307" width="9.140625" style="216"/>
    <col min="2308" max="2308" width="40.28515625" style="216" bestFit="1" customWidth="1"/>
    <col min="2309" max="2309" width="12.85546875" style="216" customWidth="1"/>
    <col min="2310" max="2310" width="10" style="216" customWidth="1"/>
    <col min="2311" max="2311" width="19.42578125" style="216" customWidth="1"/>
    <col min="2312" max="2312" width="7.7109375" style="216" customWidth="1"/>
    <col min="2313" max="2313" width="12.28515625" style="216" customWidth="1"/>
    <col min="2314" max="2314" width="12.7109375" style="216" customWidth="1"/>
    <col min="2315" max="2315" width="13.5703125" style="216" customWidth="1"/>
    <col min="2316" max="2316" width="11.85546875" style="216" customWidth="1"/>
    <col min="2317" max="2561" width="9.140625" style="216"/>
    <col min="2562" max="2562" width="2.7109375" style="216" customWidth="1"/>
    <col min="2563" max="2563" width="9.140625" style="216"/>
    <col min="2564" max="2564" width="40.28515625" style="216" bestFit="1" customWidth="1"/>
    <col min="2565" max="2565" width="12.85546875" style="216" customWidth="1"/>
    <col min="2566" max="2566" width="10" style="216" customWidth="1"/>
    <col min="2567" max="2567" width="19.42578125" style="216" customWidth="1"/>
    <col min="2568" max="2568" width="7.7109375" style="216" customWidth="1"/>
    <col min="2569" max="2569" width="12.28515625" style="216" customWidth="1"/>
    <col min="2570" max="2570" width="12.7109375" style="216" customWidth="1"/>
    <col min="2571" max="2571" width="13.5703125" style="216" customWidth="1"/>
    <col min="2572" max="2572" width="11.85546875" style="216" customWidth="1"/>
    <col min="2573" max="2817" width="9.140625" style="216"/>
    <col min="2818" max="2818" width="2.7109375" style="216" customWidth="1"/>
    <col min="2819" max="2819" width="9.140625" style="216"/>
    <col min="2820" max="2820" width="40.28515625" style="216" bestFit="1" customWidth="1"/>
    <col min="2821" max="2821" width="12.85546875" style="216" customWidth="1"/>
    <col min="2822" max="2822" width="10" style="216" customWidth="1"/>
    <col min="2823" max="2823" width="19.42578125" style="216" customWidth="1"/>
    <col min="2824" max="2824" width="7.7109375" style="216" customWidth="1"/>
    <col min="2825" max="2825" width="12.28515625" style="216" customWidth="1"/>
    <col min="2826" max="2826" width="12.7109375" style="216" customWidth="1"/>
    <col min="2827" max="2827" width="13.5703125" style="216" customWidth="1"/>
    <col min="2828" max="2828" width="11.85546875" style="216" customWidth="1"/>
    <col min="2829" max="3073" width="9.140625" style="216"/>
    <col min="3074" max="3074" width="2.7109375" style="216" customWidth="1"/>
    <col min="3075" max="3075" width="9.140625" style="216"/>
    <col min="3076" max="3076" width="40.28515625" style="216" bestFit="1" customWidth="1"/>
    <col min="3077" max="3077" width="12.85546875" style="216" customWidth="1"/>
    <col min="3078" max="3078" width="10" style="216" customWidth="1"/>
    <col min="3079" max="3079" width="19.42578125" style="216" customWidth="1"/>
    <col min="3080" max="3080" width="7.7109375" style="216" customWidth="1"/>
    <col min="3081" max="3081" width="12.28515625" style="216" customWidth="1"/>
    <col min="3082" max="3082" width="12.7109375" style="216" customWidth="1"/>
    <col min="3083" max="3083" width="13.5703125" style="216" customWidth="1"/>
    <col min="3084" max="3084" width="11.85546875" style="216" customWidth="1"/>
    <col min="3085" max="3329" width="9.140625" style="216"/>
    <col min="3330" max="3330" width="2.7109375" style="216" customWidth="1"/>
    <col min="3331" max="3331" width="9.140625" style="216"/>
    <col min="3332" max="3332" width="40.28515625" style="216" bestFit="1" customWidth="1"/>
    <col min="3333" max="3333" width="12.85546875" style="216" customWidth="1"/>
    <col min="3334" max="3334" width="10" style="216" customWidth="1"/>
    <col min="3335" max="3335" width="19.42578125" style="216" customWidth="1"/>
    <col min="3336" max="3336" width="7.7109375" style="216" customWidth="1"/>
    <col min="3337" max="3337" width="12.28515625" style="216" customWidth="1"/>
    <col min="3338" max="3338" width="12.7109375" style="216" customWidth="1"/>
    <col min="3339" max="3339" width="13.5703125" style="216" customWidth="1"/>
    <col min="3340" max="3340" width="11.85546875" style="216" customWidth="1"/>
    <col min="3341" max="3585" width="9.140625" style="216"/>
    <col min="3586" max="3586" width="2.7109375" style="216" customWidth="1"/>
    <col min="3587" max="3587" width="9.140625" style="216"/>
    <col min="3588" max="3588" width="40.28515625" style="216" bestFit="1" customWidth="1"/>
    <col min="3589" max="3589" width="12.85546875" style="216" customWidth="1"/>
    <col min="3590" max="3590" width="10" style="216" customWidth="1"/>
    <col min="3591" max="3591" width="19.42578125" style="216" customWidth="1"/>
    <col min="3592" max="3592" width="7.7109375" style="216" customWidth="1"/>
    <col min="3593" max="3593" width="12.28515625" style="216" customWidth="1"/>
    <col min="3594" max="3594" width="12.7109375" style="216" customWidth="1"/>
    <col min="3595" max="3595" width="13.5703125" style="216" customWidth="1"/>
    <col min="3596" max="3596" width="11.85546875" style="216" customWidth="1"/>
    <col min="3597" max="3841" width="9.140625" style="216"/>
    <col min="3842" max="3842" width="2.7109375" style="216" customWidth="1"/>
    <col min="3843" max="3843" width="9.140625" style="216"/>
    <col min="3844" max="3844" width="40.28515625" style="216" bestFit="1" customWidth="1"/>
    <col min="3845" max="3845" width="12.85546875" style="216" customWidth="1"/>
    <col min="3846" max="3846" width="10" style="216" customWidth="1"/>
    <col min="3847" max="3847" width="19.42578125" style="216" customWidth="1"/>
    <col min="3848" max="3848" width="7.7109375" style="216" customWidth="1"/>
    <col min="3849" max="3849" width="12.28515625" style="216" customWidth="1"/>
    <col min="3850" max="3850" width="12.7109375" style="216" customWidth="1"/>
    <col min="3851" max="3851" width="13.5703125" style="216" customWidth="1"/>
    <col min="3852" max="3852" width="11.85546875" style="216" customWidth="1"/>
    <col min="3853" max="4097" width="9.140625" style="216"/>
    <col min="4098" max="4098" width="2.7109375" style="216" customWidth="1"/>
    <col min="4099" max="4099" width="9.140625" style="216"/>
    <col min="4100" max="4100" width="40.28515625" style="216" bestFit="1" customWidth="1"/>
    <col min="4101" max="4101" width="12.85546875" style="216" customWidth="1"/>
    <col min="4102" max="4102" width="10" style="216" customWidth="1"/>
    <col min="4103" max="4103" width="19.42578125" style="216" customWidth="1"/>
    <col min="4104" max="4104" width="7.7109375" style="216" customWidth="1"/>
    <col min="4105" max="4105" width="12.28515625" style="216" customWidth="1"/>
    <col min="4106" max="4106" width="12.7109375" style="216" customWidth="1"/>
    <col min="4107" max="4107" width="13.5703125" style="216" customWidth="1"/>
    <col min="4108" max="4108" width="11.85546875" style="216" customWidth="1"/>
    <col min="4109" max="4353" width="9.140625" style="216"/>
    <col min="4354" max="4354" width="2.7109375" style="216" customWidth="1"/>
    <col min="4355" max="4355" width="9.140625" style="216"/>
    <col min="4356" max="4356" width="40.28515625" style="216" bestFit="1" customWidth="1"/>
    <col min="4357" max="4357" width="12.85546875" style="216" customWidth="1"/>
    <col min="4358" max="4358" width="10" style="216" customWidth="1"/>
    <col min="4359" max="4359" width="19.42578125" style="216" customWidth="1"/>
    <col min="4360" max="4360" width="7.7109375" style="216" customWidth="1"/>
    <col min="4361" max="4361" width="12.28515625" style="216" customWidth="1"/>
    <col min="4362" max="4362" width="12.7109375" style="216" customWidth="1"/>
    <col min="4363" max="4363" width="13.5703125" style="216" customWidth="1"/>
    <col min="4364" max="4364" width="11.85546875" style="216" customWidth="1"/>
    <col min="4365" max="4609" width="9.140625" style="216"/>
    <col min="4610" max="4610" width="2.7109375" style="216" customWidth="1"/>
    <col min="4611" max="4611" width="9.140625" style="216"/>
    <col min="4612" max="4612" width="40.28515625" style="216" bestFit="1" customWidth="1"/>
    <col min="4613" max="4613" width="12.85546875" style="216" customWidth="1"/>
    <col min="4614" max="4614" width="10" style="216" customWidth="1"/>
    <col min="4615" max="4615" width="19.42578125" style="216" customWidth="1"/>
    <col min="4616" max="4616" width="7.7109375" style="216" customWidth="1"/>
    <col min="4617" max="4617" width="12.28515625" style="216" customWidth="1"/>
    <col min="4618" max="4618" width="12.7109375" style="216" customWidth="1"/>
    <col min="4619" max="4619" width="13.5703125" style="216" customWidth="1"/>
    <col min="4620" max="4620" width="11.85546875" style="216" customWidth="1"/>
    <col min="4621" max="4865" width="9.140625" style="216"/>
    <col min="4866" max="4866" width="2.7109375" style="216" customWidth="1"/>
    <col min="4867" max="4867" width="9.140625" style="216"/>
    <col min="4868" max="4868" width="40.28515625" style="216" bestFit="1" customWidth="1"/>
    <col min="4869" max="4869" width="12.85546875" style="216" customWidth="1"/>
    <col min="4870" max="4870" width="10" style="216" customWidth="1"/>
    <col min="4871" max="4871" width="19.42578125" style="216" customWidth="1"/>
    <col min="4872" max="4872" width="7.7109375" style="216" customWidth="1"/>
    <col min="4873" max="4873" width="12.28515625" style="216" customWidth="1"/>
    <col min="4874" max="4874" width="12.7109375" style="216" customWidth="1"/>
    <col min="4875" max="4875" width="13.5703125" style="216" customWidth="1"/>
    <col min="4876" max="4876" width="11.85546875" style="216" customWidth="1"/>
    <col min="4877" max="5121" width="9.140625" style="216"/>
    <col min="5122" max="5122" width="2.7109375" style="216" customWidth="1"/>
    <col min="5123" max="5123" width="9.140625" style="216"/>
    <col min="5124" max="5124" width="40.28515625" style="216" bestFit="1" customWidth="1"/>
    <col min="5125" max="5125" width="12.85546875" style="216" customWidth="1"/>
    <col min="5126" max="5126" width="10" style="216" customWidth="1"/>
    <col min="5127" max="5127" width="19.42578125" style="216" customWidth="1"/>
    <col min="5128" max="5128" width="7.7109375" style="216" customWidth="1"/>
    <col min="5129" max="5129" width="12.28515625" style="216" customWidth="1"/>
    <col min="5130" max="5130" width="12.7109375" style="216" customWidth="1"/>
    <col min="5131" max="5131" width="13.5703125" style="216" customWidth="1"/>
    <col min="5132" max="5132" width="11.85546875" style="216" customWidth="1"/>
    <col min="5133" max="5377" width="9.140625" style="216"/>
    <col min="5378" max="5378" width="2.7109375" style="216" customWidth="1"/>
    <col min="5379" max="5379" width="9.140625" style="216"/>
    <col min="5380" max="5380" width="40.28515625" style="216" bestFit="1" customWidth="1"/>
    <col min="5381" max="5381" width="12.85546875" style="216" customWidth="1"/>
    <col min="5382" max="5382" width="10" style="216" customWidth="1"/>
    <col min="5383" max="5383" width="19.42578125" style="216" customWidth="1"/>
    <col min="5384" max="5384" width="7.7109375" style="216" customWidth="1"/>
    <col min="5385" max="5385" width="12.28515625" style="216" customWidth="1"/>
    <col min="5386" max="5386" width="12.7109375" style="216" customWidth="1"/>
    <col min="5387" max="5387" width="13.5703125" style="216" customWidth="1"/>
    <col min="5388" max="5388" width="11.85546875" style="216" customWidth="1"/>
    <col min="5389" max="5633" width="9.140625" style="216"/>
    <col min="5634" max="5634" width="2.7109375" style="216" customWidth="1"/>
    <col min="5635" max="5635" width="9.140625" style="216"/>
    <col min="5636" max="5636" width="40.28515625" style="216" bestFit="1" customWidth="1"/>
    <col min="5637" max="5637" width="12.85546875" style="216" customWidth="1"/>
    <col min="5638" max="5638" width="10" style="216" customWidth="1"/>
    <col min="5639" max="5639" width="19.42578125" style="216" customWidth="1"/>
    <col min="5640" max="5640" width="7.7109375" style="216" customWidth="1"/>
    <col min="5641" max="5641" width="12.28515625" style="216" customWidth="1"/>
    <col min="5642" max="5642" width="12.7109375" style="216" customWidth="1"/>
    <col min="5643" max="5643" width="13.5703125" style="216" customWidth="1"/>
    <col min="5644" max="5644" width="11.85546875" style="216" customWidth="1"/>
    <col min="5645" max="5889" width="9.140625" style="216"/>
    <col min="5890" max="5890" width="2.7109375" style="216" customWidth="1"/>
    <col min="5891" max="5891" width="9.140625" style="216"/>
    <col min="5892" max="5892" width="40.28515625" style="216" bestFit="1" customWidth="1"/>
    <col min="5893" max="5893" width="12.85546875" style="216" customWidth="1"/>
    <col min="5894" max="5894" width="10" style="216" customWidth="1"/>
    <col min="5895" max="5895" width="19.42578125" style="216" customWidth="1"/>
    <col min="5896" max="5896" width="7.7109375" style="216" customWidth="1"/>
    <col min="5897" max="5897" width="12.28515625" style="216" customWidth="1"/>
    <col min="5898" max="5898" width="12.7109375" style="216" customWidth="1"/>
    <col min="5899" max="5899" width="13.5703125" style="216" customWidth="1"/>
    <col min="5900" max="5900" width="11.85546875" style="216" customWidth="1"/>
    <col min="5901" max="6145" width="9.140625" style="216"/>
    <col min="6146" max="6146" width="2.7109375" style="216" customWidth="1"/>
    <col min="6147" max="6147" width="9.140625" style="216"/>
    <col min="6148" max="6148" width="40.28515625" style="216" bestFit="1" customWidth="1"/>
    <col min="6149" max="6149" width="12.85546875" style="216" customWidth="1"/>
    <col min="6150" max="6150" width="10" style="216" customWidth="1"/>
    <col min="6151" max="6151" width="19.42578125" style="216" customWidth="1"/>
    <col min="6152" max="6152" width="7.7109375" style="216" customWidth="1"/>
    <col min="6153" max="6153" width="12.28515625" style="216" customWidth="1"/>
    <col min="6154" max="6154" width="12.7109375" style="216" customWidth="1"/>
    <col min="6155" max="6155" width="13.5703125" style="216" customWidth="1"/>
    <col min="6156" max="6156" width="11.85546875" style="216" customWidth="1"/>
    <col min="6157" max="6401" width="9.140625" style="216"/>
    <col min="6402" max="6402" width="2.7109375" style="216" customWidth="1"/>
    <col min="6403" max="6403" width="9.140625" style="216"/>
    <col min="6404" max="6404" width="40.28515625" style="216" bestFit="1" customWidth="1"/>
    <col min="6405" max="6405" width="12.85546875" style="216" customWidth="1"/>
    <col min="6406" max="6406" width="10" style="216" customWidth="1"/>
    <col min="6407" max="6407" width="19.42578125" style="216" customWidth="1"/>
    <col min="6408" max="6408" width="7.7109375" style="216" customWidth="1"/>
    <col min="6409" max="6409" width="12.28515625" style="216" customWidth="1"/>
    <col min="6410" max="6410" width="12.7109375" style="216" customWidth="1"/>
    <col min="6411" max="6411" width="13.5703125" style="216" customWidth="1"/>
    <col min="6412" max="6412" width="11.85546875" style="216" customWidth="1"/>
    <col min="6413" max="6657" width="9.140625" style="216"/>
    <col min="6658" max="6658" width="2.7109375" style="216" customWidth="1"/>
    <col min="6659" max="6659" width="9.140625" style="216"/>
    <col min="6660" max="6660" width="40.28515625" style="216" bestFit="1" customWidth="1"/>
    <col min="6661" max="6661" width="12.85546875" style="216" customWidth="1"/>
    <col min="6662" max="6662" width="10" style="216" customWidth="1"/>
    <col min="6663" max="6663" width="19.42578125" style="216" customWidth="1"/>
    <col min="6664" max="6664" width="7.7109375" style="216" customWidth="1"/>
    <col min="6665" max="6665" width="12.28515625" style="216" customWidth="1"/>
    <col min="6666" max="6666" width="12.7109375" style="216" customWidth="1"/>
    <col min="6667" max="6667" width="13.5703125" style="216" customWidth="1"/>
    <col min="6668" max="6668" width="11.85546875" style="216" customWidth="1"/>
    <col min="6669" max="6913" width="9.140625" style="216"/>
    <col min="6914" max="6914" width="2.7109375" style="216" customWidth="1"/>
    <col min="6915" max="6915" width="9.140625" style="216"/>
    <col min="6916" max="6916" width="40.28515625" style="216" bestFit="1" customWidth="1"/>
    <col min="6917" max="6917" width="12.85546875" style="216" customWidth="1"/>
    <col min="6918" max="6918" width="10" style="216" customWidth="1"/>
    <col min="6919" max="6919" width="19.42578125" style="216" customWidth="1"/>
    <col min="6920" max="6920" width="7.7109375" style="216" customWidth="1"/>
    <col min="6921" max="6921" width="12.28515625" style="216" customWidth="1"/>
    <col min="6922" max="6922" width="12.7109375" style="216" customWidth="1"/>
    <col min="6923" max="6923" width="13.5703125" style="216" customWidth="1"/>
    <col min="6924" max="6924" width="11.85546875" style="216" customWidth="1"/>
    <col min="6925" max="7169" width="9.140625" style="216"/>
    <col min="7170" max="7170" width="2.7109375" style="216" customWidth="1"/>
    <col min="7171" max="7171" width="9.140625" style="216"/>
    <col min="7172" max="7172" width="40.28515625" style="216" bestFit="1" customWidth="1"/>
    <col min="7173" max="7173" width="12.85546875" style="216" customWidth="1"/>
    <col min="7174" max="7174" width="10" style="216" customWidth="1"/>
    <col min="7175" max="7175" width="19.42578125" style="216" customWidth="1"/>
    <col min="7176" max="7176" width="7.7109375" style="216" customWidth="1"/>
    <col min="7177" max="7177" width="12.28515625" style="216" customWidth="1"/>
    <col min="7178" max="7178" width="12.7109375" style="216" customWidth="1"/>
    <col min="7179" max="7179" width="13.5703125" style="216" customWidth="1"/>
    <col min="7180" max="7180" width="11.85546875" style="216" customWidth="1"/>
    <col min="7181" max="7425" width="9.140625" style="216"/>
    <col min="7426" max="7426" width="2.7109375" style="216" customWidth="1"/>
    <col min="7427" max="7427" width="9.140625" style="216"/>
    <col min="7428" max="7428" width="40.28515625" style="216" bestFit="1" customWidth="1"/>
    <col min="7429" max="7429" width="12.85546875" style="216" customWidth="1"/>
    <col min="7430" max="7430" width="10" style="216" customWidth="1"/>
    <col min="7431" max="7431" width="19.42578125" style="216" customWidth="1"/>
    <col min="7432" max="7432" width="7.7109375" style="216" customWidth="1"/>
    <col min="7433" max="7433" width="12.28515625" style="216" customWidth="1"/>
    <col min="7434" max="7434" width="12.7109375" style="216" customWidth="1"/>
    <col min="7435" max="7435" width="13.5703125" style="216" customWidth="1"/>
    <col min="7436" max="7436" width="11.85546875" style="216" customWidth="1"/>
    <col min="7437" max="7681" width="9.140625" style="216"/>
    <col min="7682" max="7682" width="2.7109375" style="216" customWidth="1"/>
    <col min="7683" max="7683" width="9.140625" style="216"/>
    <col min="7684" max="7684" width="40.28515625" style="216" bestFit="1" customWidth="1"/>
    <col min="7685" max="7685" width="12.85546875" style="216" customWidth="1"/>
    <col min="7686" max="7686" width="10" style="216" customWidth="1"/>
    <col min="7687" max="7687" width="19.42578125" style="216" customWidth="1"/>
    <col min="7688" max="7688" width="7.7109375" style="216" customWidth="1"/>
    <col min="7689" max="7689" width="12.28515625" style="216" customWidth="1"/>
    <col min="7690" max="7690" width="12.7109375" style="216" customWidth="1"/>
    <col min="7691" max="7691" width="13.5703125" style="216" customWidth="1"/>
    <col min="7692" max="7692" width="11.85546875" style="216" customWidth="1"/>
    <col min="7693" max="7937" width="9.140625" style="216"/>
    <col min="7938" max="7938" width="2.7109375" style="216" customWidth="1"/>
    <col min="7939" max="7939" width="9.140625" style="216"/>
    <col min="7940" max="7940" width="40.28515625" style="216" bestFit="1" customWidth="1"/>
    <col min="7941" max="7941" width="12.85546875" style="216" customWidth="1"/>
    <col min="7942" max="7942" width="10" style="216" customWidth="1"/>
    <col min="7943" max="7943" width="19.42578125" style="216" customWidth="1"/>
    <col min="7944" max="7944" width="7.7109375" style="216" customWidth="1"/>
    <col min="7945" max="7945" width="12.28515625" style="216" customWidth="1"/>
    <col min="7946" max="7946" width="12.7109375" style="216" customWidth="1"/>
    <col min="7947" max="7947" width="13.5703125" style="216" customWidth="1"/>
    <col min="7948" max="7948" width="11.85546875" style="216" customWidth="1"/>
    <col min="7949" max="8193" width="9.140625" style="216"/>
    <col min="8194" max="8194" width="2.7109375" style="216" customWidth="1"/>
    <col min="8195" max="8195" width="9.140625" style="216"/>
    <col min="8196" max="8196" width="40.28515625" style="216" bestFit="1" customWidth="1"/>
    <col min="8197" max="8197" width="12.85546875" style="216" customWidth="1"/>
    <col min="8198" max="8198" width="10" style="216" customWidth="1"/>
    <col min="8199" max="8199" width="19.42578125" style="216" customWidth="1"/>
    <col min="8200" max="8200" width="7.7109375" style="216" customWidth="1"/>
    <col min="8201" max="8201" width="12.28515625" style="216" customWidth="1"/>
    <col min="8202" max="8202" width="12.7109375" style="216" customWidth="1"/>
    <col min="8203" max="8203" width="13.5703125" style="216" customWidth="1"/>
    <col min="8204" max="8204" width="11.85546875" style="216" customWidth="1"/>
    <col min="8205" max="8449" width="9.140625" style="216"/>
    <col min="8450" max="8450" width="2.7109375" style="216" customWidth="1"/>
    <col min="8451" max="8451" width="9.140625" style="216"/>
    <col min="8452" max="8452" width="40.28515625" style="216" bestFit="1" customWidth="1"/>
    <col min="8453" max="8453" width="12.85546875" style="216" customWidth="1"/>
    <col min="8454" max="8454" width="10" style="216" customWidth="1"/>
    <col min="8455" max="8455" width="19.42578125" style="216" customWidth="1"/>
    <col min="8456" max="8456" width="7.7109375" style="216" customWidth="1"/>
    <col min="8457" max="8457" width="12.28515625" style="216" customWidth="1"/>
    <col min="8458" max="8458" width="12.7109375" style="216" customWidth="1"/>
    <col min="8459" max="8459" width="13.5703125" style="216" customWidth="1"/>
    <col min="8460" max="8460" width="11.85546875" style="216" customWidth="1"/>
    <col min="8461" max="8705" width="9.140625" style="216"/>
    <col min="8706" max="8706" width="2.7109375" style="216" customWidth="1"/>
    <col min="8707" max="8707" width="9.140625" style="216"/>
    <col min="8708" max="8708" width="40.28515625" style="216" bestFit="1" customWidth="1"/>
    <col min="8709" max="8709" width="12.85546875" style="216" customWidth="1"/>
    <col min="8710" max="8710" width="10" style="216" customWidth="1"/>
    <col min="8711" max="8711" width="19.42578125" style="216" customWidth="1"/>
    <col min="8712" max="8712" width="7.7109375" style="216" customWidth="1"/>
    <col min="8713" max="8713" width="12.28515625" style="216" customWidth="1"/>
    <col min="8714" max="8714" width="12.7109375" style="216" customWidth="1"/>
    <col min="8715" max="8715" width="13.5703125" style="216" customWidth="1"/>
    <col min="8716" max="8716" width="11.85546875" style="216" customWidth="1"/>
    <col min="8717" max="8961" width="9.140625" style="216"/>
    <col min="8962" max="8962" width="2.7109375" style="216" customWidth="1"/>
    <col min="8963" max="8963" width="9.140625" style="216"/>
    <col min="8964" max="8964" width="40.28515625" style="216" bestFit="1" customWidth="1"/>
    <col min="8965" max="8965" width="12.85546875" style="216" customWidth="1"/>
    <col min="8966" max="8966" width="10" style="216" customWidth="1"/>
    <col min="8967" max="8967" width="19.42578125" style="216" customWidth="1"/>
    <col min="8968" max="8968" width="7.7109375" style="216" customWidth="1"/>
    <col min="8969" max="8969" width="12.28515625" style="216" customWidth="1"/>
    <col min="8970" max="8970" width="12.7109375" style="216" customWidth="1"/>
    <col min="8971" max="8971" width="13.5703125" style="216" customWidth="1"/>
    <col min="8972" max="8972" width="11.85546875" style="216" customWidth="1"/>
    <col min="8973" max="9217" width="9.140625" style="216"/>
    <col min="9218" max="9218" width="2.7109375" style="216" customWidth="1"/>
    <col min="9219" max="9219" width="9.140625" style="216"/>
    <col min="9220" max="9220" width="40.28515625" style="216" bestFit="1" customWidth="1"/>
    <col min="9221" max="9221" width="12.85546875" style="216" customWidth="1"/>
    <col min="9222" max="9222" width="10" style="216" customWidth="1"/>
    <col min="9223" max="9223" width="19.42578125" style="216" customWidth="1"/>
    <col min="9224" max="9224" width="7.7109375" style="216" customWidth="1"/>
    <col min="9225" max="9225" width="12.28515625" style="216" customWidth="1"/>
    <col min="9226" max="9226" width="12.7109375" style="216" customWidth="1"/>
    <col min="9227" max="9227" width="13.5703125" style="216" customWidth="1"/>
    <col min="9228" max="9228" width="11.85546875" style="216" customWidth="1"/>
    <col min="9229" max="9473" width="9.140625" style="216"/>
    <col min="9474" max="9474" width="2.7109375" style="216" customWidth="1"/>
    <col min="9475" max="9475" width="9.140625" style="216"/>
    <col min="9476" max="9476" width="40.28515625" style="216" bestFit="1" customWidth="1"/>
    <col min="9477" max="9477" width="12.85546875" style="216" customWidth="1"/>
    <col min="9478" max="9478" width="10" style="216" customWidth="1"/>
    <col min="9479" max="9479" width="19.42578125" style="216" customWidth="1"/>
    <col min="9480" max="9480" width="7.7109375" style="216" customWidth="1"/>
    <col min="9481" max="9481" width="12.28515625" style="216" customWidth="1"/>
    <col min="9482" max="9482" width="12.7109375" style="216" customWidth="1"/>
    <col min="9483" max="9483" width="13.5703125" style="216" customWidth="1"/>
    <col min="9484" max="9484" width="11.85546875" style="216" customWidth="1"/>
    <col min="9485" max="9729" width="9.140625" style="216"/>
    <col min="9730" max="9730" width="2.7109375" style="216" customWidth="1"/>
    <col min="9731" max="9731" width="9.140625" style="216"/>
    <col min="9732" max="9732" width="40.28515625" style="216" bestFit="1" customWidth="1"/>
    <col min="9733" max="9733" width="12.85546875" style="216" customWidth="1"/>
    <col min="9734" max="9734" width="10" style="216" customWidth="1"/>
    <col min="9735" max="9735" width="19.42578125" style="216" customWidth="1"/>
    <col min="9736" max="9736" width="7.7109375" style="216" customWidth="1"/>
    <col min="9737" max="9737" width="12.28515625" style="216" customWidth="1"/>
    <col min="9738" max="9738" width="12.7109375" style="216" customWidth="1"/>
    <col min="9739" max="9739" width="13.5703125" style="216" customWidth="1"/>
    <col min="9740" max="9740" width="11.85546875" style="216" customWidth="1"/>
    <col min="9741" max="9985" width="9.140625" style="216"/>
    <col min="9986" max="9986" width="2.7109375" style="216" customWidth="1"/>
    <col min="9987" max="9987" width="9.140625" style="216"/>
    <col min="9988" max="9988" width="40.28515625" style="216" bestFit="1" customWidth="1"/>
    <col min="9989" max="9989" width="12.85546875" style="216" customWidth="1"/>
    <col min="9990" max="9990" width="10" style="216" customWidth="1"/>
    <col min="9991" max="9991" width="19.42578125" style="216" customWidth="1"/>
    <col min="9992" max="9992" width="7.7109375" style="216" customWidth="1"/>
    <col min="9993" max="9993" width="12.28515625" style="216" customWidth="1"/>
    <col min="9994" max="9994" width="12.7109375" style="216" customWidth="1"/>
    <col min="9995" max="9995" width="13.5703125" style="216" customWidth="1"/>
    <col min="9996" max="9996" width="11.85546875" style="216" customWidth="1"/>
    <col min="9997" max="10241" width="9.140625" style="216"/>
    <col min="10242" max="10242" width="2.7109375" style="216" customWidth="1"/>
    <col min="10243" max="10243" width="9.140625" style="216"/>
    <col min="10244" max="10244" width="40.28515625" style="216" bestFit="1" customWidth="1"/>
    <col min="10245" max="10245" width="12.85546875" style="216" customWidth="1"/>
    <col min="10246" max="10246" width="10" style="216" customWidth="1"/>
    <col min="10247" max="10247" width="19.42578125" style="216" customWidth="1"/>
    <col min="10248" max="10248" width="7.7109375" style="216" customWidth="1"/>
    <col min="10249" max="10249" width="12.28515625" style="216" customWidth="1"/>
    <col min="10250" max="10250" width="12.7109375" style="216" customWidth="1"/>
    <col min="10251" max="10251" width="13.5703125" style="216" customWidth="1"/>
    <col min="10252" max="10252" width="11.85546875" style="216" customWidth="1"/>
    <col min="10253" max="10497" width="9.140625" style="216"/>
    <col min="10498" max="10498" width="2.7109375" style="216" customWidth="1"/>
    <col min="10499" max="10499" width="9.140625" style="216"/>
    <col min="10500" max="10500" width="40.28515625" style="216" bestFit="1" customWidth="1"/>
    <col min="10501" max="10501" width="12.85546875" style="216" customWidth="1"/>
    <col min="10502" max="10502" width="10" style="216" customWidth="1"/>
    <col min="10503" max="10503" width="19.42578125" style="216" customWidth="1"/>
    <col min="10504" max="10504" width="7.7109375" style="216" customWidth="1"/>
    <col min="10505" max="10505" width="12.28515625" style="216" customWidth="1"/>
    <col min="10506" max="10506" width="12.7109375" style="216" customWidth="1"/>
    <col min="10507" max="10507" width="13.5703125" style="216" customWidth="1"/>
    <col min="10508" max="10508" width="11.85546875" style="216" customWidth="1"/>
    <col min="10509" max="10753" width="9.140625" style="216"/>
    <col min="10754" max="10754" width="2.7109375" style="216" customWidth="1"/>
    <col min="10755" max="10755" width="9.140625" style="216"/>
    <col min="10756" max="10756" width="40.28515625" style="216" bestFit="1" customWidth="1"/>
    <col min="10757" max="10757" width="12.85546875" style="216" customWidth="1"/>
    <col min="10758" max="10758" width="10" style="216" customWidth="1"/>
    <col min="10759" max="10759" width="19.42578125" style="216" customWidth="1"/>
    <col min="10760" max="10760" width="7.7109375" style="216" customWidth="1"/>
    <col min="10761" max="10761" width="12.28515625" style="216" customWidth="1"/>
    <col min="10762" max="10762" width="12.7109375" style="216" customWidth="1"/>
    <col min="10763" max="10763" width="13.5703125" style="216" customWidth="1"/>
    <col min="10764" max="10764" width="11.85546875" style="216" customWidth="1"/>
    <col min="10765" max="11009" width="9.140625" style="216"/>
    <col min="11010" max="11010" width="2.7109375" style="216" customWidth="1"/>
    <col min="11011" max="11011" width="9.140625" style="216"/>
    <col min="11012" max="11012" width="40.28515625" style="216" bestFit="1" customWidth="1"/>
    <col min="11013" max="11013" width="12.85546875" style="216" customWidth="1"/>
    <col min="11014" max="11014" width="10" style="216" customWidth="1"/>
    <col min="11015" max="11015" width="19.42578125" style="216" customWidth="1"/>
    <col min="11016" max="11016" width="7.7109375" style="216" customWidth="1"/>
    <col min="11017" max="11017" width="12.28515625" style="216" customWidth="1"/>
    <col min="11018" max="11018" width="12.7109375" style="216" customWidth="1"/>
    <col min="11019" max="11019" width="13.5703125" style="216" customWidth="1"/>
    <col min="11020" max="11020" width="11.85546875" style="216" customWidth="1"/>
    <col min="11021" max="11265" width="9.140625" style="216"/>
    <col min="11266" max="11266" width="2.7109375" style="216" customWidth="1"/>
    <col min="11267" max="11267" width="9.140625" style="216"/>
    <col min="11268" max="11268" width="40.28515625" style="216" bestFit="1" customWidth="1"/>
    <col min="11269" max="11269" width="12.85546875" style="216" customWidth="1"/>
    <col min="11270" max="11270" width="10" style="216" customWidth="1"/>
    <col min="11271" max="11271" width="19.42578125" style="216" customWidth="1"/>
    <col min="11272" max="11272" width="7.7109375" style="216" customWidth="1"/>
    <col min="11273" max="11273" width="12.28515625" style="216" customWidth="1"/>
    <col min="11274" max="11274" width="12.7109375" style="216" customWidth="1"/>
    <col min="11275" max="11275" width="13.5703125" style="216" customWidth="1"/>
    <col min="11276" max="11276" width="11.85546875" style="216" customWidth="1"/>
    <col min="11277" max="11521" width="9.140625" style="216"/>
    <col min="11522" max="11522" width="2.7109375" style="216" customWidth="1"/>
    <col min="11523" max="11523" width="9.140625" style="216"/>
    <col min="11524" max="11524" width="40.28515625" style="216" bestFit="1" customWidth="1"/>
    <col min="11525" max="11525" width="12.85546875" style="216" customWidth="1"/>
    <col min="11526" max="11526" width="10" style="216" customWidth="1"/>
    <col min="11527" max="11527" width="19.42578125" style="216" customWidth="1"/>
    <col min="11528" max="11528" width="7.7109375" style="216" customWidth="1"/>
    <col min="11529" max="11529" width="12.28515625" style="216" customWidth="1"/>
    <col min="11530" max="11530" width="12.7109375" style="216" customWidth="1"/>
    <col min="11531" max="11531" width="13.5703125" style="216" customWidth="1"/>
    <col min="11532" max="11532" width="11.85546875" style="216" customWidth="1"/>
    <col min="11533" max="11777" width="9.140625" style="216"/>
    <col min="11778" max="11778" width="2.7109375" style="216" customWidth="1"/>
    <col min="11779" max="11779" width="9.140625" style="216"/>
    <col min="11780" max="11780" width="40.28515625" style="216" bestFit="1" customWidth="1"/>
    <col min="11781" max="11781" width="12.85546875" style="216" customWidth="1"/>
    <col min="11782" max="11782" width="10" style="216" customWidth="1"/>
    <col min="11783" max="11783" width="19.42578125" style="216" customWidth="1"/>
    <col min="11784" max="11784" width="7.7109375" style="216" customWidth="1"/>
    <col min="11785" max="11785" width="12.28515625" style="216" customWidth="1"/>
    <col min="11786" max="11786" width="12.7109375" style="216" customWidth="1"/>
    <col min="11787" max="11787" width="13.5703125" style="216" customWidth="1"/>
    <col min="11788" max="11788" width="11.85546875" style="216" customWidth="1"/>
    <col min="11789" max="12033" width="9.140625" style="216"/>
    <col min="12034" max="12034" width="2.7109375" style="216" customWidth="1"/>
    <col min="12035" max="12035" width="9.140625" style="216"/>
    <col min="12036" max="12036" width="40.28515625" style="216" bestFit="1" customWidth="1"/>
    <col min="12037" max="12037" width="12.85546875" style="216" customWidth="1"/>
    <col min="12038" max="12038" width="10" style="216" customWidth="1"/>
    <col min="12039" max="12039" width="19.42578125" style="216" customWidth="1"/>
    <col min="12040" max="12040" width="7.7109375" style="216" customWidth="1"/>
    <col min="12041" max="12041" width="12.28515625" style="216" customWidth="1"/>
    <col min="12042" max="12042" width="12.7109375" style="216" customWidth="1"/>
    <col min="12043" max="12043" width="13.5703125" style="216" customWidth="1"/>
    <col min="12044" max="12044" width="11.85546875" style="216" customWidth="1"/>
    <col min="12045" max="12289" width="9.140625" style="216"/>
    <col min="12290" max="12290" width="2.7109375" style="216" customWidth="1"/>
    <col min="12291" max="12291" width="9.140625" style="216"/>
    <col min="12292" max="12292" width="40.28515625" style="216" bestFit="1" customWidth="1"/>
    <col min="12293" max="12293" width="12.85546875" style="216" customWidth="1"/>
    <col min="12294" max="12294" width="10" style="216" customWidth="1"/>
    <col min="12295" max="12295" width="19.42578125" style="216" customWidth="1"/>
    <col min="12296" max="12296" width="7.7109375" style="216" customWidth="1"/>
    <col min="12297" max="12297" width="12.28515625" style="216" customWidth="1"/>
    <col min="12298" max="12298" width="12.7109375" style="216" customWidth="1"/>
    <col min="12299" max="12299" width="13.5703125" style="216" customWidth="1"/>
    <col min="12300" max="12300" width="11.85546875" style="216" customWidth="1"/>
    <col min="12301" max="12545" width="9.140625" style="216"/>
    <col min="12546" max="12546" width="2.7109375" style="216" customWidth="1"/>
    <col min="12547" max="12547" width="9.140625" style="216"/>
    <col min="12548" max="12548" width="40.28515625" style="216" bestFit="1" customWidth="1"/>
    <col min="12549" max="12549" width="12.85546875" style="216" customWidth="1"/>
    <col min="12550" max="12550" width="10" style="216" customWidth="1"/>
    <col min="12551" max="12551" width="19.42578125" style="216" customWidth="1"/>
    <col min="12552" max="12552" width="7.7109375" style="216" customWidth="1"/>
    <col min="12553" max="12553" width="12.28515625" style="216" customWidth="1"/>
    <col min="12554" max="12554" width="12.7109375" style="216" customWidth="1"/>
    <col min="12555" max="12555" width="13.5703125" style="216" customWidth="1"/>
    <col min="12556" max="12556" width="11.85546875" style="216" customWidth="1"/>
    <col min="12557" max="12801" width="9.140625" style="216"/>
    <col min="12802" max="12802" width="2.7109375" style="216" customWidth="1"/>
    <col min="12803" max="12803" width="9.140625" style="216"/>
    <col min="12804" max="12804" width="40.28515625" style="216" bestFit="1" customWidth="1"/>
    <col min="12805" max="12805" width="12.85546875" style="216" customWidth="1"/>
    <col min="12806" max="12806" width="10" style="216" customWidth="1"/>
    <col min="12807" max="12807" width="19.42578125" style="216" customWidth="1"/>
    <col min="12808" max="12808" width="7.7109375" style="216" customWidth="1"/>
    <col min="12809" max="12809" width="12.28515625" style="216" customWidth="1"/>
    <col min="12810" max="12810" width="12.7109375" style="216" customWidth="1"/>
    <col min="12811" max="12811" width="13.5703125" style="216" customWidth="1"/>
    <col min="12812" max="12812" width="11.85546875" style="216" customWidth="1"/>
    <col min="12813" max="13057" width="9.140625" style="216"/>
    <col min="13058" max="13058" width="2.7109375" style="216" customWidth="1"/>
    <col min="13059" max="13059" width="9.140625" style="216"/>
    <col min="13060" max="13060" width="40.28515625" style="216" bestFit="1" customWidth="1"/>
    <col min="13061" max="13061" width="12.85546875" style="216" customWidth="1"/>
    <col min="13062" max="13062" width="10" style="216" customWidth="1"/>
    <col min="13063" max="13063" width="19.42578125" style="216" customWidth="1"/>
    <col min="13064" max="13064" width="7.7109375" style="216" customWidth="1"/>
    <col min="13065" max="13065" width="12.28515625" style="216" customWidth="1"/>
    <col min="13066" max="13066" width="12.7109375" style="216" customWidth="1"/>
    <col min="13067" max="13067" width="13.5703125" style="216" customWidth="1"/>
    <col min="13068" max="13068" width="11.85546875" style="216" customWidth="1"/>
    <col min="13069" max="13313" width="9.140625" style="216"/>
    <col min="13314" max="13314" width="2.7109375" style="216" customWidth="1"/>
    <col min="13315" max="13315" width="9.140625" style="216"/>
    <col min="13316" max="13316" width="40.28515625" style="216" bestFit="1" customWidth="1"/>
    <col min="13317" max="13317" width="12.85546875" style="216" customWidth="1"/>
    <col min="13318" max="13318" width="10" style="216" customWidth="1"/>
    <col min="13319" max="13319" width="19.42578125" style="216" customWidth="1"/>
    <col min="13320" max="13320" width="7.7109375" style="216" customWidth="1"/>
    <col min="13321" max="13321" width="12.28515625" style="216" customWidth="1"/>
    <col min="13322" max="13322" width="12.7109375" style="216" customWidth="1"/>
    <col min="13323" max="13323" width="13.5703125" style="216" customWidth="1"/>
    <col min="13324" max="13324" width="11.85546875" style="216" customWidth="1"/>
    <col min="13325" max="13569" width="9.140625" style="216"/>
    <col min="13570" max="13570" width="2.7109375" style="216" customWidth="1"/>
    <col min="13571" max="13571" width="9.140625" style="216"/>
    <col min="13572" max="13572" width="40.28515625" style="216" bestFit="1" customWidth="1"/>
    <col min="13573" max="13573" width="12.85546875" style="216" customWidth="1"/>
    <col min="13574" max="13574" width="10" style="216" customWidth="1"/>
    <col min="13575" max="13575" width="19.42578125" style="216" customWidth="1"/>
    <col min="13576" max="13576" width="7.7109375" style="216" customWidth="1"/>
    <col min="13577" max="13577" width="12.28515625" style="216" customWidth="1"/>
    <col min="13578" max="13578" width="12.7109375" style="216" customWidth="1"/>
    <col min="13579" max="13579" width="13.5703125" style="216" customWidth="1"/>
    <col min="13580" max="13580" width="11.85546875" style="216" customWidth="1"/>
    <col min="13581" max="13825" width="9.140625" style="216"/>
    <col min="13826" max="13826" width="2.7109375" style="216" customWidth="1"/>
    <col min="13827" max="13827" width="9.140625" style="216"/>
    <col min="13828" max="13828" width="40.28515625" style="216" bestFit="1" customWidth="1"/>
    <col min="13829" max="13829" width="12.85546875" style="216" customWidth="1"/>
    <col min="13830" max="13830" width="10" style="216" customWidth="1"/>
    <col min="13831" max="13831" width="19.42578125" style="216" customWidth="1"/>
    <col min="13832" max="13832" width="7.7109375" style="216" customWidth="1"/>
    <col min="13833" max="13833" width="12.28515625" style="216" customWidth="1"/>
    <col min="13834" max="13834" width="12.7109375" style="216" customWidth="1"/>
    <col min="13835" max="13835" width="13.5703125" style="216" customWidth="1"/>
    <col min="13836" max="13836" width="11.85546875" style="216" customWidth="1"/>
    <col min="13837" max="14081" width="9.140625" style="216"/>
    <col min="14082" max="14082" width="2.7109375" style="216" customWidth="1"/>
    <col min="14083" max="14083" width="9.140625" style="216"/>
    <col min="14084" max="14084" width="40.28515625" style="216" bestFit="1" customWidth="1"/>
    <col min="14085" max="14085" width="12.85546875" style="216" customWidth="1"/>
    <col min="14086" max="14086" width="10" style="216" customWidth="1"/>
    <col min="14087" max="14087" width="19.42578125" style="216" customWidth="1"/>
    <col min="14088" max="14088" width="7.7109375" style="216" customWidth="1"/>
    <col min="14089" max="14089" width="12.28515625" style="216" customWidth="1"/>
    <col min="14090" max="14090" width="12.7109375" style="216" customWidth="1"/>
    <col min="14091" max="14091" width="13.5703125" style="216" customWidth="1"/>
    <col min="14092" max="14092" width="11.85546875" style="216" customWidth="1"/>
    <col min="14093" max="14337" width="9.140625" style="216"/>
    <col min="14338" max="14338" width="2.7109375" style="216" customWidth="1"/>
    <col min="14339" max="14339" width="9.140625" style="216"/>
    <col min="14340" max="14340" width="40.28515625" style="216" bestFit="1" customWidth="1"/>
    <col min="14341" max="14341" width="12.85546875" style="216" customWidth="1"/>
    <col min="14342" max="14342" width="10" style="216" customWidth="1"/>
    <col min="14343" max="14343" width="19.42578125" style="216" customWidth="1"/>
    <col min="14344" max="14344" width="7.7109375" style="216" customWidth="1"/>
    <col min="14345" max="14345" width="12.28515625" style="216" customWidth="1"/>
    <col min="14346" max="14346" width="12.7109375" style="216" customWidth="1"/>
    <col min="14347" max="14347" width="13.5703125" style="216" customWidth="1"/>
    <col min="14348" max="14348" width="11.85546875" style="216" customWidth="1"/>
    <col min="14349" max="14593" width="9.140625" style="216"/>
    <col min="14594" max="14594" width="2.7109375" style="216" customWidth="1"/>
    <col min="14595" max="14595" width="9.140625" style="216"/>
    <col min="14596" max="14596" width="40.28515625" style="216" bestFit="1" customWidth="1"/>
    <col min="14597" max="14597" width="12.85546875" style="216" customWidth="1"/>
    <col min="14598" max="14598" width="10" style="216" customWidth="1"/>
    <col min="14599" max="14599" width="19.42578125" style="216" customWidth="1"/>
    <col min="14600" max="14600" width="7.7109375" style="216" customWidth="1"/>
    <col min="14601" max="14601" width="12.28515625" style="216" customWidth="1"/>
    <col min="14602" max="14602" width="12.7109375" style="216" customWidth="1"/>
    <col min="14603" max="14603" width="13.5703125" style="216" customWidth="1"/>
    <col min="14604" max="14604" width="11.85546875" style="216" customWidth="1"/>
    <col min="14605" max="14849" width="9.140625" style="216"/>
    <col min="14850" max="14850" width="2.7109375" style="216" customWidth="1"/>
    <col min="14851" max="14851" width="9.140625" style="216"/>
    <col min="14852" max="14852" width="40.28515625" style="216" bestFit="1" customWidth="1"/>
    <col min="14853" max="14853" width="12.85546875" style="216" customWidth="1"/>
    <col min="14854" max="14854" width="10" style="216" customWidth="1"/>
    <col min="14855" max="14855" width="19.42578125" style="216" customWidth="1"/>
    <col min="14856" max="14856" width="7.7109375" style="216" customWidth="1"/>
    <col min="14857" max="14857" width="12.28515625" style="216" customWidth="1"/>
    <col min="14858" max="14858" width="12.7109375" style="216" customWidth="1"/>
    <col min="14859" max="14859" width="13.5703125" style="216" customWidth="1"/>
    <col min="14860" max="14860" width="11.85546875" style="216" customWidth="1"/>
    <col min="14861" max="15105" width="9.140625" style="216"/>
    <col min="15106" max="15106" width="2.7109375" style="216" customWidth="1"/>
    <col min="15107" max="15107" width="9.140625" style="216"/>
    <col min="15108" max="15108" width="40.28515625" style="216" bestFit="1" customWidth="1"/>
    <col min="15109" max="15109" width="12.85546875" style="216" customWidth="1"/>
    <col min="15110" max="15110" width="10" style="216" customWidth="1"/>
    <col min="15111" max="15111" width="19.42578125" style="216" customWidth="1"/>
    <col min="15112" max="15112" width="7.7109375" style="216" customWidth="1"/>
    <col min="15113" max="15113" width="12.28515625" style="216" customWidth="1"/>
    <col min="15114" max="15114" width="12.7109375" style="216" customWidth="1"/>
    <col min="15115" max="15115" width="13.5703125" style="216" customWidth="1"/>
    <col min="15116" max="15116" width="11.85546875" style="216" customWidth="1"/>
    <col min="15117" max="15361" width="9.140625" style="216"/>
    <col min="15362" max="15362" width="2.7109375" style="216" customWidth="1"/>
    <col min="15363" max="15363" width="9.140625" style="216"/>
    <col min="15364" max="15364" width="40.28515625" style="216" bestFit="1" customWidth="1"/>
    <col min="15365" max="15365" width="12.85546875" style="216" customWidth="1"/>
    <col min="15366" max="15366" width="10" style="216" customWidth="1"/>
    <col min="15367" max="15367" width="19.42578125" style="216" customWidth="1"/>
    <col min="15368" max="15368" width="7.7109375" style="216" customWidth="1"/>
    <col min="15369" max="15369" width="12.28515625" style="216" customWidth="1"/>
    <col min="15370" max="15370" width="12.7109375" style="216" customWidth="1"/>
    <col min="15371" max="15371" width="13.5703125" style="216" customWidth="1"/>
    <col min="15372" max="15372" width="11.85546875" style="216" customWidth="1"/>
    <col min="15373" max="15617" width="9.140625" style="216"/>
    <col min="15618" max="15618" width="2.7109375" style="216" customWidth="1"/>
    <col min="15619" max="15619" width="9.140625" style="216"/>
    <col min="15620" max="15620" width="40.28515625" style="216" bestFit="1" customWidth="1"/>
    <col min="15621" max="15621" width="12.85546875" style="216" customWidth="1"/>
    <col min="15622" max="15622" width="10" style="216" customWidth="1"/>
    <col min="15623" max="15623" width="19.42578125" style="216" customWidth="1"/>
    <col min="15624" max="15624" width="7.7109375" style="216" customWidth="1"/>
    <col min="15625" max="15625" width="12.28515625" style="216" customWidth="1"/>
    <col min="15626" max="15626" width="12.7109375" style="216" customWidth="1"/>
    <col min="15627" max="15627" width="13.5703125" style="216" customWidth="1"/>
    <col min="15628" max="15628" width="11.85546875" style="216" customWidth="1"/>
    <col min="15629" max="15873" width="9.140625" style="216"/>
    <col min="15874" max="15874" width="2.7109375" style="216" customWidth="1"/>
    <col min="15875" max="15875" width="9.140625" style="216"/>
    <col min="15876" max="15876" width="40.28515625" style="216" bestFit="1" customWidth="1"/>
    <col min="15877" max="15877" width="12.85546875" style="216" customWidth="1"/>
    <col min="15878" max="15878" width="10" style="216" customWidth="1"/>
    <col min="15879" max="15879" width="19.42578125" style="216" customWidth="1"/>
    <col min="15880" max="15880" width="7.7109375" style="216" customWidth="1"/>
    <col min="15881" max="15881" width="12.28515625" style="216" customWidth="1"/>
    <col min="15882" max="15882" width="12.7109375" style="216" customWidth="1"/>
    <col min="15883" max="15883" width="13.5703125" style="216" customWidth="1"/>
    <col min="15884" max="15884" width="11.85546875" style="216" customWidth="1"/>
    <col min="15885" max="16129" width="9.140625" style="216"/>
    <col min="16130" max="16130" width="2.7109375" style="216" customWidth="1"/>
    <col min="16131" max="16131" width="9.140625" style="216"/>
    <col min="16132" max="16132" width="40.28515625" style="216" bestFit="1" customWidth="1"/>
    <col min="16133" max="16133" width="12.85546875" style="216" customWidth="1"/>
    <col min="16134" max="16134" width="10" style="216" customWidth="1"/>
    <col min="16135" max="16135" width="19.42578125" style="216" customWidth="1"/>
    <col min="16136" max="16136" width="7.7109375" style="216" customWidth="1"/>
    <col min="16137" max="16137" width="12.28515625" style="216" customWidth="1"/>
    <col min="16138" max="16138" width="12.7109375" style="216" customWidth="1"/>
    <col min="16139" max="16139" width="13.5703125" style="216" customWidth="1"/>
    <col min="16140" max="16140" width="11.85546875" style="216" customWidth="1"/>
    <col min="16141" max="16384" width="9.140625" style="216"/>
  </cols>
  <sheetData>
    <row r="1" spans="1:13" x14ac:dyDescent="0.2">
      <c r="G1" s="219"/>
      <c r="H1" s="218"/>
      <c r="I1" s="219"/>
      <c r="J1" s="219"/>
      <c r="K1" s="217" t="s">
        <v>419</v>
      </c>
      <c r="L1" s="208" t="str">
        <f>EBNUMBER</f>
        <v>EB-2014-0113</v>
      </c>
      <c r="M1" s="219"/>
    </row>
    <row r="2" spans="1:13" x14ac:dyDescent="0.2">
      <c r="G2" s="219"/>
      <c r="H2" s="218"/>
      <c r="I2" s="219"/>
      <c r="J2" s="219"/>
      <c r="K2" s="217" t="s">
        <v>420</v>
      </c>
      <c r="L2" s="767"/>
      <c r="M2" s="219"/>
    </row>
    <row r="3" spans="1:13" x14ac:dyDescent="0.2">
      <c r="G3" s="219"/>
      <c r="H3" s="218"/>
      <c r="I3" s="219"/>
      <c r="J3" s="219"/>
      <c r="K3" s="217" t="s">
        <v>421</v>
      </c>
      <c r="L3" s="767"/>
      <c r="M3" s="219"/>
    </row>
    <row r="4" spans="1:13" x14ac:dyDescent="0.2">
      <c r="G4" s="219"/>
      <c r="H4" s="218"/>
      <c r="I4" s="219"/>
      <c r="J4" s="219"/>
      <c r="K4" s="217" t="s">
        <v>422</v>
      </c>
      <c r="L4" s="767"/>
      <c r="M4" s="219"/>
    </row>
    <row r="5" spans="1:13" x14ac:dyDescent="0.2">
      <c r="G5" s="219"/>
      <c r="H5" s="218"/>
      <c r="I5" s="219"/>
      <c r="J5" s="219"/>
      <c r="K5" s="217" t="s">
        <v>423</v>
      </c>
      <c r="L5" s="768"/>
      <c r="M5" s="219"/>
    </row>
    <row r="6" spans="1:13" x14ac:dyDescent="0.2">
      <c r="G6" s="219"/>
      <c r="H6" s="218"/>
      <c r="I6" s="219"/>
      <c r="J6" s="219"/>
      <c r="K6" s="217"/>
      <c r="L6" s="766"/>
      <c r="M6" s="219"/>
    </row>
    <row r="7" spans="1:13" x14ac:dyDescent="0.2">
      <c r="G7" s="219"/>
      <c r="H7" s="218"/>
      <c r="I7" s="219"/>
      <c r="J7" s="220"/>
      <c r="K7" s="217" t="s">
        <v>424</v>
      </c>
      <c r="L7" s="768"/>
      <c r="M7" s="220"/>
    </row>
    <row r="9" spans="1:13" ht="18" x14ac:dyDescent="0.25">
      <c r="A9" s="1856" t="s">
        <v>927</v>
      </c>
      <c r="B9" s="1856"/>
      <c r="C9" s="1856"/>
      <c r="D9" s="1856"/>
      <c r="E9" s="1856"/>
      <c r="F9" s="1856"/>
      <c r="G9" s="1856"/>
      <c r="H9" s="1856"/>
      <c r="I9" s="1856"/>
      <c r="J9" s="1856"/>
      <c r="K9" s="1856"/>
      <c r="L9" s="1856"/>
    </row>
    <row r="10" spans="1:13" ht="18" x14ac:dyDescent="0.25">
      <c r="A10" s="1856" t="s">
        <v>3</v>
      </c>
      <c r="B10" s="1856"/>
      <c r="C10" s="1856"/>
      <c r="D10" s="1856"/>
      <c r="E10" s="1856"/>
      <c r="F10" s="1856"/>
      <c r="G10" s="1856"/>
      <c r="H10" s="1856"/>
      <c r="I10" s="1856"/>
      <c r="J10" s="1856"/>
      <c r="K10" s="1856"/>
      <c r="L10" s="1856"/>
    </row>
    <row r="11" spans="1:13" ht="22.5" customHeight="1" x14ac:dyDescent="0.2">
      <c r="A11" s="1877" t="s">
        <v>814</v>
      </c>
      <c r="B11" s="1877"/>
      <c r="C11" s="1877"/>
      <c r="D11" s="1877"/>
      <c r="E11" s="1877"/>
      <c r="F11" s="1877"/>
      <c r="G11" s="1877"/>
      <c r="H11" s="1877"/>
      <c r="I11" s="1877"/>
      <c r="J11" s="1877"/>
      <c r="K11" s="1877"/>
      <c r="L11" s="1877"/>
    </row>
    <row r="12" spans="1:13" ht="13.5" customHeight="1" x14ac:dyDescent="0.25">
      <c r="A12" s="682"/>
      <c r="B12" s="682"/>
      <c r="C12" s="676" t="s">
        <v>40</v>
      </c>
      <c r="D12" s="664">
        <v>2012</v>
      </c>
      <c r="E12" s="899" t="s">
        <v>928</v>
      </c>
      <c r="H12" s="682"/>
      <c r="I12" s="682"/>
      <c r="J12" s="682"/>
    </row>
    <row r="13" spans="1:13" ht="15" customHeight="1" thickBot="1" x14ac:dyDescent="0.25"/>
    <row r="14" spans="1:13" ht="61.5" customHeight="1" x14ac:dyDescent="0.2">
      <c r="A14" s="1871" t="s">
        <v>4</v>
      </c>
      <c r="B14" s="1873" t="s">
        <v>346</v>
      </c>
      <c r="C14" s="221" t="s">
        <v>717</v>
      </c>
      <c r="D14" s="221" t="s">
        <v>710</v>
      </c>
      <c r="E14" s="221" t="s">
        <v>711</v>
      </c>
      <c r="F14" s="221" t="s">
        <v>348</v>
      </c>
      <c r="G14" s="221" t="s">
        <v>7</v>
      </c>
      <c r="H14" s="221" t="s">
        <v>8</v>
      </c>
      <c r="I14" s="221" t="s">
        <v>416</v>
      </c>
      <c r="J14" s="222" t="s">
        <v>11</v>
      </c>
      <c r="K14" s="1880" t="s">
        <v>794</v>
      </c>
      <c r="L14" s="222" t="s">
        <v>523</v>
      </c>
    </row>
    <row r="15" spans="1:13" ht="25.5" customHeight="1" x14ac:dyDescent="0.2">
      <c r="A15" s="1872"/>
      <c r="B15" s="1874"/>
      <c r="C15" s="223" t="s">
        <v>5</v>
      </c>
      <c r="D15" s="223" t="s">
        <v>712</v>
      </c>
      <c r="E15" s="223" t="s">
        <v>713</v>
      </c>
      <c r="F15" s="223" t="s">
        <v>6</v>
      </c>
      <c r="G15" s="224" t="s">
        <v>716</v>
      </c>
      <c r="H15" s="223" t="s">
        <v>9</v>
      </c>
      <c r="I15" s="223" t="s">
        <v>10</v>
      </c>
      <c r="J15" s="225" t="s">
        <v>12</v>
      </c>
      <c r="K15" s="1885"/>
      <c r="L15" s="225" t="s">
        <v>517</v>
      </c>
    </row>
    <row r="16" spans="1:13" ht="25.5" x14ac:dyDescent="0.2">
      <c r="A16" s="828">
        <v>1611</v>
      </c>
      <c r="B16" s="783" t="s">
        <v>515</v>
      </c>
      <c r="C16" s="204"/>
      <c r="D16" s="204"/>
      <c r="E16" s="796">
        <f>C16-D16</f>
        <v>0</v>
      </c>
      <c r="F16" s="204"/>
      <c r="G16" s="796">
        <f>E16+0.5*F16</f>
        <v>0</v>
      </c>
      <c r="H16" s="282"/>
      <c r="I16" s="226">
        <f t="shared" ref="I16:I55" si="0">IF(H16=0,0,1/H16)</f>
        <v>0</v>
      </c>
      <c r="J16" s="796">
        <f t="shared" ref="J16:J55" si="1">IF(H16=0,0,G16/H16)</f>
        <v>0</v>
      </c>
      <c r="K16" s="204"/>
      <c r="L16" s="796">
        <f t="shared" ref="L16:L55" si="2">IF(ISERROR(+J16-K16), 0, +J16-K16)</f>
        <v>0</v>
      </c>
    </row>
    <row r="17" spans="1:12" x14ac:dyDescent="0.2">
      <c r="A17" s="828">
        <v>1612</v>
      </c>
      <c r="B17" s="783" t="s">
        <v>650</v>
      </c>
      <c r="C17" s="204"/>
      <c r="D17" s="204"/>
      <c r="E17" s="796">
        <f t="shared" ref="E17:E55" si="3">C17-D17</f>
        <v>0</v>
      </c>
      <c r="F17" s="204"/>
      <c r="G17" s="796">
        <f t="shared" ref="G17:G55" si="4">E17+0.5*F17</f>
        <v>0</v>
      </c>
      <c r="H17" s="282"/>
      <c r="I17" s="586">
        <f t="shared" si="0"/>
        <v>0</v>
      </c>
      <c r="J17" s="796">
        <f t="shared" si="1"/>
        <v>0</v>
      </c>
      <c r="K17" s="204"/>
      <c r="L17" s="796">
        <f t="shared" si="2"/>
        <v>0</v>
      </c>
    </row>
    <row r="18" spans="1:12" x14ac:dyDescent="0.2">
      <c r="A18" s="829">
        <v>1805</v>
      </c>
      <c r="B18" s="786" t="s">
        <v>383</v>
      </c>
      <c r="C18" s="204"/>
      <c r="D18" s="204"/>
      <c r="E18" s="796">
        <f t="shared" si="3"/>
        <v>0</v>
      </c>
      <c r="F18" s="204"/>
      <c r="G18" s="796">
        <f t="shared" si="4"/>
        <v>0</v>
      </c>
      <c r="H18" s="282"/>
      <c r="I18" s="586">
        <f t="shared" si="0"/>
        <v>0</v>
      </c>
      <c r="J18" s="796">
        <f t="shared" si="1"/>
        <v>0</v>
      </c>
      <c r="K18" s="204"/>
      <c r="L18" s="796">
        <f t="shared" si="2"/>
        <v>0</v>
      </c>
    </row>
    <row r="19" spans="1:12" x14ac:dyDescent="0.2">
      <c r="A19" s="828">
        <v>1808</v>
      </c>
      <c r="B19" s="787" t="s">
        <v>384</v>
      </c>
      <c r="C19" s="204"/>
      <c r="D19" s="204"/>
      <c r="E19" s="796">
        <f t="shared" si="3"/>
        <v>0</v>
      </c>
      <c r="F19" s="204"/>
      <c r="G19" s="796">
        <f t="shared" si="4"/>
        <v>0</v>
      </c>
      <c r="H19" s="282"/>
      <c r="I19" s="586">
        <f t="shared" si="0"/>
        <v>0</v>
      </c>
      <c r="J19" s="796">
        <f t="shared" si="1"/>
        <v>0</v>
      </c>
      <c r="K19" s="204"/>
      <c r="L19" s="796">
        <f t="shared" si="2"/>
        <v>0</v>
      </c>
    </row>
    <row r="20" spans="1:12" x14ac:dyDescent="0.2">
      <c r="A20" s="828">
        <v>1810</v>
      </c>
      <c r="B20" s="787" t="s">
        <v>417</v>
      </c>
      <c r="C20" s="204"/>
      <c r="D20" s="204"/>
      <c r="E20" s="796">
        <f t="shared" si="3"/>
        <v>0</v>
      </c>
      <c r="F20" s="204"/>
      <c r="G20" s="796">
        <f t="shared" si="4"/>
        <v>0</v>
      </c>
      <c r="H20" s="282"/>
      <c r="I20" s="586">
        <f t="shared" si="0"/>
        <v>0</v>
      </c>
      <c r="J20" s="796">
        <f t="shared" si="1"/>
        <v>0</v>
      </c>
      <c r="K20" s="204"/>
      <c r="L20" s="796">
        <f t="shared" si="2"/>
        <v>0</v>
      </c>
    </row>
    <row r="21" spans="1:12" x14ac:dyDescent="0.2">
      <c r="A21" s="828">
        <v>1815</v>
      </c>
      <c r="B21" s="787" t="s">
        <v>385</v>
      </c>
      <c r="C21" s="204"/>
      <c r="D21" s="204"/>
      <c r="E21" s="796">
        <f t="shared" si="3"/>
        <v>0</v>
      </c>
      <c r="F21" s="204"/>
      <c r="G21" s="796">
        <f t="shared" si="4"/>
        <v>0</v>
      </c>
      <c r="H21" s="282"/>
      <c r="I21" s="586">
        <f t="shared" si="0"/>
        <v>0</v>
      </c>
      <c r="J21" s="796">
        <f t="shared" si="1"/>
        <v>0</v>
      </c>
      <c r="K21" s="204"/>
      <c r="L21" s="796">
        <f t="shared" si="2"/>
        <v>0</v>
      </c>
    </row>
    <row r="22" spans="1:12" x14ac:dyDescent="0.2">
      <c r="A22" s="828">
        <v>1820</v>
      </c>
      <c r="B22" s="783" t="s">
        <v>306</v>
      </c>
      <c r="C22" s="204"/>
      <c r="D22" s="204"/>
      <c r="E22" s="796">
        <f t="shared" si="3"/>
        <v>0</v>
      </c>
      <c r="F22" s="204"/>
      <c r="G22" s="796">
        <f t="shared" si="4"/>
        <v>0</v>
      </c>
      <c r="H22" s="282"/>
      <c r="I22" s="586">
        <f t="shared" si="0"/>
        <v>0</v>
      </c>
      <c r="J22" s="796">
        <f t="shared" si="1"/>
        <v>0</v>
      </c>
      <c r="K22" s="204"/>
      <c r="L22" s="796">
        <f t="shared" si="2"/>
        <v>0</v>
      </c>
    </row>
    <row r="23" spans="1:12" x14ac:dyDescent="0.2">
      <c r="A23" s="828">
        <v>1825</v>
      </c>
      <c r="B23" s="787" t="s">
        <v>386</v>
      </c>
      <c r="C23" s="204"/>
      <c r="D23" s="204"/>
      <c r="E23" s="796">
        <f t="shared" si="3"/>
        <v>0</v>
      </c>
      <c r="F23" s="204"/>
      <c r="G23" s="796">
        <f t="shared" si="4"/>
        <v>0</v>
      </c>
      <c r="H23" s="282"/>
      <c r="I23" s="586">
        <f t="shared" si="0"/>
        <v>0</v>
      </c>
      <c r="J23" s="796">
        <f t="shared" si="1"/>
        <v>0</v>
      </c>
      <c r="K23" s="204"/>
      <c r="L23" s="796">
        <f t="shared" si="2"/>
        <v>0</v>
      </c>
    </row>
    <row r="24" spans="1:12" x14ac:dyDescent="0.2">
      <c r="A24" s="828">
        <v>1830</v>
      </c>
      <c r="B24" s="787" t="s">
        <v>387</v>
      </c>
      <c r="C24" s="204"/>
      <c r="D24" s="204"/>
      <c r="E24" s="796">
        <f t="shared" si="3"/>
        <v>0</v>
      </c>
      <c r="F24" s="204"/>
      <c r="G24" s="796">
        <f t="shared" si="4"/>
        <v>0</v>
      </c>
      <c r="H24" s="282"/>
      <c r="I24" s="586">
        <f t="shared" si="0"/>
        <v>0</v>
      </c>
      <c r="J24" s="796">
        <f t="shared" si="1"/>
        <v>0</v>
      </c>
      <c r="K24" s="204"/>
      <c r="L24" s="796">
        <f t="shared" si="2"/>
        <v>0</v>
      </c>
    </row>
    <row r="25" spans="1:12" x14ac:dyDescent="0.2">
      <c r="A25" s="828">
        <v>1835</v>
      </c>
      <c r="B25" s="787" t="s">
        <v>307</v>
      </c>
      <c r="C25" s="204"/>
      <c r="D25" s="204"/>
      <c r="E25" s="796">
        <f t="shared" si="3"/>
        <v>0</v>
      </c>
      <c r="F25" s="204"/>
      <c r="G25" s="796">
        <f t="shared" si="4"/>
        <v>0</v>
      </c>
      <c r="H25" s="282"/>
      <c r="I25" s="586">
        <f t="shared" si="0"/>
        <v>0</v>
      </c>
      <c r="J25" s="796">
        <f t="shared" si="1"/>
        <v>0</v>
      </c>
      <c r="K25" s="204"/>
      <c r="L25" s="796">
        <f t="shared" si="2"/>
        <v>0</v>
      </c>
    </row>
    <row r="26" spans="1:12" x14ac:dyDescent="0.2">
      <c r="A26" s="828">
        <v>1840</v>
      </c>
      <c r="B26" s="787" t="s">
        <v>308</v>
      </c>
      <c r="C26" s="204"/>
      <c r="D26" s="204"/>
      <c r="E26" s="796">
        <f t="shared" si="3"/>
        <v>0</v>
      </c>
      <c r="F26" s="204"/>
      <c r="G26" s="796">
        <f t="shared" si="4"/>
        <v>0</v>
      </c>
      <c r="H26" s="282"/>
      <c r="I26" s="586">
        <f t="shared" si="0"/>
        <v>0</v>
      </c>
      <c r="J26" s="796">
        <f t="shared" si="1"/>
        <v>0</v>
      </c>
      <c r="K26" s="204"/>
      <c r="L26" s="796">
        <f t="shared" si="2"/>
        <v>0</v>
      </c>
    </row>
    <row r="27" spans="1:12" x14ac:dyDescent="0.2">
      <c r="A27" s="828">
        <v>1845</v>
      </c>
      <c r="B27" s="787" t="s">
        <v>309</v>
      </c>
      <c r="C27" s="204"/>
      <c r="D27" s="204"/>
      <c r="E27" s="796">
        <f t="shared" si="3"/>
        <v>0</v>
      </c>
      <c r="F27" s="204"/>
      <c r="G27" s="796">
        <f t="shared" si="4"/>
        <v>0</v>
      </c>
      <c r="H27" s="282"/>
      <c r="I27" s="586">
        <f t="shared" si="0"/>
        <v>0</v>
      </c>
      <c r="J27" s="796">
        <f t="shared" si="1"/>
        <v>0</v>
      </c>
      <c r="K27" s="204"/>
      <c r="L27" s="796">
        <f t="shared" si="2"/>
        <v>0</v>
      </c>
    </row>
    <row r="28" spans="1:12" x14ac:dyDescent="0.2">
      <c r="A28" s="828">
        <v>1850</v>
      </c>
      <c r="B28" s="787" t="s">
        <v>388</v>
      </c>
      <c r="C28" s="204"/>
      <c r="D28" s="204"/>
      <c r="E28" s="796">
        <f t="shared" si="3"/>
        <v>0</v>
      </c>
      <c r="F28" s="204"/>
      <c r="G28" s="796">
        <f t="shared" si="4"/>
        <v>0</v>
      </c>
      <c r="H28" s="282"/>
      <c r="I28" s="586">
        <f t="shared" si="0"/>
        <v>0</v>
      </c>
      <c r="J28" s="796">
        <f t="shared" si="1"/>
        <v>0</v>
      </c>
      <c r="K28" s="204"/>
      <c r="L28" s="796">
        <f t="shared" si="2"/>
        <v>0</v>
      </c>
    </row>
    <row r="29" spans="1:12" x14ac:dyDescent="0.2">
      <c r="A29" s="828">
        <v>1855</v>
      </c>
      <c r="B29" s="787" t="s">
        <v>310</v>
      </c>
      <c r="C29" s="204"/>
      <c r="D29" s="204"/>
      <c r="E29" s="796">
        <f t="shared" si="3"/>
        <v>0</v>
      </c>
      <c r="F29" s="204"/>
      <c r="G29" s="796">
        <f t="shared" si="4"/>
        <v>0</v>
      </c>
      <c r="H29" s="282"/>
      <c r="I29" s="586">
        <f t="shared" si="0"/>
        <v>0</v>
      </c>
      <c r="J29" s="796">
        <f t="shared" si="1"/>
        <v>0</v>
      </c>
      <c r="K29" s="204"/>
      <c r="L29" s="796">
        <f t="shared" si="2"/>
        <v>0</v>
      </c>
    </row>
    <row r="30" spans="1:12" x14ac:dyDescent="0.2">
      <c r="A30" s="828">
        <v>1860</v>
      </c>
      <c r="B30" s="787" t="s">
        <v>389</v>
      </c>
      <c r="C30" s="204"/>
      <c r="D30" s="204"/>
      <c r="E30" s="796">
        <f t="shared" si="3"/>
        <v>0</v>
      </c>
      <c r="F30" s="204"/>
      <c r="G30" s="796">
        <f t="shared" si="4"/>
        <v>0</v>
      </c>
      <c r="H30" s="282"/>
      <c r="I30" s="586">
        <f t="shared" si="0"/>
        <v>0</v>
      </c>
      <c r="J30" s="796">
        <f t="shared" si="1"/>
        <v>0</v>
      </c>
      <c r="K30" s="204"/>
      <c r="L30" s="796">
        <f t="shared" si="2"/>
        <v>0</v>
      </c>
    </row>
    <row r="31" spans="1:12" x14ac:dyDescent="0.2">
      <c r="A31" s="829">
        <v>1860</v>
      </c>
      <c r="B31" s="786" t="s">
        <v>311</v>
      </c>
      <c r="C31" s="204"/>
      <c r="D31" s="204"/>
      <c r="E31" s="796">
        <f t="shared" si="3"/>
        <v>0</v>
      </c>
      <c r="F31" s="204"/>
      <c r="G31" s="796">
        <f t="shared" si="4"/>
        <v>0</v>
      </c>
      <c r="H31" s="282"/>
      <c r="I31" s="586">
        <f t="shared" si="0"/>
        <v>0</v>
      </c>
      <c r="J31" s="796">
        <f t="shared" si="1"/>
        <v>0</v>
      </c>
      <c r="K31" s="204"/>
      <c r="L31" s="796">
        <f t="shared" si="2"/>
        <v>0</v>
      </c>
    </row>
    <row r="32" spans="1:12" x14ac:dyDescent="0.2">
      <c r="A32" s="829">
        <v>1905</v>
      </c>
      <c r="B32" s="786" t="s">
        <v>383</v>
      </c>
      <c r="C32" s="204"/>
      <c r="D32" s="204"/>
      <c r="E32" s="796">
        <f t="shared" si="3"/>
        <v>0</v>
      </c>
      <c r="F32" s="204"/>
      <c r="G32" s="796">
        <f t="shared" si="4"/>
        <v>0</v>
      </c>
      <c r="H32" s="282"/>
      <c r="I32" s="586">
        <f t="shared" si="0"/>
        <v>0</v>
      </c>
      <c r="J32" s="796">
        <f t="shared" si="1"/>
        <v>0</v>
      </c>
      <c r="K32" s="204"/>
      <c r="L32" s="796">
        <f t="shared" si="2"/>
        <v>0</v>
      </c>
    </row>
    <row r="33" spans="1:12" x14ac:dyDescent="0.2">
      <c r="A33" s="828">
        <v>1908</v>
      </c>
      <c r="B33" s="787" t="s">
        <v>391</v>
      </c>
      <c r="C33" s="204"/>
      <c r="D33" s="204"/>
      <c r="E33" s="796">
        <f t="shared" si="3"/>
        <v>0</v>
      </c>
      <c r="F33" s="204"/>
      <c r="G33" s="796">
        <f t="shared" si="4"/>
        <v>0</v>
      </c>
      <c r="H33" s="282"/>
      <c r="I33" s="586">
        <f t="shared" si="0"/>
        <v>0</v>
      </c>
      <c r="J33" s="796">
        <f t="shared" si="1"/>
        <v>0</v>
      </c>
      <c r="K33" s="204"/>
      <c r="L33" s="796">
        <f t="shared" si="2"/>
        <v>0</v>
      </c>
    </row>
    <row r="34" spans="1:12" x14ac:dyDescent="0.2">
      <c r="A34" s="828">
        <v>1910</v>
      </c>
      <c r="B34" s="787" t="s">
        <v>417</v>
      </c>
      <c r="C34" s="204"/>
      <c r="D34" s="204"/>
      <c r="E34" s="796">
        <f t="shared" si="3"/>
        <v>0</v>
      </c>
      <c r="F34" s="204"/>
      <c r="G34" s="796">
        <f t="shared" si="4"/>
        <v>0</v>
      </c>
      <c r="H34" s="282"/>
      <c r="I34" s="586">
        <f t="shared" si="0"/>
        <v>0</v>
      </c>
      <c r="J34" s="796">
        <f t="shared" si="1"/>
        <v>0</v>
      </c>
      <c r="K34" s="204"/>
      <c r="L34" s="796">
        <f t="shared" si="2"/>
        <v>0</v>
      </c>
    </row>
    <row r="35" spans="1:12" x14ac:dyDescent="0.2">
      <c r="A35" s="828">
        <v>1915</v>
      </c>
      <c r="B35" s="787" t="s">
        <v>312</v>
      </c>
      <c r="C35" s="204"/>
      <c r="D35" s="204"/>
      <c r="E35" s="796">
        <f t="shared" si="3"/>
        <v>0</v>
      </c>
      <c r="F35" s="204"/>
      <c r="G35" s="796">
        <f t="shared" si="4"/>
        <v>0</v>
      </c>
      <c r="H35" s="282"/>
      <c r="I35" s="586">
        <f t="shared" si="0"/>
        <v>0</v>
      </c>
      <c r="J35" s="796">
        <f t="shared" si="1"/>
        <v>0</v>
      </c>
      <c r="K35" s="204"/>
      <c r="L35" s="796">
        <f t="shared" si="2"/>
        <v>0</v>
      </c>
    </row>
    <row r="36" spans="1:12" x14ac:dyDescent="0.2">
      <c r="A36" s="828">
        <v>1915</v>
      </c>
      <c r="B36" s="787" t="s">
        <v>313</v>
      </c>
      <c r="C36" s="204"/>
      <c r="D36" s="204"/>
      <c r="E36" s="796">
        <f t="shared" si="3"/>
        <v>0</v>
      </c>
      <c r="F36" s="204"/>
      <c r="G36" s="796">
        <f t="shared" si="4"/>
        <v>0</v>
      </c>
      <c r="H36" s="282"/>
      <c r="I36" s="586">
        <f t="shared" si="0"/>
        <v>0</v>
      </c>
      <c r="J36" s="796">
        <f t="shared" si="1"/>
        <v>0</v>
      </c>
      <c r="K36" s="204"/>
      <c r="L36" s="796">
        <f t="shared" si="2"/>
        <v>0</v>
      </c>
    </row>
    <row r="37" spans="1:12" x14ac:dyDescent="0.2">
      <c r="A37" s="828">
        <v>1920</v>
      </c>
      <c r="B37" s="787" t="s">
        <v>314</v>
      </c>
      <c r="C37" s="204"/>
      <c r="D37" s="204"/>
      <c r="E37" s="796">
        <f t="shared" si="3"/>
        <v>0</v>
      </c>
      <c r="F37" s="204"/>
      <c r="G37" s="796">
        <f t="shared" si="4"/>
        <v>0</v>
      </c>
      <c r="H37" s="282"/>
      <c r="I37" s="586">
        <f t="shared" si="0"/>
        <v>0</v>
      </c>
      <c r="J37" s="796">
        <f t="shared" si="1"/>
        <v>0</v>
      </c>
      <c r="K37" s="204"/>
      <c r="L37" s="796">
        <f t="shared" si="2"/>
        <v>0</v>
      </c>
    </row>
    <row r="38" spans="1:12" x14ac:dyDescent="0.2">
      <c r="A38" s="830">
        <v>1920</v>
      </c>
      <c r="B38" s="783" t="s">
        <v>316</v>
      </c>
      <c r="C38" s="204"/>
      <c r="D38" s="204"/>
      <c r="E38" s="796">
        <f t="shared" si="3"/>
        <v>0</v>
      </c>
      <c r="F38" s="204"/>
      <c r="G38" s="796">
        <f t="shared" si="4"/>
        <v>0</v>
      </c>
      <c r="H38" s="282"/>
      <c r="I38" s="586">
        <f t="shared" si="0"/>
        <v>0</v>
      </c>
      <c r="J38" s="796">
        <f t="shared" si="1"/>
        <v>0</v>
      </c>
      <c r="K38" s="204"/>
      <c r="L38" s="796">
        <f t="shared" si="2"/>
        <v>0</v>
      </c>
    </row>
    <row r="39" spans="1:12" x14ac:dyDescent="0.2">
      <c r="A39" s="830">
        <v>1920</v>
      </c>
      <c r="B39" s="783" t="s">
        <v>315</v>
      </c>
      <c r="C39" s="204"/>
      <c r="D39" s="204"/>
      <c r="E39" s="796">
        <f t="shared" si="3"/>
        <v>0</v>
      </c>
      <c r="F39" s="204"/>
      <c r="G39" s="796">
        <f t="shared" si="4"/>
        <v>0</v>
      </c>
      <c r="H39" s="282"/>
      <c r="I39" s="586">
        <f t="shared" si="0"/>
        <v>0</v>
      </c>
      <c r="J39" s="796">
        <f t="shared" si="1"/>
        <v>0</v>
      </c>
      <c r="K39" s="204"/>
      <c r="L39" s="796">
        <f t="shared" si="2"/>
        <v>0</v>
      </c>
    </row>
    <row r="40" spans="1:12" x14ac:dyDescent="0.2">
      <c r="A40" s="828">
        <v>1930</v>
      </c>
      <c r="B40" s="787" t="s">
        <v>404</v>
      </c>
      <c r="C40" s="204"/>
      <c r="D40" s="204"/>
      <c r="E40" s="796">
        <f t="shared" si="3"/>
        <v>0</v>
      </c>
      <c r="F40" s="204"/>
      <c r="G40" s="796">
        <f t="shared" si="4"/>
        <v>0</v>
      </c>
      <c r="H40" s="282"/>
      <c r="I40" s="586">
        <f t="shared" si="0"/>
        <v>0</v>
      </c>
      <c r="J40" s="796">
        <f t="shared" si="1"/>
        <v>0</v>
      </c>
      <c r="K40" s="204"/>
      <c r="L40" s="796">
        <f t="shared" si="2"/>
        <v>0</v>
      </c>
    </row>
    <row r="41" spans="1:12" x14ac:dyDescent="0.2">
      <c r="A41" s="828">
        <v>1935</v>
      </c>
      <c r="B41" s="787" t="s">
        <v>405</v>
      </c>
      <c r="C41" s="204"/>
      <c r="D41" s="204"/>
      <c r="E41" s="796">
        <f t="shared" si="3"/>
        <v>0</v>
      </c>
      <c r="F41" s="204"/>
      <c r="G41" s="796">
        <f t="shared" si="4"/>
        <v>0</v>
      </c>
      <c r="H41" s="282"/>
      <c r="I41" s="586">
        <f t="shared" si="0"/>
        <v>0</v>
      </c>
      <c r="J41" s="796">
        <f t="shared" si="1"/>
        <v>0</v>
      </c>
      <c r="K41" s="204"/>
      <c r="L41" s="796">
        <f t="shared" si="2"/>
        <v>0</v>
      </c>
    </row>
    <row r="42" spans="1:12" x14ac:dyDescent="0.2">
      <c r="A42" s="828">
        <v>1940</v>
      </c>
      <c r="B42" s="787" t="s">
        <v>406</v>
      </c>
      <c r="C42" s="204"/>
      <c r="D42" s="204"/>
      <c r="E42" s="796">
        <f t="shared" si="3"/>
        <v>0</v>
      </c>
      <c r="F42" s="204"/>
      <c r="G42" s="796">
        <f t="shared" si="4"/>
        <v>0</v>
      </c>
      <c r="H42" s="282"/>
      <c r="I42" s="586">
        <f t="shared" si="0"/>
        <v>0</v>
      </c>
      <c r="J42" s="796">
        <f t="shared" si="1"/>
        <v>0</v>
      </c>
      <c r="K42" s="204"/>
      <c r="L42" s="796">
        <f t="shared" si="2"/>
        <v>0</v>
      </c>
    </row>
    <row r="43" spans="1:12" x14ac:dyDescent="0.2">
      <c r="A43" s="828">
        <v>1945</v>
      </c>
      <c r="B43" s="787" t="s">
        <v>407</v>
      </c>
      <c r="C43" s="204"/>
      <c r="D43" s="204"/>
      <c r="E43" s="796">
        <f t="shared" si="3"/>
        <v>0</v>
      </c>
      <c r="F43" s="204"/>
      <c r="G43" s="796">
        <f t="shared" si="4"/>
        <v>0</v>
      </c>
      <c r="H43" s="282"/>
      <c r="I43" s="586">
        <f t="shared" si="0"/>
        <v>0</v>
      </c>
      <c r="J43" s="796">
        <f t="shared" si="1"/>
        <v>0</v>
      </c>
      <c r="K43" s="204"/>
      <c r="L43" s="796">
        <f t="shared" si="2"/>
        <v>0</v>
      </c>
    </row>
    <row r="44" spans="1:12" x14ac:dyDescent="0.2">
      <c r="A44" s="828">
        <v>1950</v>
      </c>
      <c r="B44" s="787" t="s">
        <v>317</v>
      </c>
      <c r="C44" s="204"/>
      <c r="D44" s="204"/>
      <c r="E44" s="796">
        <f t="shared" si="3"/>
        <v>0</v>
      </c>
      <c r="F44" s="204"/>
      <c r="G44" s="796">
        <f t="shared" si="4"/>
        <v>0</v>
      </c>
      <c r="H44" s="282"/>
      <c r="I44" s="586">
        <f t="shared" si="0"/>
        <v>0</v>
      </c>
      <c r="J44" s="796">
        <f t="shared" si="1"/>
        <v>0</v>
      </c>
      <c r="K44" s="204"/>
      <c r="L44" s="796">
        <f t="shared" si="2"/>
        <v>0</v>
      </c>
    </row>
    <row r="45" spans="1:12" x14ac:dyDescent="0.2">
      <c r="A45" s="828">
        <v>1955</v>
      </c>
      <c r="B45" s="787" t="s">
        <v>408</v>
      </c>
      <c r="C45" s="204"/>
      <c r="D45" s="204"/>
      <c r="E45" s="796">
        <f t="shared" si="3"/>
        <v>0</v>
      </c>
      <c r="F45" s="204"/>
      <c r="G45" s="796">
        <f t="shared" si="4"/>
        <v>0</v>
      </c>
      <c r="H45" s="282"/>
      <c r="I45" s="586">
        <f t="shared" si="0"/>
        <v>0</v>
      </c>
      <c r="J45" s="796">
        <f t="shared" si="1"/>
        <v>0</v>
      </c>
      <c r="K45" s="204"/>
      <c r="L45" s="796">
        <f t="shared" si="2"/>
        <v>0</v>
      </c>
    </row>
    <row r="46" spans="1:12" x14ac:dyDescent="0.2">
      <c r="A46" s="831">
        <v>1955</v>
      </c>
      <c r="B46" s="790" t="s">
        <v>318</v>
      </c>
      <c r="C46" s="204"/>
      <c r="D46" s="204"/>
      <c r="E46" s="796">
        <f t="shared" si="3"/>
        <v>0</v>
      </c>
      <c r="F46" s="204"/>
      <c r="G46" s="796">
        <f t="shared" si="4"/>
        <v>0</v>
      </c>
      <c r="H46" s="282"/>
      <c r="I46" s="586">
        <f t="shared" si="0"/>
        <v>0</v>
      </c>
      <c r="J46" s="796">
        <f t="shared" si="1"/>
        <v>0</v>
      </c>
      <c r="K46" s="204"/>
      <c r="L46" s="796">
        <f t="shared" si="2"/>
        <v>0</v>
      </c>
    </row>
    <row r="47" spans="1:12" x14ac:dyDescent="0.2">
      <c r="A47" s="830">
        <v>1960</v>
      </c>
      <c r="B47" s="783" t="s">
        <v>319</v>
      </c>
      <c r="C47" s="204"/>
      <c r="D47" s="204"/>
      <c r="E47" s="796">
        <f t="shared" si="3"/>
        <v>0</v>
      </c>
      <c r="F47" s="204"/>
      <c r="G47" s="796">
        <f t="shared" si="4"/>
        <v>0</v>
      </c>
      <c r="H47" s="282"/>
      <c r="I47" s="586">
        <f t="shared" si="0"/>
        <v>0</v>
      </c>
      <c r="J47" s="796">
        <f t="shared" si="1"/>
        <v>0</v>
      </c>
      <c r="K47" s="204"/>
      <c r="L47" s="796">
        <f t="shared" si="2"/>
        <v>0</v>
      </c>
    </row>
    <row r="48" spans="1:12" x14ac:dyDescent="0.2">
      <c r="A48" s="830">
        <v>1970</v>
      </c>
      <c r="B48" s="900" t="s">
        <v>929</v>
      </c>
      <c r="C48" s="204"/>
      <c r="D48" s="204"/>
      <c r="E48" s="796">
        <f t="shared" si="3"/>
        <v>0</v>
      </c>
      <c r="F48" s="204"/>
      <c r="G48" s="796">
        <f t="shared" si="4"/>
        <v>0</v>
      </c>
      <c r="H48" s="282"/>
      <c r="I48" s="586">
        <f t="shared" si="0"/>
        <v>0</v>
      </c>
      <c r="J48" s="796">
        <f t="shared" si="1"/>
        <v>0</v>
      </c>
      <c r="K48" s="204"/>
      <c r="L48" s="796">
        <f t="shared" si="2"/>
        <v>0</v>
      </c>
    </row>
    <row r="49" spans="1:14" x14ac:dyDescent="0.2">
      <c r="A49" s="828">
        <v>1975</v>
      </c>
      <c r="B49" s="787" t="s">
        <v>409</v>
      </c>
      <c r="C49" s="204"/>
      <c r="D49" s="204"/>
      <c r="E49" s="796">
        <f t="shared" si="3"/>
        <v>0</v>
      </c>
      <c r="F49" s="204"/>
      <c r="G49" s="796">
        <f t="shared" si="4"/>
        <v>0</v>
      </c>
      <c r="H49" s="282"/>
      <c r="I49" s="586">
        <f t="shared" si="0"/>
        <v>0</v>
      </c>
      <c r="J49" s="796">
        <f t="shared" si="1"/>
        <v>0</v>
      </c>
      <c r="K49" s="204"/>
      <c r="L49" s="796">
        <f t="shared" si="2"/>
        <v>0</v>
      </c>
    </row>
    <row r="50" spans="1:14" x14ac:dyDescent="0.2">
      <c r="A50" s="828">
        <v>1980</v>
      </c>
      <c r="B50" s="787" t="s">
        <v>410</v>
      </c>
      <c r="C50" s="204"/>
      <c r="D50" s="204"/>
      <c r="E50" s="796">
        <f t="shared" si="3"/>
        <v>0</v>
      </c>
      <c r="F50" s="204"/>
      <c r="G50" s="796">
        <f t="shared" si="4"/>
        <v>0</v>
      </c>
      <c r="H50" s="282"/>
      <c r="I50" s="586">
        <f t="shared" si="0"/>
        <v>0</v>
      </c>
      <c r="J50" s="796">
        <f t="shared" si="1"/>
        <v>0</v>
      </c>
      <c r="K50" s="204"/>
      <c r="L50" s="796">
        <f t="shared" si="2"/>
        <v>0</v>
      </c>
    </row>
    <row r="51" spans="1:14" x14ac:dyDescent="0.2">
      <c r="A51" s="828">
        <v>1985</v>
      </c>
      <c r="B51" s="787" t="s">
        <v>411</v>
      </c>
      <c r="C51" s="204"/>
      <c r="D51" s="204"/>
      <c r="E51" s="796">
        <f t="shared" si="3"/>
        <v>0</v>
      </c>
      <c r="F51" s="204"/>
      <c r="G51" s="796">
        <f t="shared" si="4"/>
        <v>0</v>
      </c>
      <c r="H51" s="282"/>
      <c r="I51" s="586">
        <f t="shared" si="0"/>
        <v>0</v>
      </c>
      <c r="J51" s="796">
        <f t="shared" si="1"/>
        <v>0</v>
      </c>
      <c r="K51" s="204"/>
      <c r="L51" s="796">
        <f t="shared" si="2"/>
        <v>0</v>
      </c>
    </row>
    <row r="52" spans="1:14" x14ac:dyDescent="0.2">
      <c r="A52" s="828">
        <v>1990</v>
      </c>
      <c r="B52" s="791" t="s">
        <v>774</v>
      </c>
      <c r="C52" s="204"/>
      <c r="D52" s="204"/>
      <c r="E52" s="796">
        <f t="shared" si="3"/>
        <v>0</v>
      </c>
      <c r="F52" s="204"/>
      <c r="G52" s="796">
        <f t="shared" si="4"/>
        <v>0</v>
      </c>
      <c r="H52" s="282"/>
      <c r="I52" s="586">
        <f t="shared" si="0"/>
        <v>0</v>
      </c>
      <c r="J52" s="796">
        <f t="shared" si="1"/>
        <v>0</v>
      </c>
      <c r="K52" s="204"/>
      <c r="L52" s="796">
        <f t="shared" si="2"/>
        <v>0</v>
      </c>
    </row>
    <row r="53" spans="1:14" x14ac:dyDescent="0.2">
      <c r="A53" s="828">
        <v>1995</v>
      </c>
      <c r="B53" s="787" t="s">
        <v>412</v>
      </c>
      <c r="C53" s="204"/>
      <c r="D53" s="204"/>
      <c r="E53" s="796">
        <f t="shared" si="3"/>
        <v>0</v>
      </c>
      <c r="F53" s="204"/>
      <c r="G53" s="796">
        <f t="shared" si="4"/>
        <v>0</v>
      </c>
      <c r="H53" s="282"/>
      <c r="I53" s="586">
        <f t="shared" si="0"/>
        <v>0</v>
      </c>
      <c r="J53" s="796">
        <f t="shared" si="1"/>
        <v>0</v>
      </c>
      <c r="K53" s="204"/>
      <c r="L53" s="796">
        <f t="shared" si="2"/>
        <v>0</v>
      </c>
    </row>
    <row r="54" spans="1:14" x14ac:dyDescent="0.2">
      <c r="A54" s="227" t="s">
        <v>13</v>
      </c>
      <c r="B54" s="228"/>
      <c r="C54" s="204"/>
      <c r="D54" s="204"/>
      <c r="E54" s="796">
        <f t="shared" si="3"/>
        <v>0</v>
      </c>
      <c r="F54" s="204"/>
      <c r="G54" s="796">
        <f t="shared" si="4"/>
        <v>0</v>
      </c>
      <c r="H54" s="282"/>
      <c r="I54" s="586">
        <f t="shared" si="0"/>
        <v>0</v>
      </c>
      <c r="J54" s="796">
        <f t="shared" si="1"/>
        <v>0</v>
      </c>
      <c r="K54" s="204"/>
      <c r="L54" s="796">
        <f t="shared" si="2"/>
        <v>0</v>
      </c>
    </row>
    <row r="55" spans="1:14" ht="13.5" thickBot="1" x14ac:dyDescent="0.25">
      <c r="A55" s="229"/>
      <c r="B55" s="230"/>
      <c r="C55" s="204"/>
      <c r="D55" s="204"/>
      <c r="E55" s="796">
        <f t="shared" si="3"/>
        <v>0</v>
      </c>
      <c r="F55" s="204"/>
      <c r="G55" s="796">
        <f t="shared" si="4"/>
        <v>0</v>
      </c>
      <c r="H55" s="283"/>
      <c r="I55" s="587">
        <f t="shared" si="0"/>
        <v>0</v>
      </c>
      <c r="J55" s="796">
        <f t="shared" si="1"/>
        <v>0</v>
      </c>
      <c r="K55" s="204"/>
      <c r="L55" s="796">
        <f t="shared" si="2"/>
        <v>0</v>
      </c>
    </row>
    <row r="56" spans="1:14" ht="14.25" thickTop="1" thickBot="1" x14ac:dyDescent="0.25">
      <c r="A56" s="231"/>
      <c r="B56" s="232" t="s">
        <v>413</v>
      </c>
      <c r="C56" s="796">
        <f>SUM(C16:C55)</f>
        <v>0</v>
      </c>
      <c r="D56" s="796">
        <f>SUM(D16:D55)</f>
        <v>0</v>
      </c>
      <c r="E56" s="796">
        <f>SUM(E16:E55)</f>
        <v>0</v>
      </c>
      <c r="F56" s="796">
        <f>SUM(F16:F55)</f>
        <v>0</v>
      </c>
      <c r="G56" s="796">
        <f>SUM(G16:G55)</f>
        <v>0</v>
      </c>
      <c r="H56" s="588"/>
      <c r="I56" s="235"/>
      <c r="J56" s="796">
        <f>SUM(J16:J55)</f>
        <v>0</v>
      </c>
      <c r="K56" s="796">
        <f>SUM(K16:K55)</f>
        <v>0</v>
      </c>
      <c r="L56" s="796">
        <f>SUM(L16:L55)</f>
        <v>0</v>
      </c>
    </row>
    <row r="57" spans="1:14" ht="7.5" customHeight="1" x14ac:dyDescent="0.2"/>
    <row r="58" spans="1:14" x14ac:dyDescent="0.2">
      <c r="A58" s="681" t="s">
        <v>15</v>
      </c>
      <c r="B58" s="236"/>
      <c r="C58" s="236"/>
      <c r="D58" s="236"/>
      <c r="E58" s="236"/>
      <c r="F58" s="236"/>
      <c r="G58" s="236"/>
      <c r="H58" s="236"/>
      <c r="I58" s="236"/>
      <c r="J58" s="236"/>
    </row>
    <row r="59" spans="1:14" x14ac:dyDescent="0.2">
      <c r="A59" s="236"/>
      <c r="B59" s="236"/>
      <c r="C59" s="236"/>
      <c r="D59" s="236"/>
      <c r="E59" s="236"/>
      <c r="F59" s="236"/>
      <c r="G59" s="236"/>
      <c r="H59" s="236"/>
      <c r="I59" s="236"/>
      <c r="J59" s="236"/>
    </row>
    <row r="60" spans="1:14" ht="24.75" customHeight="1" x14ac:dyDescent="0.2">
      <c r="A60" s="284">
        <v>1</v>
      </c>
      <c r="B60" s="1790" t="s">
        <v>607</v>
      </c>
      <c r="C60" s="1790"/>
      <c r="D60" s="1790"/>
      <c r="E60" s="1790"/>
      <c r="F60" s="1790"/>
      <c r="G60" s="1790"/>
      <c r="H60" s="1790"/>
      <c r="I60" s="1790"/>
      <c r="J60" s="1790"/>
      <c r="K60" s="1790"/>
      <c r="L60" s="1790"/>
    </row>
    <row r="61" spans="1:14" x14ac:dyDescent="0.2">
      <c r="A61" s="690">
        <v>2</v>
      </c>
      <c r="B61" s="1868" t="s">
        <v>1934</v>
      </c>
      <c r="C61" s="1868"/>
      <c r="D61" s="1868"/>
      <c r="E61" s="1868"/>
      <c r="F61" s="1868"/>
      <c r="G61" s="1868"/>
      <c r="H61" s="1868"/>
      <c r="I61" s="1868"/>
      <c r="J61" s="1868"/>
      <c r="K61" s="236"/>
    </row>
    <row r="62" spans="1:14" x14ac:dyDescent="0.2">
      <c r="A62" s="690"/>
      <c r="B62" s="1868"/>
      <c r="C62" s="1868"/>
      <c r="D62" s="1868"/>
      <c r="E62" s="1868"/>
      <c r="F62" s="1868"/>
      <c r="G62" s="1868"/>
      <c r="H62" s="1868"/>
      <c r="I62" s="1868"/>
      <c r="J62" s="1868"/>
      <c r="K62" s="236"/>
    </row>
    <row r="63" spans="1:14" ht="12.75" customHeight="1" x14ac:dyDescent="0.2">
      <c r="A63" s="217" t="s">
        <v>605</v>
      </c>
      <c r="B63" s="1869" t="s">
        <v>270</v>
      </c>
      <c r="C63" s="1869"/>
      <c r="D63" s="1869"/>
      <c r="E63" s="1869"/>
      <c r="F63" s="1869"/>
      <c r="G63" s="1869"/>
      <c r="H63" s="1869"/>
      <c r="I63" s="1869"/>
      <c r="J63" s="1869"/>
      <c r="K63" s="1869"/>
      <c r="L63" s="1869"/>
      <c r="M63" s="686"/>
      <c r="N63" s="686"/>
    </row>
    <row r="64" spans="1:14" x14ac:dyDescent="0.2">
      <c r="B64" s="1869"/>
      <c r="C64" s="1869"/>
      <c r="D64" s="1869"/>
      <c r="E64" s="1869"/>
      <c r="F64" s="1869"/>
      <c r="G64" s="1869"/>
      <c r="H64" s="1869"/>
      <c r="I64" s="1869"/>
      <c r="J64" s="1869"/>
      <c r="K64" s="1869"/>
      <c r="L64" s="1869"/>
      <c r="M64" s="686"/>
      <c r="N64" s="686"/>
    </row>
    <row r="65" spans="2:14" x14ac:dyDescent="0.2">
      <c r="B65" s="686"/>
      <c r="C65" s="686"/>
      <c r="D65" s="686"/>
      <c r="E65" s="686"/>
      <c r="F65" s="686"/>
      <c r="G65" s="686"/>
      <c r="H65" s="686"/>
      <c r="I65" s="686"/>
      <c r="J65" s="686"/>
      <c r="K65" s="686"/>
      <c r="L65" s="686"/>
      <c r="M65" s="686"/>
      <c r="N65" s="686"/>
    </row>
  </sheetData>
  <mergeCells count="9">
    <mergeCell ref="B60:L60"/>
    <mergeCell ref="B61:J62"/>
    <mergeCell ref="B63:L64"/>
    <mergeCell ref="A9:L9"/>
    <mergeCell ref="A10:L10"/>
    <mergeCell ref="A11:L11"/>
    <mergeCell ref="A14:A15"/>
    <mergeCell ref="B14:B15"/>
    <mergeCell ref="K14:K15"/>
  </mergeCells>
  <dataValidations count="2">
    <dataValidation allowBlank="1" showErrorMessage="1" promptTitle="Date Format" prompt="E.g:  &quot;August 1, 2011&quot;" sqref="J7"/>
    <dataValidation allowBlank="1" showInputMessage="1" showErrorMessage="1" promptTitle="Date Format" prompt="E.g:  &quot;August 1, 2011&quot;" sqref="WVR983048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dataValidations>
  <printOptions horizontalCentered="1"/>
  <pageMargins left="0.74803149606299213" right="0.74803149606299213" top="0.70866141732283472" bottom="0.39370078740157483" header="0.39370078740157483" footer="0.27559055118110237"/>
  <pageSetup scale="6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P73"/>
  <sheetViews>
    <sheetView showGridLines="0" zoomScaleNormal="100" workbookViewId="0">
      <selection activeCell="N2" sqref="N2"/>
    </sheetView>
  </sheetViews>
  <sheetFormatPr defaultRowHeight="12.75" x14ac:dyDescent="0.2"/>
  <cols>
    <col min="1" max="1" width="9.140625" style="216"/>
    <col min="2" max="2" width="40.28515625" style="216" bestFit="1" customWidth="1"/>
    <col min="3" max="3" width="12" style="216" customWidth="1"/>
    <col min="4" max="4" width="10" style="216" customWidth="1"/>
    <col min="5" max="5" width="14.85546875" style="216" customWidth="1"/>
    <col min="6" max="6" width="9.5703125" style="216" customWidth="1"/>
    <col min="7" max="7" width="13.28515625" style="216" customWidth="1"/>
    <col min="8" max="8" width="13.140625" style="216" customWidth="1"/>
    <col min="9" max="9" width="13.7109375" style="216" customWidth="1"/>
    <col min="10" max="10" width="12.85546875" style="216" customWidth="1"/>
    <col min="11" max="11" width="17.7109375" style="216" customWidth="1"/>
    <col min="12" max="12" width="12.7109375" style="216" customWidth="1"/>
    <col min="13" max="13" width="13.42578125" style="216" customWidth="1"/>
    <col min="14" max="14" width="19" style="216" customWidth="1"/>
    <col min="15" max="15" width="18.5703125" style="216" customWidth="1"/>
    <col min="16" max="256" width="9.140625" style="216"/>
    <col min="257" max="257" width="2.7109375" style="216" customWidth="1"/>
    <col min="258" max="258" width="9.140625" style="216"/>
    <col min="259" max="259" width="40.28515625" style="216" bestFit="1" customWidth="1"/>
    <col min="260" max="260" width="12" style="216" customWidth="1"/>
    <col min="261" max="261" width="10" style="216" customWidth="1"/>
    <col min="262" max="262" width="14.85546875" style="216" customWidth="1"/>
    <col min="263" max="263" width="9.5703125" style="216" customWidth="1"/>
    <col min="264" max="265" width="12.28515625" style="216" customWidth="1"/>
    <col min="266" max="268" width="12.85546875" style="216" customWidth="1"/>
    <col min="269" max="269" width="12.7109375" style="216" customWidth="1"/>
    <col min="270" max="270" width="12.28515625" style="216" bestFit="1" customWidth="1"/>
    <col min="271" max="271" width="13.140625" style="216" customWidth="1"/>
    <col min="272" max="512" width="9.140625" style="216"/>
    <col min="513" max="513" width="2.7109375" style="216" customWidth="1"/>
    <col min="514" max="514" width="9.140625" style="216"/>
    <col min="515" max="515" width="40.28515625" style="216" bestFit="1" customWidth="1"/>
    <col min="516" max="516" width="12" style="216" customWidth="1"/>
    <col min="517" max="517" width="10" style="216" customWidth="1"/>
    <col min="518" max="518" width="14.85546875" style="216" customWidth="1"/>
    <col min="519" max="519" width="9.5703125" style="216" customWidth="1"/>
    <col min="520" max="521" width="12.28515625" style="216" customWidth="1"/>
    <col min="522" max="524" width="12.85546875" style="216" customWidth="1"/>
    <col min="525" max="525" width="12.7109375" style="216" customWidth="1"/>
    <col min="526" max="526" width="12.28515625" style="216" bestFit="1" customWidth="1"/>
    <col min="527" max="527" width="13.140625" style="216" customWidth="1"/>
    <col min="528" max="768" width="9.140625" style="216"/>
    <col min="769" max="769" width="2.7109375" style="216" customWidth="1"/>
    <col min="770" max="770" width="9.140625" style="216"/>
    <col min="771" max="771" width="40.28515625" style="216" bestFit="1" customWidth="1"/>
    <col min="772" max="772" width="12" style="216" customWidth="1"/>
    <col min="773" max="773" width="10" style="216" customWidth="1"/>
    <col min="774" max="774" width="14.85546875" style="216" customWidth="1"/>
    <col min="775" max="775" width="9.5703125" style="216" customWidth="1"/>
    <col min="776" max="777" width="12.28515625" style="216" customWidth="1"/>
    <col min="778" max="780" width="12.85546875" style="216" customWidth="1"/>
    <col min="781" max="781" width="12.7109375" style="216" customWidth="1"/>
    <col min="782" max="782" width="12.28515625" style="216" bestFit="1" customWidth="1"/>
    <col min="783" max="783" width="13.140625" style="216" customWidth="1"/>
    <col min="784" max="1024" width="9.140625" style="216"/>
    <col min="1025" max="1025" width="2.7109375" style="216" customWidth="1"/>
    <col min="1026" max="1026" width="9.140625" style="216"/>
    <col min="1027" max="1027" width="40.28515625" style="216" bestFit="1" customWidth="1"/>
    <col min="1028" max="1028" width="12" style="216" customWidth="1"/>
    <col min="1029" max="1029" width="10" style="216" customWidth="1"/>
    <col min="1030" max="1030" width="14.85546875" style="216" customWidth="1"/>
    <col min="1031" max="1031" width="9.5703125" style="216" customWidth="1"/>
    <col min="1032" max="1033" width="12.28515625" style="216" customWidth="1"/>
    <col min="1034" max="1036" width="12.85546875" style="216" customWidth="1"/>
    <col min="1037" max="1037" width="12.7109375" style="216" customWidth="1"/>
    <col min="1038" max="1038" width="12.28515625" style="216" bestFit="1" customWidth="1"/>
    <col min="1039" max="1039" width="13.140625" style="216" customWidth="1"/>
    <col min="1040" max="1280" width="9.140625" style="216"/>
    <col min="1281" max="1281" width="2.7109375" style="216" customWidth="1"/>
    <col min="1282" max="1282" width="9.140625" style="216"/>
    <col min="1283" max="1283" width="40.28515625" style="216" bestFit="1" customWidth="1"/>
    <col min="1284" max="1284" width="12" style="216" customWidth="1"/>
    <col min="1285" max="1285" width="10" style="216" customWidth="1"/>
    <col min="1286" max="1286" width="14.85546875" style="216" customWidth="1"/>
    <col min="1287" max="1287" width="9.5703125" style="216" customWidth="1"/>
    <col min="1288" max="1289" width="12.28515625" style="216" customWidth="1"/>
    <col min="1290" max="1292" width="12.85546875" style="216" customWidth="1"/>
    <col min="1293" max="1293" width="12.7109375" style="216" customWidth="1"/>
    <col min="1294" max="1294" width="12.28515625" style="216" bestFit="1" customWidth="1"/>
    <col min="1295" max="1295" width="13.140625" style="216" customWidth="1"/>
    <col min="1296" max="1536" width="9.140625" style="216"/>
    <col min="1537" max="1537" width="2.7109375" style="216" customWidth="1"/>
    <col min="1538" max="1538" width="9.140625" style="216"/>
    <col min="1539" max="1539" width="40.28515625" style="216" bestFit="1" customWidth="1"/>
    <col min="1540" max="1540" width="12" style="216" customWidth="1"/>
    <col min="1541" max="1541" width="10" style="216" customWidth="1"/>
    <col min="1542" max="1542" width="14.85546875" style="216" customWidth="1"/>
    <col min="1543" max="1543" width="9.5703125" style="216" customWidth="1"/>
    <col min="1544" max="1545" width="12.28515625" style="216" customWidth="1"/>
    <col min="1546" max="1548" width="12.85546875" style="216" customWidth="1"/>
    <col min="1549" max="1549" width="12.7109375" style="216" customWidth="1"/>
    <col min="1550" max="1550" width="12.28515625" style="216" bestFit="1" customWidth="1"/>
    <col min="1551" max="1551" width="13.140625" style="216" customWidth="1"/>
    <col min="1552" max="1792" width="9.140625" style="216"/>
    <col min="1793" max="1793" width="2.7109375" style="216" customWidth="1"/>
    <col min="1794" max="1794" width="9.140625" style="216"/>
    <col min="1795" max="1795" width="40.28515625" style="216" bestFit="1" customWidth="1"/>
    <col min="1796" max="1796" width="12" style="216" customWidth="1"/>
    <col min="1797" max="1797" width="10" style="216" customWidth="1"/>
    <col min="1798" max="1798" width="14.85546875" style="216" customWidth="1"/>
    <col min="1799" max="1799" width="9.5703125" style="216" customWidth="1"/>
    <col min="1800" max="1801" width="12.28515625" style="216" customWidth="1"/>
    <col min="1802" max="1804" width="12.85546875" style="216" customWidth="1"/>
    <col min="1805" max="1805" width="12.7109375" style="216" customWidth="1"/>
    <col min="1806" max="1806" width="12.28515625" style="216" bestFit="1" customWidth="1"/>
    <col min="1807" max="1807" width="13.140625" style="216" customWidth="1"/>
    <col min="1808" max="2048" width="9.140625" style="216"/>
    <col min="2049" max="2049" width="2.7109375" style="216" customWidth="1"/>
    <col min="2050" max="2050" width="9.140625" style="216"/>
    <col min="2051" max="2051" width="40.28515625" style="216" bestFit="1" customWidth="1"/>
    <col min="2052" max="2052" width="12" style="216" customWidth="1"/>
    <col min="2053" max="2053" width="10" style="216" customWidth="1"/>
    <col min="2054" max="2054" width="14.85546875" style="216" customWidth="1"/>
    <col min="2055" max="2055" width="9.5703125" style="216" customWidth="1"/>
    <col min="2056" max="2057" width="12.28515625" style="216" customWidth="1"/>
    <col min="2058" max="2060" width="12.85546875" style="216" customWidth="1"/>
    <col min="2061" max="2061" width="12.7109375" style="216" customWidth="1"/>
    <col min="2062" max="2062" width="12.28515625" style="216" bestFit="1" customWidth="1"/>
    <col min="2063" max="2063" width="13.140625" style="216" customWidth="1"/>
    <col min="2064" max="2304" width="9.140625" style="216"/>
    <col min="2305" max="2305" width="2.7109375" style="216" customWidth="1"/>
    <col min="2306" max="2306" width="9.140625" style="216"/>
    <col min="2307" max="2307" width="40.28515625" style="216" bestFit="1" customWidth="1"/>
    <col min="2308" max="2308" width="12" style="216" customWidth="1"/>
    <col min="2309" max="2309" width="10" style="216" customWidth="1"/>
    <col min="2310" max="2310" width="14.85546875" style="216" customWidth="1"/>
    <col min="2311" max="2311" width="9.5703125" style="216" customWidth="1"/>
    <col min="2312" max="2313" width="12.28515625" style="216" customWidth="1"/>
    <col min="2314" max="2316" width="12.85546875" style="216" customWidth="1"/>
    <col min="2317" max="2317" width="12.7109375" style="216" customWidth="1"/>
    <col min="2318" max="2318" width="12.28515625" style="216" bestFit="1" customWidth="1"/>
    <col min="2319" max="2319" width="13.140625" style="216" customWidth="1"/>
    <col min="2320" max="2560" width="9.140625" style="216"/>
    <col min="2561" max="2561" width="2.7109375" style="216" customWidth="1"/>
    <col min="2562" max="2562" width="9.140625" style="216"/>
    <col min="2563" max="2563" width="40.28515625" style="216" bestFit="1" customWidth="1"/>
    <col min="2564" max="2564" width="12" style="216" customWidth="1"/>
    <col min="2565" max="2565" width="10" style="216" customWidth="1"/>
    <col min="2566" max="2566" width="14.85546875" style="216" customWidth="1"/>
    <col min="2567" max="2567" width="9.5703125" style="216" customWidth="1"/>
    <col min="2568" max="2569" width="12.28515625" style="216" customWidth="1"/>
    <col min="2570" max="2572" width="12.85546875" style="216" customWidth="1"/>
    <col min="2573" max="2573" width="12.7109375" style="216" customWidth="1"/>
    <col min="2574" max="2574" width="12.28515625" style="216" bestFit="1" customWidth="1"/>
    <col min="2575" max="2575" width="13.140625" style="216" customWidth="1"/>
    <col min="2576" max="2816" width="9.140625" style="216"/>
    <col min="2817" max="2817" width="2.7109375" style="216" customWidth="1"/>
    <col min="2818" max="2818" width="9.140625" style="216"/>
    <col min="2819" max="2819" width="40.28515625" style="216" bestFit="1" customWidth="1"/>
    <col min="2820" max="2820" width="12" style="216" customWidth="1"/>
    <col min="2821" max="2821" width="10" style="216" customWidth="1"/>
    <col min="2822" max="2822" width="14.85546875" style="216" customWidth="1"/>
    <col min="2823" max="2823" width="9.5703125" style="216" customWidth="1"/>
    <col min="2824" max="2825" width="12.28515625" style="216" customWidth="1"/>
    <col min="2826" max="2828" width="12.85546875" style="216" customWidth="1"/>
    <col min="2829" max="2829" width="12.7109375" style="216" customWidth="1"/>
    <col min="2830" max="2830" width="12.28515625" style="216" bestFit="1" customWidth="1"/>
    <col min="2831" max="2831" width="13.140625" style="216" customWidth="1"/>
    <col min="2832" max="3072" width="9.140625" style="216"/>
    <col min="3073" max="3073" width="2.7109375" style="216" customWidth="1"/>
    <col min="3074" max="3074" width="9.140625" style="216"/>
    <col min="3075" max="3075" width="40.28515625" style="216" bestFit="1" customWidth="1"/>
    <col min="3076" max="3076" width="12" style="216" customWidth="1"/>
    <col min="3077" max="3077" width="10" style="216" customWidth="1"/>
    <col min="3078" max="3078" width="14.85546875" style="216" customWidth="1"/>
    <col min="3079" max="3079" width="9.5703125" style="216" customWidth="1"/>
    <col min="3080" max="3081" width="12.28515625" style="216" customWidth="1"/>
    <col min="3082" max="3084" width="12.85546875" style="216" customWidth="1"/>
    <col min="3085" max="3085" width="12.7109375" style="216" customWidth="1"/>
    <col min="3086" max="3086" width="12.28515625" style="216" bestFit="1" customWidth="1"/>
    <col min="3087" max="3087" width="13.140625" style="216" customWidth="1"/>
    <col min="3088" max="3328" width="9.140625" style="216"/>
    <col min="3329" max="3329" width="2.7109375" style="216" customWidth="1"/>
    <col min="3330" max="3330" width="9.140625" style="216"/>
    <col min="3331" max="3331" width="40.28515625" style="216" bestFit="1" customWidth="1"/>
    <col min="3332" max="3332" width="12" style="216" customWidth="1"/>
    <col min="3333" max="3333" width="10" style="216" customWidth="1"/>
    <col min="3334" max="3334" width="14.85546875" style="216" customWidth="1"/>
    <col min="3335" max="3335" width="9.5703125" style="216" customWidth="1"/>
    <col min="3336" max="3337" width="12.28515625" style="216" customWidth="1"/>
    <col min="3338" max="3340" width="12.85546875" style="216" customWidth="1"/>
    <col min="3341" max="3341" width="12.7109375" style="216" customWidth="1"/>
    <col min="3342" max="3342" width="12.28515625" style="216" bestFit="1" customWidth="1"/>
    <col min="3343" max="3343" width="13.140625" style="216" customWidth="1"/>
    <col min="3344" max="3584" width="9.140625" style="216"/>
    <col min="3585" max="3585" width="2.7109375" style="216" customWidth="1"/>
    <col min="3586" max="3586" width="9.140625" style="216"/>
    <col min="3587" max="3587" width="40.28515625" style="216" bestFit="1" customWidth="1"/>
    <col min="3588" max="3588" width="12" style="216" customWidth="1"/>
    <col min="3589" max="3589" width="10" style="216" customWidth="1"/>
    <col min="3590" max="3590" width="14.85546875" style="216" customWidth="1"/>
    <col min="3591" max="3591" width="9.5703125" style="216" customWidth="1"/>
    <col min="3592" max="3593" width="12.28515625" style="216" customWidth="1"/>
    <col min="3594" max="3596" width="12.85546875" style="216" customWidth="1"/>
    <col min="3597" max="3597" width="12.7109375" style="216" customWidth="1"/>
    <col min="3598" max="3598" width="12.28515625" style="216" bestFit="1" customWidth="1"/>
    <col min="3599" max="3599" width="13.140625" style="216" customWidth="1"/>
    <col min="3600" max="3840" width="9.140625" style="216"/>
    <col min="3841" max="3841" width="2.7109375" style="216" customWidth="1"/>
    <col min="3842" max="3842" width="9.140625" style="216"/>
    <col min="3843" max="3843" width="40.28515625" style="216" bestFit="1" customWidth="1"/>
    <col min="3844" max="3844" width="12" style="216" customWidth="1"/>
    <col min="3845" max="3845" width="10" style="216" customWidth="1"/>
    <col min="3846" max="3846" width="14.85546875" style="216" customWidth="1"/>
    <col min="3847" max="3847" width="9.5703125" style="216" customWidth="1"/>
    <col min="3848" max="3849" width="12.28515625" style="216" customWidth="1"/>
    <col min="3850" max="3852" width="12.85546875" style="216" customWidth="1"/>
    <col min="3853" max="3853" width="12.7109375" style="216" customWidth="1"/>
    <col min="3854" max="3854" width="12.28515625" style="216" bestFit="1" customWidth="1"/>
    <col min="3855" max="3855" width="13.140625" style="216" customWidth="1"/>
    <col min="3856" max="4096" width="9.140625" style="216"/>
    <col min="4097" max="4097" width="2.7109375" style="216" customWidth="1"/>
    <col min="4098" max="4098" width="9.140625" style="216"/>
    <col min="4099" max="4099" width="40.28515625" style="216" bestFit="1" customWidth="1"/>
    <col min="4100" max="4100" width="12" style="216" customWidth="1"/>
    <col min="4101" max="4101" width="10" style="216" customWidth="1"/>
    <col min="4102" max="4102" width="14.85546875" style="216" customWidth="1"/>
    <col min="4103" max="4103" width="9.5703125" style="216" customWidth="1"/>
    <col min="4104" max="4105" width="12.28515625" style="216" customWidth="1"/>
    <col min="4106" max="4108" width="12.85546875" style="216" customWidth="1"/>
    <col min="4109" max="4109" width="12.7109375" style="216" customWidth="1"/>
    <col min="4110" max="4110" width="12.28515625" style="216" bestFit="1" customWidth="1"/>
    <col min="4111" max="4111" width="13.140625" style="216" customWidth="1"/>
    <col min="4112" max="4352" width="9.140625" style="216"/>
    <col min="4353" max="4353" width="2.7109375" style="216" customWidth="1"/>
    <col min="4354" max="4354" width="9.140625" style="216"/>
    <col min="4355" max="4355" width="40.28515625" style="216" bestFit="1" customWidth="1"/>
    <col min="4356" max="4356" width="12" style="216" customWidth="1"/>
    <col min="4357" max="4357" width="10" style="216" customWidth="1"/>
    <col min="4358" max="4358" width="14.85546875" style="216" customWidth="1"/>
    <col min="4359" max="4359" width="9.5703125" style="216" customWidth="1"/>
    <col min="4360" max="4361" width="12.28515625" style="216" customWidth="1"/>
    <col min="4362" max="4364" width="12.85546875" style="216" customWidth="1"/>
    <col min="4365" max="4365" width="12.7109375" style="216" customWidth="1"/>
    <col min="4366" max="4366" width="12.28515625" style="216" bestFit="1" customWidth="1"/>
    <col min="4367" max="4367" width="13.140625" style="216" customWidth="1"/>
    <col min="4368" max="4608" width="9.140625" style="216"/>
    <col min="4609" max="4609" width="2.7109375" style="216" customWidth="1"/>
    <col min="4610" max="4610" width="9.140625" style="216"/>
    <col min="4611" max="4611" width="40.28515625" style="216" bestFit="1" customWidth="1"/>
    <col min="4612" max="4612" width="12" style="216" customWidth="1"/>
    <col min="4613" max="4613" width="10" style="216" customWidth="1"/>
    <col min="4614" max="4614" width="14.85546875" style="216" customWidth="1"/>
    <col min="4615" max="4615" width="9.5703125" style="216" customWidth="1"/>
    <col min="4616" max="4617" width="12.28515625" style="216" customWidth="1"/>
    <col min="4618" max="4620" width="12.85546875" style="216" customWidth="1"/>
    <col min="4621" max="4621" width="12.7109375" style="216" customWidth="1"/>
    <col min="4622" max="4622" width="12.28515625" style="216" bestFit="1" customWidth="1"/>
    <col min="4623" max="4623" width="13.140625" style="216" customWidth="1"/>
    <col min="4624" max="4864" width="9.140625" style="216"/>
    <col min="4865" max="4865" width="2.7109375" style="216" customWidth="1"/>
    <col min="4866" max="4866" width="9.140625" style="216"/>
    <col min="4867" max="4867" width="40.28515625" style="216" bestFit="1" customWidth="1"/>
    <col min="4868" max="4868" width="12" style="216" customWidth="1"/>
    <col min="4869" max="4869" width="10" style="216" customWidth="1"/>
    <col min="4870" max="4870" width="14.85546875" style="216" customWidth="1"/>
    <col min="4871" max="4871" width="9.5703125" style="216" customWidth="1"/>
    <col min="4872" max="4873" width="12.28515625" style="216" customWidth="1"/>
    <col min="4874" max="4876" width="12.85546875" style="216" customWidth="1"/>
    <col min="4877" max="4877" width="12.7109375" style="216" customWidth="1"/>
    <col min="4878" max="4878" width="12.28515625" style="216" bestFit="1" customWidth="1"/>
    <col min="4879" max="4879" width="13.140625" style="216" customWidth="1"/>
    <col min="4880" max="5120" width="9.140625" style="216"/>
    <col min="5121" max="5121" width="2.7109375" style="216" customWidth="1"/>
    <col min="5122" max="5122" width="9.140625" style="216"/>
    <col min="5123" max="5123" width="40.28515625" style="216" bestFit="1" customWidth="1"/>
    <col min="5124" max="5124" width="12" style="216" customWidth="1"/>
    <col min="5125" max="5125" width="10" style="216" customWidth="1"/>
    <col min="5126" max="5126" width="14.85546875" style="216" customWidth="1"/>
    <col min="5127" max="5127" width="9.5703125" style="216" customWidth="1"/>
    <col min="5128" max="5129" width="12.28515625" style="216" customWidth="1"/>
    <col min="5130" max="5132" width="12.85546875" style="216" customWidth="1"/>
    <col min="5133" max="5133" width="12.7109375" style="216" customWidth="1"/>
    <col min="5134" max="5134" width="12.28515625" style="216" bestFit="1" customWidth="1"/>
    <col min="5135" max="5135" width="13.140625" style="216" customWidth="1"/>
    <col min="5136" max="5376" width="9.140625" style="216"/>
    <col min="5377" max="5377" width="2.7109375" style="216" customWidth="1"/>
    <col min="5378" max="5378" width="9.140625" style="216"/>
    <col min="5379" max="5379" width="40.28515625" style="216" bestFit="1" customWidth="1"/>
    <col min="5380" max="5380" width="12" style="216" customWidth="1"/>
    <col min="5381" max="5381" width="10" style="216" customWidth="1"/>
    <col min="5382" max="5382" width="14.85546875" style="216" customWidth="1"/>
    <col min="5383" max="5383" width="9.5703125" style="216" customWidth="1"/>
    <col min="5384" max="5385" width="12.28515625" style="216" customWidth="1"/>
    <col min="5386" max="5388" width="12.85546875" style="216" customWidth="1"/>
    <col min="5389" max="5389" width="12.7109375" style="216" customWidth="1"/>
    <col min="5390" max="5390" width="12.28515625" style="216" bestFit="1" customWidth="1"/>
    <col min="5391" max="5391" width="13.140625" style="216" customWidth="1"/>
    <col min="5392" max="5632" width="9.140625" style="216"/>
    <col min="5633" max="5633" width="2.7109375" style="216" customWidth="1"/>
    <col min="5634" max="5634" width="9.140625" style="216"/>
    <col min="5635" max="5635" width="40.28515625" style="216" bestFit="1" customWidth="1"/>
    <col min="5636" max="5636" width="12" style="216" customWidth="1"/>
    <col min="5637" max="5637" width="10" style="216" customWidth="1"/>
    <col min="5638" max="5638" width="14.85546875" style="216" customWidth="1"/>
    <col min="5639" max="5639" width="9.5703125" style="216" customWidth="1"/>
    <col min="5640" max="5641" width="12.28515625" style="216" customWidth="1"/>
    <col min="5642" max="5644" width="12.85546875" style="216" customWidth="1"/>
    <col min="5645" max="5645" width="12.7109375" style="216" customWidth="1"/>
    <col min="5646" max="5646" width="12.28515625" style="216" bestFit="1" customWidth="1"/>
    <col min="5647" max="5647" width="13.140625" style="216" customWidth="1"/>
    <col min="5648" max="5888" width="9.140625" style="216"/>
    <col min="5889" max="5889" width="2.7109375" style="216" customWidth="1"/>
    <col min="5890" max="5890" width="9.140625" style="216"/>
    <col min="5891" max="5891" width="40.28515625" style="216" bestFit="1" customWidth="1"/>
    <col min="5892" max="5892" width="12" style="216" customWidth="1"/>
    <col min="5893" max="5893" width="10" style="216" customWidth="1"/>
    <col min="5894" max="5894" width="14.85546875" style="216" customWidth="1"/>
    <col min="5895" max="5895" width="9.5703125" style="216" customWidth="1"/>
    <col min="5896" max="5897" width="12.28515625" style="216" customWidth="1"/>
    <col min="5898" max="5900" width="12.85546875" style="216" customWidth="1"/>
    <col min="5901" max="5901" width="12.7109375" style="216" customWidth="1"/>
    <col min="5902" max="5902" width="12.28515625" style="216" bestFit="1" customWidth="1"/>
    <col min="5903" max="5903" width="13.140625" style="216" customWidth="1"/>
    <col min="5904" max="6144" width="9.140625" style="216"/>
    <col min="6145" max="6145" width="2.7109375" style="216" customWidth="1"/>
    <col min="6146" max="6146" width="9.140625" style="216"/>
    <col min="6147" max="6147" width="40.28515625" style="216" bestFit="1" customWidth="1"/>
    <col min="6148" max="6148" width="12" style="216" customWidth="1"/>
    <col min="6149" max="6149" width="10" style="216" customWidth="1"/>
    <col min="6150" max="6150" width="14.85546875" style="216" customWidth="1"/>
    <col min="6151" max="6151" width="9.5703125" style="216" customWidth="1"/>
    <col min="6152" max="6153" width="12.28515625" style="216" customWidth="1"/>
    <col min="6154" max="6156" width="12.85546875" style="216" customWidth="1"/>
    <col min="6157" max="6157" width="12.7109375" style="216" customWidth="1"/>
    <col min="6158" max="6158" width="12.28515625" style="216" bestFit="1" customWidth="1"/>
    <col min="6159" max="6159" width="13.140625" style="216" customWidth="1"/>
    <col min="6160" max="6400" width="9.140625" style="216"/>
    <col min="6401" max="6401" width="2.7109375" style="216" customWidth="1"/>
    <col min="6402" max="6402" width="9.140625" style="216"/>
    <col min="6403" max="6403" width="40.28515625" style="216" bestFit="1" customWidth="1"/>
    <col min="6404" max="6404" width="12" style="216" customWidth="1"/>
    <col min="6405" max="6405" width="10" style="216" customWidth="1"/>
    <col min="6406" max="6406" width="14.85546875" style="216" customWidth="1"/>
    <col min="6407" max="6407" width="9.5703125" style="216" customWidth="1"/>
    <col min="6408" max="6409" width="12.28515625" style="216" customWidth="1"/>
    <col min="6410" max="6412" width="12.85546875" style="216" customWidth="1"/>
    <col min="6413" max="6413" width="12.7109375" style="216" customWidth="1"/>
    <col min="6414" max="6414" width="12.28515625" style="216" bestFit="1" customWidth="1"/>
    <col min="6415" max="6415" width="13.140625" style="216" customWidth="1"/>
    <col min="6416" max="6656" width="9.140625" style="216"/>
    <col min="6657" max="6657" width="2.7109375" style="216" customWidth="1"/>
    <col min="6658" max="6658" width="9.140625" style="216"/>
    <col min="6659" max="6659" width="40.28515625" style="216" bestFit="1" customWidth="1"/>
    <col min="6660" max="6660" width="12" style="216" customWidth="1"/>
    <col min="6661" max="6661" width="10" style="216" customWidth="1"/>
    <col min="6662" max="6662" width="14.85546875" style="216" customWidth="1"/>
    <col min="6663" max="6663" width="9.5703125" style="216" customWidth="1"/>
    <col min="6664" max="6665" width="12.28515625" style="216" customWidth="1"/>
    <col min="6666" max="6668" width="12.85546875" style="216" customWidth="1"/>
    <col min="6669" max="6669" width="12.7109375" style="216" customWidth="1"/>
    <col min="6670" max="6670" width="12.28515625" style="216" bestFit="1" customWidth="1"/>
    <col min="6671" max="6671" width="13.140625" style="216" customWidth="1"/>
    <col min="6672" max="6912" width="9.140625" style="216"/>
    <col min="6913" max="6913" width="2.7109375" style="216" customWidth="1"/>
    <col min="6914" max="6914" width="9.140625" style="216"/>
    <col min="6915" max="6915" width="40.28515625" style="216" bestFit="1" customWidth="1"/>
    <col min="6916" max="6916" width="12" style="216" customWidth="1"/>
    <col min="6917" max="6917" width="10" style="216" customWidth="1"/>
    <col min="6918" max="6918" width="14.85546875" style="216" customWidth="1"/>
    <col min="6919" max="6919" width="9.5703125" style="216" customWidth="1"/>
    <col min="6920" max="6921" width="12.28515625" style="216" customWidth="1"/>
    <col min="6922" max="6924" width="12.85546875" style="216" customWidth="1"/>
    <col min="6925" max="6925" width="12.7109375" style="216" customWidth="1"/>
    <col min="6926" max="6926" width="12.28515625" style="216" bestFit="1" customWidth="1"/>
    <col min="6927" max="6927" width="13.140625" style="216" customWidth="1"/>
    <col min="6928" max="7168" width="9.140625" style="216"/>
    <col min="7169" max="7169" width="2.7109375" style="216" customWidth="1"/>
    <col min="7170" max="7170" width="9.140625" style="216"/>
    <col min="7171" max="7171" width="40.28515625" style="216" bestFit="1" customWidth="1"/>
    <col min="7172" max="7172" width="12" style="216" customWidth="1"/>
    <col min="7173" max="7173" width="10" style="216" customWidth="1"/>
    <col min="7174" max="7174" width="14.85546875" style="216" customWidth="1"/>
    <col min="7175" max="7175" width="9.5703125" style="216" customWidth="1"/>
    <col min="7176" max="7177" width="12.28515625" style="216" customWidth="1"/>
    <col min="7178" max="7180" width="12.85546875" style="216" customWidth="1"/>
    <col min="7181" max="7181" width="12.7109375" style="216" customWidth="1"/>
    <col min="7182" max="7182" width="12.28515625" style="216" bestFit="1" customWidth="1"/>
    <col min="7183" max="7183" width="13.140625" style="216" customWidth="1"/>
    <col min="7184" max="7424" width="9.140625" style="216"/>
    <col min="7425" max="7425" width="2.7109375" style="216" customWidth="1"/>
    <col min="7426" max="7426" width="9.140625" style="216"/>
    <col min="7427" max="7427" width="40.28515625" style="216" bestFit="1" customWidth="1"/>
    <col min="7428" max="7428" width="12" style="216" customWidth="1"/>
    <col min="7429" max="7429" width="10" style="216" customWidth="1"/>
    <col min="7430" max="7430" width="14.85546875" style="216" customWidth="1"/>
    <col min="7431" max="7431" width="9.5703125" style="216" customWidth="1"/>
    <col min="7432" max="7433" width="12.28515625" style="216" customWidth="1"/>
    <col min="7434" max="7436" width="12.85546875" style="216" customWidth="1"/>
    <col min="7437" max="7437" width="12.7109375" style="216" customWidth="1"/>
    <col min="7438" max="7438" width="12.28515625" style="216" bestFit="1" customWidth="1"/>
    <col min="7439" max="7439" width="13.140625" style="216" customWidth="1"/>
    <col min="7440" max="7680" width="9.140625" style="216"/>
    <col min="7681" max="7681" width="2.7109375" style="216" customWidth="1"/>
    <col min="7682" max="7682" width="9.140625" style="216"/>
    <col min="7683" max="7683" width="40.28515625" style="216" bestFit="1" customWidth="1"/>
    <col min="7684" max="7684" width="12" style="216" customWidth="1"/>
    <col min="7685" max="7685" width="10" style="216" customWidth="1"/>
    <col min="7686" max="7686" width="14.85546875" style="216" customWidth="1"/>
    <col min="7687" max="7687" width="9.5703125" style="216" customWidth="1"/>
    <col min="7688" max="7689" width="12.28515625" style="216" customWidth="1"/>
    <col min="7690" max="7692" width="12.85546875" style="216" customWidth="1"/>
    <col min="7693" max="7693" width="12.7109375" style="216" customWidth="1"/>
    <col min="7694" max="7694" width="12.28515625" style="216" bestFit="1" customWidth="1"/>
    <col min="7695" max="7695" width="13.140625" style="216" customWidth="1"/>
    <col min="7696" max="7936" width="9.140625" style="216"/>
    <col min="7937" max="7937" width="2.7109375" style="216" customWidth="1"/>
    <col min="7938" max="7938" width="9.140625" style="216"/>
    <col min="7939" max="7939" width="40.28515625" style="216" bestFit="1" customWidth="1"/>
    <col min="7940" max="7940" width="12" style="216" customWidth="1"/>
    <col min="7941" max="7941" width="10" style="216" customWidth="1"/>
    <col min="7942" max="7942" width="14.85546875" style="216" customWidth="1"/>
    <col min="7943" max="7943" width="9.5703125" style="216" customWidth="1"/>
    <col min="7944" max="7945" width="12.28515625" style="216" customWidth="1"/>
    <col min="7946" max="7948" width="12.85546875" style="216" customWidth="1"/>
    <col min="7949" max="7949" width="12.7109375" style="216" customWidth="1"/>
    <col min="7950" max="7950" width="12.28515625" style="216" bestFit="1" customWidth="1"/>
    <col min="7951" max="7951" width="13.140625" style="216" customWidth="1"/>
    <col min="7952" max="8192" width="9.140625" style="216"/>
    <col min="8193" max="8193" width="2.7109375" style="216" customWidth="1"/>
    <col min="8194" max="8194" width="9.140625" style="216"/>
    <col min="8195" max="8195" width="40.28515625" style="216" bestFit="1" customWidth="1"/>
    <col min="8196" max="8196" width="12" style="216" customWidth="1"/>
    <col min="8197" max="8197" width="10" style="216" customWidth="1"/>
    <col min="8198" max="8198" width="14.85546875" style="216" customWidth="1"/>
    <col min="8199" max="8199" width="9.5703125" style="216" customWidth="1"/>
    <col min="8200" max="8201" width="12.28515625" style="216" customWidth="1"/>
    <col min="8202" max="8204" width="12.85546875" style="216" customWidth="1"/>
    <col min="8205" max="8205" width="12.7109375" style="216" customWidth="1"/>
    <col min="8206" max="8206" width="12.28515625" style="216" bestFit="1" customWidth="1"/>
    <col min="8207" max="8207" width="13.140625" style="216" customWidth="1"/>
    <col min="8208" max="8448" width="9.140625" style="216"/>
    <col min="8449" max="8449" width="2.7109375" style="216" customWidth="1"/>
    <col min="8450" max="8450" width="9.140625" style="216"/>
    <col min="8451" max="8451" width="40.28515625" style="216" bestFit="1" customWidth="1"/>
    <col min="8452" max="8452" width="12" style="216" customWidth="1"/>
    <col min="8453" max="8453" width="10" style="216" customWidth="1"/>
    <col min="8454" max="8454" width="14.85546875" style="216" customWidth="1"/>
    <col min="8455" max="8455" width="9.5703125" style="216" customWidth="1"/>
    <col min="8456" max="8457" width="12.28515625" style="216" customWidth="1"/>
    <col min="8458" max="8460" width="12.85546875" style="216" customWidth="1"/>
    <col min="8461" max="8461" width="12.7109375" style="216" customWidth="1"/>
    <col min="8462" max="8462" width="12.28515625" style="216" bestFit="1" customWidth="1"/>
    <col min="8463" max="8463" width="13.140625" style="216" customWidth="1"/>
    <col min="8464" max="8704" width="9.140625" style="216"/>
    <col min="8705" max="8705" width="2.7109375" style="216" customWidth="1"/>
    <col min="8706" max="8706" width="9.140625" style="216"/>
    <col min="8707" max="8707" width="40.28515625" style="216" bestFit="1" customWidth="1"/>
    <col min="8708" max="8708" width="12" style="216" customWidth="1"/>
    <col min="8709" max="8709" width="10" style="216" customWidth="1"/>
    <col min="8710" max="8710" width="14.85546875" style="216" customWidth="1"/>
    <col min="8711" max="8711" width="9.5703125" style="216" customWidth="1"/>
    <col min="8712" max="8713" width="12.28515625" style="216" customWidth="1"/>
    <col min="8714" max="8716" width="12.85546875" style="216" customWidth="1"/>
    <col min="8717" max="8717" width="12.7109375" style="216" customWidth="1"/>
    <col min="8718" max="8718" width="12.28515625" style="216" bestFit="1" customWidth="1"/>
    <col min="8719" max="8719" width="13.140625" style="216" customWidth="1"/>
    <col min="8720" max="8960" width="9.140625" style="216"/>
    <col min="8961" max="8961" width="2.7109375" style="216" customWidth="1"/>
    <col min="8962" max="8962" width="9.140625" style="216"/>
    <col min="8963" max="8963" width="40.28515625" style="216" bestFit="1" customWidth="1"/>
    <col min="8964" max="8964" width="12" style="216" customWidth="1"/>
    <col min="8965" max="8965" width="10" style="216" customWidth="1"/>
    <col min="8966" max="8966" width="14.85546875" style="216" customWidth="1"/>
    <col min="8967" max="8967" width="9.5703125" style="216" customWidth="1"/>
    <col min="8968" max="8969" width="12.28515625" style="216" customWidth="1"/>
    <col min="8970" max="8972" width="12.85546875" style="216" customWidth="1"/>
    <col min="8973" max="8973" width="12.7109375" style="216" customWidth="1"/>
    <col min="8974" max="8974" width="12.28515625" style="216" bestFit="1" customWidth="1"/>
    <col min="8975" max="8975" width="13.140625" style="216" customWidth="1"/>
    <col min="8976" max="9216" width="9.140625" style="216"/>
    <col min="9217" max="9217" width="2.7109375" style="216" customWidth="1"/>
    <col min="9218" max="9218" width="9.140625" style="216"/>
    <col min="9219" max="9219" width="40.28515625" style="216" bestFit="1" customWidth="1"/>
    <col min="9220" max="9220" width="12" style="216" customWidth="1"/>
    <col min="9221" max="9221" width="10" style="216" customWidth="1"/>
    <col min="9222" max="9222" width="14.85546875" style="216" customWidth="1"/>
    <col min="9223" max="9223" width="9.5703125" style="216" customWidth="1"/>
    <col min="9224" max="9225" width="12.28515625" style="216" customWidth="1"/>
    <col min="9226" max="9228" width="12.85546875" style="216" customWidth="1"/>
    <col min="9229" max="9229" width="12.7109375" style="216" customWidth="1"/>
    <col min="9230" max="9230" width="12.28515625" style="216" bestFit="1" customWidth="1"/>
    <col min="9231" max="9231" width="13.140625" style="216" customWidth="1"/>
    <col min="9232" max="9472" width="9.140625" style="216"/>
    <col min="9473" max="9473" width="2.7109375" style="216" customWidth="1"/>
    <col min="9474" max="9474" width="9.140625" style="216"/>
    <col min="9475" max="9475" width="40.28515625" style="216" bestFit="1" customWidth="1"/>
    <col min="9476" max="9476" width="12" style="216" customWidth="1"/>
    <col min="9477" max="9477" width="10" style="216" customWidth="1"/>
    <col min="9478" max="9478" width="14.85546875" style="216" customWidth="1"/>
    <col min="9479" max="9479" width="9.5703125" style="216" customWidth="1"/>
    <col min="9480" max="9481" width="12.28515625" style="216" customWidth="1"/>
    <col min="9482" max="9484" width="12.85546875" style="216" customWidth="1"/>
    <col min="9485" max="9485" width="12.7109375" style="216" customWidth="1"/>
    <col min="9486" max="9486" width="12.28515625" style="216" bestFit="1" customWidth="1"/>
    <col min="9487" max="9487" width="13.140625" style="216" customWidth="1"/>
    <col min="9488" max="9728" width="9.140625" style="216"/>
    <col min="9729" max="9729" width="2.7109375" style="216" customWidth="1"/>
    <col min="9730" max="9730" width="9.140625" style="216"/>
    <col min="9731" max="9731" width="40.28515625" style="216" bestFit="1" customWidth="1"/>
    <col min="9732" max="9732" width="12" style="216" customWidth="1"/>
    <col min="9733" max="9733" width="10" style="216" customWidth="1"/>
    <col min="9734" max="9734" width="14.85546875" style="216" customWidth="1"/>
    <col min="9735" max="9735" width="9.5703125" style="216" customWidth="1"/>
    <col min="9736" max="9737" width="12.28515625" style="216" customWidth="1"/>
    <col min="9738" max="9740" width="12.85546875" style="216" customWidth="1"/>
    <col min="9741" max="9741" width="12.7109375" style="216" customWidth="1"/>
    <col min="9742" max="9742" width="12.28515625" style="216" bestFit="1" customWidth="1"/>
    <col min="9743" max="9743" width="13.140625" style="216" customWidth="1"/>
    <col min="9744" max="9984" width="9.140625" style="216"/>
    <col min="9985" max="9985" width="2.7109375" style="216" customWidth="1"/>
    <col min="9986" max="9986" width="9.140625" style="216"/>
    <col min="9987" max="9987" width="40.28515625" style="216" bestFit="1" customWidth="1"/>
    <col min="9988" max="9988" width="12" style="216" customWidth="1"/>
    <col min="9989" max="9989" width="10" style="216" customWidth="1"/>
    <col min="9990" max="9990" width="14.85546875" style="216" customWidth="1"/>
    <col min="9991" max="9991" width="9.5703125" style="216" customWidth="1"/>
    <col min="9992" max="9993" width="12.28515625" style="216" customWidth="1"/>
    <col min="9994" max="9996" width="12.85546875" style="216" customWidth="1"/>
    <col min="9997" max="9997" width="12.7109375" style="216" customWidth="1"/>
    <col min="9998" max="9998" width="12.28515625" style="216" bestFit="1" customWidth="1"/>
    <col min="9999" max="9999" width="13.140625" style="216" customWidth="1"/>
    <col min="10000" max="10240" width="9.140625" style="216"/>
    <col min="10241" max="10241" width="2.7109375" style="216" customWidth="1"/>
    <col min="10242" max="10242" width="9.140625" style="216"/>
    <col min="10243" max="10243" width="40.28515625" style="216" bestFit="1" customWidth="1"/>
    <col min="10244" max="10244" width="12" style="216" customWidth="1"/>
    <col min="10245" max="10245" width="10" style="216" customWidth="1"/>
    <col min="10246" max="10246" width="14.85546875" style="216" customWidth="1"/>
    <col min="10247" max="10247" width="9.5703125" style="216" customWidth="1"/>
    <col min="10248" max="10249" width="12.28515625" style="216" customWidth="1"/>
    <col min="10250" max="10252" width="12.85546875" style="216" customWidth="1"/>
    <col min="10253" max="10253" width="12.7109375" style="216" customWidth="1"/>
    <col min="10254" max="10254" width="12.28515625" style="216" bestFit="1" customWidth="1"/>
    <col min="10255" max="10255" width="13.140625" style="216" customWidth="1"/>
    <col min="10256" max="10496" width="9.140625" style="216"/>
    <col min="10497" max="10497" width="2.7109375" style="216" customWidth="1"/>
    <col min="10498" max="10498" width="9.140625" style="216"/>
    <col min="10499" max="10499" width="40.28515625" style="216" bestFit="1" customWidth="1"/>
    <col min="10500" max="10500" width="12" style="216" customWidth="1"/>
    <col min="10501" max="10501" width="10" style="216" customWidth="1"/>
    <col min="10502" max="10502" width="14.85546875" style="216" customWidth="1"/>
    <col min="10503" max="10503" width="9.5703125" style="216" customWidth="1"/>
    <col min="10504" max="10505" width="12.28515625" style="216" customWidth="1"/>
    <col min="10506" max="10508" width="12.85546875" style="216" customWidth="1"/>
    <col min="10509" max="10509" width="12.7109375" style="216" customWidth="1"/>
    <col min="10510" max="10510" width="12.28515625" style="216" bestFit="1" customWidth="1"/>
    <col min="10511" max="10511" width="13.140625" style="216" customWidth="1"/>
    <col min="10512" max="10752" width="9.140625" style="216"/>
    <col min="10753" max="10753" width="2.7109375" style="216" customWidth="1"/>
    <col min="10754" max="10754" width="9.140625" style="216"/>
    <col min="10755" max="10755" width="40.28515625" style="216" bestFit="1" customWidth="1"/>
    <col min="10756" max="10756" width="12" style="216" customWidth="1"/>
    <col min="10757" max="10757" width="10" style="216" customWidth="1"/>
    <col min="10758" max="10758" width="14.85546875" style="216" customWidth="1"/>
    <col min="10759" max="10759" width="9.5703125" style="216" customWidth="1"/>
    <col min="10760" max="10761" width="12.28515625" style="216" customWidth="1"/>
    <col min="10762" max="10764" width="12.85546875" style="216" customWidth="1"/>
    <col min="10765" max="10765" width="12.7109375" style="216" customWidth="1"/>
    <col min="10766" max="10766" width="12.28515625" style="216" bestFit="1" customWidth="1"/>
    <col min="10767" max="10767" width="13.140625" style="216" customWidth="1"/>
    <col min="10768" max="11008" width="9.140625" style="216"/>
    <col min="11009" max="11009" width="2.7109375" style="216" customWidth="1"/>
    <col min="11010" max="11010" width="9.140625" style="216"/>
    <col min="11011" max="11011" width="40.28515625" style="216" bestFit="1" customWidth="1"/>
    <col min="11012" max="11012" width="12" style="216" customWidth="1"/>
    <col min="11013" max="11013" width="10" style="216" customWidth="1"/>
    <col min="11014" max="11014" width="14.85546875" style="216" customWidth="1"/>
    <col min="11015" max="11015" width="9.5703125" style="216" customWidth="1"/>
    <col min="11016" max="11017" width="12.28515625" style="216" customWidth="1"/>
    <col min="11018" max="11020" width="12.85546875" style="216" customWidth="1"/>
    <col min="11021" max="11021" width="12.7109375" style="216" customWidth="1"/>
    <col min="11022" max="11022" width="12.28515625" style="216" bestFit="1" customWidth="1"/>
    <col min="11023" max="11023" width="13.140625" style="216" customWidth="1"/>
    <col min="11024" max="11264" width="9.140625" style="216"/>
    <col min="11265" max="11265" width="2.7109375" style="216" customWidth="1"/>
    <col min="11266" max="11266" width="9.140625" style="216"/>
    <col min="11267" max="11267" width="40.28515625" style="216" bestFit="1" customWidth="1"/>
    <col min="11268" max="11268" width="12" style="216" customWidth="1"/>
    <col min="11269" max="11269" width="10" style="216" customWidth="1"/>
    <col min="11270" max="11270" width="14.85546875" style="216" customWidth="1"/>
    <col min="11271" max="11271" width="9.5703125" style="216" customWidth="1"/>
    <col min="11272" max="11273" width="12.28515625" style="216" customWidth="1"/>
    <col min="11274" max="11276" width="12.85546875" style="216" customWidth="1"/>
    <col min="11277" max="11277" width="12.7109375" style="216" customWidth="1"/>
    <col min="11278" max="11278" width="12.28515625" style="216" bestFit="1" customWidth="1"/>
    <col min="11279" max="11279" width="13.140625" style="216" customWidth="1"/>
    <col min="11280" max="11520" width="9.140625" style="216"/>
    <col min="11521" max="11521" width="2.7109375" style="216" customWidth="1"/>
    <col min="11522" max="11522" width="9.140625" style="216"/>
    <col min="11523" max="11523" width="40.28515625" style="216" bestFit="1" customWidth="1"/>
    <col min="11524" max="11524" width="12" style="216" customWidth="1"/>
    <col min="11525" max="11525" width="10" style="216" customWidth="1"/>
    <col min="11526" max="11526" width="14.85546875" style="216" customWidth="1"/>
    <col min="11527" max="11527" width="9.5703125" style="216" customWidth="1"/>
    <col min="11528" max="11529" width="12.28515625" style="216" customWidth="1"/>
    <col min="11530" max="11532" width="12.85546875" style="216" customWidth="1"/>
    <col min="11533" max="11533" width="12.7109375" style="216" customWidth="1"/>
    <col min="11534" max="11534" width="12.28515625" style="216" bestFit="1" customWidth="1"/>
    <col min="11535" max="11535" width="13.140625" style="216" customWidth="1"/>
    <col min="11536" max="11776" width="9.140625" style="216"/>
    <col min="11777" max="11777" width="2.7109375" style="216" customWidth="1"/>
    <col min="11778" max="11778" width="9.140625" style="216"/>
    <col min="11779" max="11779" width="40.28515625" style="216" bestFit="1" customWidth="1"/>
    <col min="11780" max="11780" width="12" style="216" customWidth="1"/>
    <col min="11781" max="11781" width="10" style="216" customWidth="1"/>
    <col min="11782" max="11782" width="14.85546875" style="216" customWidth="1"/>
    <col min="11783" max="11783" width="9.5703125" style="216" customWidth="1"/>
    <col min="11784" max="11785" width="12.28515625" style="216" customWidth="1"/>
    <col min="11786" max="11788" width="12.85546875" style="216" customWidth="1"/>
    <col min="11789" max="11789" width="12.7109375" style="216" customWidth="1"/>
    <col min="11790" max="11790" width="12.28515625" style="216" bestFit="1" customWidth="1"/>
    <col min="11791" max="11791" width="13.140625" style="216" customWidth="1"/>
    <col min="11792" max="12032" width="9.140625" style="216"/>
    <col min="12033" max="12033" width="2.7109375" style="216" customWidth="1"/>
    <col min="12034" max="12034" width="9.140625" style="216"/>
    <col min="12035" max="12035" width="40.28515625" style="216" bestFit="1" customWidth="1"/>
    <col min="12036" max="12036" width="12" style="216" customWidth="1"/>
    <col min="12037" max="12037" width="10" style="216" customWidth="1"/>
    <col min="12038" max="12038" width="14.85546875" style="216" customWidth="1"/>
    <col min="12039" max="12039" width="9.5703125" style="216" customWidth="1"/>
    <col min="12040" max="12041" width="12.28515625" style="216" customWidth="1"/>
    <col min="12042" max="12044" width="12.85546875" style="216" customWidth="1"/>
    <col min="12045" max="12045" width="12.7109375" style="216" customWidth="1"/>
    <col min="12046" max="12046" width="12.28515625" style="216" bestFit="1" customWidth="1"/>
    <col min="12047" max="12047" width="13.140625" style="216" customWidth="1"/>
    <col min="12048" max="12288" width="9.140625" style="216"/>
    <col min="12289" max="12289" width="2.7109375" style="216" customWidth="1"/>
    <col min="12290" max="12290" width="9.140625" style="216"/>
    <col min="12291" max="12291" width="40.28515625" style="216" bestFit="1" customWidth="1"/>
    <col min="12292" max="12292" width="12" style="216" customWidth="1"/>
    <col min="12293" max="12293" width="10" style="216" customWidth="1"/>
    <col min="12294" max="12294" width="14.85546875" style="216" customWidth="1"/>
    <col min="12295" max="12295" width="9.5703125" style="216" customWidth="1"/>
    <col min="12296" max="12297" width="12.28515625" style="216" customWidth="1"/>
    <col min="12298" max="12300" width="12.85546875" style="216" customWidth="1"/>
    <col min="12301" max="12301" width="12.7109375" style="216" customWidth="1"/>
    <col min="12302" max="12302" width="12.28515625" style="216" bestFit="1" customWidth="1"/>
    <col min="12303" max="12303" width="13.140625" style="216" customWidth="1"/>
    <col min="12304" max="12544" width="9.140625" style="216"/>
    <col min="12545" max="12545" width="2.7109375" style="216" customWidth="1"/>
    <col min="12546" max="12546" width="9.140625" style="216"/>
    <col min="12547" max="12547" width="40.28515625" style="216" bestFit="1" customWidth="1"/>
    <col min="12548" max="12548" width="12" style="216" customWidth="1"/>
    <col min="12549" max="12549" width="10" style="216" customWidth="1"/>
    <col min="12550" max="12550" width="14.85546875" style="216" customWidth="1"/>
    <col min="12551" max="12551" width="9.5703125" style="216" customWidth="1"/>
    <col min="12552" max="12553" width="12.28515625" style="216" customWidth="1"/>
    <col min="12554" max="12556" width="12.85546875" style="216" customWidth="1"/>
    <col min="12557" max="12557" width="12.7109375" style="216" customWidth="1"/>
    <col min="12558" max="12558" width="12.28515625" style="216" bestFit="1" customWidth="1"/>
    <col min="12559" max="12559" width="13.140625" style="216" customWidth="1"/>
    <col min="12560" max="12800" width="9.140625" style="216"/>
    <col min="12801" max="12801" width="2.7109375" style="216" customWidth="1"/>
    <col min="12802" max="12802" width="9.140625" style="216"/>
    <col min="12803" max="12803" width="40.28515625" style="216" bestFit="1" customWidth="1"/>
    <col min="12804" max="12804" width="12" style="216" customWidth="1"/>
    <col min="12805" max="12805" width="10" style="216" customWidth="1"/>
    <col min="12806" max="12806" width="14.85546875" style="216" customWidth="1"/>
    <col min="12807" max="12807" width="9.5703125" style="216" customWidth="1"/>
    <col min="12808" max="12809" width="12.28515625" style="216" customWidth="1"/>
    <col min="12810" max="12812" width="12.85546875" style="216" customWidth="1"/>
    <col min="12813" max="12813" width="12.7109375" style="216" customWidth="1"/>
    <col min="12814" max="12814" width="12.28515625" style="216" bestFit="1" customWidth="1"/>
    <col min="12815" max="12815" width="13.140625" style="216" customWidth="1"/>
    <col min="12816" max="13056" width="9.140625" style="216"/>
    <col min="13057" max="13057" width="2.7109375" style="216" customWidth="1"/>
    <col min="13058" max="13058" width="9.140625" style="216"/>
    <col min="13059" max="13059" width="40.28515625" style="216" bestFit="1" customWidth="1"/>
    <col min="13060" max="13060" width="12" style="216" customWidth="1"/>
    <col min="13061" max="13061" width="10" style="216" customWidth="1"/>
    <col min="13062" max="13062" width="14.85546875" style="216" customWidth="1"/>
    <col min="13063" max="13063" width="9.5703125" style="216" customWidth="1"/>
    <col min="13064" max="13065" width="12.28515625" style="216" customWidth="1"/>
    <col min="13066" max="13068" width="12.85546875" style="216" customWidth="1"/>
    <col min="13069" max="13069" width="12.7109375" style="216" customWidth="1"/>
    <col min="13070" max="13070" width="12.28515625" style="216" bestFit="1" customWidth="1"/>
    <col min="13071" max="13071" width="13.140625" style="216" customWidth="1"/>
    <col min="13072" max="13312" width="9.140625" style="216"/>
    <col min="13313" max="13313" width="2.7109375" style="216" customWidth="1"/>
    <col min="13314" max="13314" width="9.140625" style="216"/>
    <col min="13315" max="13315" width="40.28515625" style="216" bestFit="1" customWidth="1"/>
    <col min="13316" max="13316" width="12" style="216" customWidth="1"/>
    <col min="13317" max="13317" width="10" style="216" customWidth="1"/>
    <col min="13318" max="13318" width="14.85546875" style="216" customWidth="1"/>
    <col min="13319" max="13319" width="9.5703125" style="216" customWidth="1"/>
    <col min="13320" max="13321" width="12.28515625" style="216" customWidth="1"/>
    <col min="13322" max="13324" width="12.85546875" style="216" customWidth="1"/>
    <col min="13325" max="13325" width="12.7109375" style="216" customWidth="1"/>
    <col min="13326" max="13326" width="12.28515625" style="216" bestFit="1" customWidth="1"/>
    <col min="13327" max="13327" width="13.140625" style="216" customWidth="1"/>
    <col min="13328" max="13568" width="9.140625" style="216"/>
    <col min="13569" max="13569" width="2.7109375" style="216" customWidth="1"/>
    <col min="13570" max="13570" width="9.140625" style="216"/>
    <col min="13571" max="13571" width="40.28515625" style="216" bestFit="1" customWidth="1"/>
    <col min="13572" max="13572" width="12" style="216" customWidth="1"/>
    <col min="13573" max="13573" width="10" style="216" customWidth="1"/>
    <col min="13574" max="13574" width="14.85546875" style="216" customWidth="1"/>
    <col min="13575" max="13575" width="9.5703125" style="216" customWidth="1"/>
    <col min="13576" max="13577" width="12.28515625" style="216" customWidth="1"/>
    <col min="13578" max="13580" width="12.85546875" style="216" customWidth="1"/>
    <col min="13581" max="13581" width="12.7109375" style="216" customWidth="1"/>
    <col min="13582" max="13582" width="12.28515625" style="216" bestFit="1" customWidth="1"/>
    <col min="13583" max="13583" width="13.140625" style="216" customWidth="1"/>
    <col min="13584" max="13824" width="9.140625" style="216"/>
    <col min="13825" max="13825" width="2.7109375" style="216" customWidth="1"/>
    <col min="13826" max="13826" width="9.140625" style="216"/>
    <col min="13827" max="13827" width="40.28515625" style="216" bestFit="1" customWidth="1"/>
    <col min="13828" max="13828" width="12" style="216" customWidth="1"/>
    <col min="13829" max="13829" width="10" style="216" customWidth="1"/>
    <col min="13830" max="13830" width="14.85546875" style="216" customWidth="1"/>
    <col min="13831" max="13831" width="9.5703125" style="216" customWidth="1"/>
    <col min="13832" max="13833" width="12.28515625" style="216" customWidth="1"/>
    <col min="13834" max="13836" width="12.85546875" style="216" customWidth="1"/>
    <col min="13837" max="13837" width="12.7109375" style="216" customWidth="1"/>
    <col min="13838" max="13838" width="12.28515625" style="216" bestFit="1" customWidth="1"/>
    <col min="13839" max="13839" width="13.140625" style="216" customWidth="1"/>
    <col min="13840" max="14080" width="9.140625" style="216"/>
    <col min="14081" max="14081" width="2.7109375" style="216" customWidth="1"/>
    <col min="14082" max="14082" width="9.140625" style="216"/>
    <col min="14083" max="14083" width="40.28515625" style="216" bestFit="1" customWidth="1"/>
    <col min="14084" max="14084" width="12" style="216" customWidth="1"/>
    <col min="14085" max="14085" width="10" style="216" customWidth="1"/>
    <col min="14086" max="14086" width="14.85546875" style="216" customWidth="1"/>
    <col min="14087" max="14087" width="9.5703125" style="216" customWidth="1"/>
    <col min="14088" max="14089" width="12.28515625" style="216" customWidth="1"/>
    <col min="14090" max="14092" width="12.85546875" style="216" customWidth="1"/>
    <col min="14093" max="14093" width="12.7109375" style="216" customWidth="1"/>
    <col min="14094" max="14094" width="12.28515625" style="216" bestFit="1" customWidth="1"/>
    <col min="14095" max="14095" width="13.140625" style="216" customWidth="1"/>
    <col min="14096" max="14336" width="9.140625" style="216"/>
    <col min="14337" max="14337" width="2.7109375" style="216" customWidth="1"/>
    <col min="14338" max="14338" width="9.140625" style="216"/>
    <col min="14339" max="14339" width="40.28515625" style="216" bestFit="1" customWidth="1"/>
    <col min="14340" max="14340" width="12" style="216" customWidth="1"/>
    <col min="14341" max="14341" width="10" style="216" customWidth="1"/>
    <col min="14342" max="14342" width="14.85546875" style="216" customWidth="1"/>
    <col min="14343" max="14343" width="9.5703125" style="216" customWidth="1"/>
    <col min="14344" max="14345" width="12.28515625" style="216" customWidth="1"/>
    <col min="14346" max="14348" width="12.85546875" style="216" customWidth="1"/>
    <col min="14349" max="14349" width="12.7109375" style="216" customWidth="1"/>
    <col min="14350" max="14350" width="12.28515625" style="216" bestFit="1" customWidth="1"/>
    <col min="14351" max="14351" width="13.140625" style="216" customWidth="1"/>
    <col min="14352" max="14592" width="9.140625" style="216"/>
    <col min="14593" max="14593" width="2.7109375" style="216" customWidth="1"/>
    <col min="14594" max="14594" width="9.140625" style="216"/>
    <col min="14595" max="14595" width="40.28515625" style="216" bestFit="1" customWidth="1"/>
    <col min="14596" max="14596" width="12" style="216" customWidth="1"/>
    <col min="14597" max="14597" width="10" style="216" customWidth="1"/>
    <col min="14598" max="14598" width="14.85546875" style="216" customWidth="1"/>
    <col min="14599" max="14599" width="9.5703125" style="216" customWidth="1"/>
    <col min="14600" max="14601" width="12.28515625" style="216" customWidth="1"/>
    <col min="14602" max="14604" width="12.85546875" style="216" customWidth="1"/>
    <col min="14605" max="14605" width="12.7109375" style="216" customWidth="1"/>
    <col min="14606" max="14606" width="12.28515625" style="216" bestFit="1" customWidth="1"/>
    <col min="14607" max="14607" width="13.140625" style="216" customWidth="1"/>
    <col min="14608" max="14848" width="9.140625" style="216"/>
    <col min="14849" max="14849" width="2.7109375" style="216" customWidth="1"/>
    <col min="14850" max="14850" width="9.140625" style="216"/>
    <col min="14851" max="14851" width="40.28515625" style="216" bestFit="1" customWidth="1"/>
    <col min="14852" max="14852" width="12" style="216" customWidth="1"/>
    <col min="14853" max="14853" width="10" style="216" customWidth="1"/>
    <col min="14854" max="14854" width="14.85546875" style="216" customWidth="1"/>
    <col min="14855" max="14855" width="9.5703125" style="216" customWidth="1"/>
    <col min="14856" max="14857" width="12.28515625" style="216" customWidth="1"/>
    <col min="14858" max="14860" width="12.85546875" style="216" customWidth="1"/>
    <col min="14861" max="14861" width="12.7109375" style="216" customWidth="1"/>
    <col min="14862" max="14862" width="12.28515625" style="216" bestFit="1" customWidth="1"/>
    <col min="14863" max="14863" width="13.140625" style="216" customWidth="1"/>
    <col min="14864" max="15104" width="9.140625" style="216"/>
    <col min="15105" max="15105" width="2.7109375" style="216" customWidth="1"/>
    <col min="15106" max="15106" width="9.140625" style="216"/>
    <col min="15107" max="15107" width="40.28515625" style="216" bestFit="1" customWidth="1"/>
    <col min="15108" max="15108" width="12" style="216" customWidth="1"/>
    <col min="15109" max="15109" width="10" style="216" customWidth="1"/>
    <col min="15110" max="15110" width="14.85546875" style="216" customWidth="1"/>
    <col min="15111" max="15111" width="9.5703125" style="216" customWidth="1"/>
    <col min="15112" max="15113" width="12.28515625" style="216" customWidth="1"/>
    <col min="15114" max="15116" width="12.85546875" style="216" customWidth="1"/>
    <col min="15117" max="15117" width="12.7109375" style="216" customWidth="1"/>
    <col min="15118" max="15118" width="12.28515625" style="216" bestFit="1" customWidth="1"/>
    <col min="15119" max="15119" width="13.140625" style="216" customWidth="1"/>
    <col min="15120" max="15360" width="9.140625" style="216"/>
    <col min="15361" max="15361" width="2.7109375" style="216" customWidth="1"/>
    <col min="15362" max="15362" width="9.140625" style="216"/>
    <col min="15363" max="15363" width="40.28515625" style="216" bestFit="1" customWidth="1"/>
    <col min="15364" max="15364" width="12" style="216" customWidth="1"/>
    <col min="15365" max="15365" width="10" style="216" customWidth="1"/>
    <col min="15366" max="15366" width="14.85546875" style="216" customWidth="1"/>
    <col min="15367" max="15367" width="9.5703125" style="216" customWidth="1"/>
    <col min="15368" max="15369" width="12.28515625" style="216" customWidth="1"/>
    <col min="15370" max="15372" width="12.85546875" style="216" customWidth="1"/>
    <col min="15373" max="15373" width="12.7109375" style="216" customWidth="1"/>
    <col min="15374" max="15374" width="12.28515625" style="216" bestFit="1" customWidth="1"/>
    <col min="15375" max="15375" width="13.140625" style="216" customWidth="1"/>
    <col min="15376" max="15616" width="9.140625" style="216"/>
    <col min="15617" max="15617" width="2.7109375" style="216" customWidth="1"/>
    <col min="15618" max="15618" width="9.140625" style="216"/>
    <col min="15619" max="15619" width="40.28515625" style="216" bestFit="1" customWidth="1"/>
    <col min="15620" max="15620" width="12" style="216" customWidth="1"/>
    <col min="15621" max="15621" width="10" style="216" customWidth="1"/>
    <col min="15622" max="15622" width="14.85546875" style="216" customWidth="1"/>
    <col min="15623" max="15623" width="9.5703125" style="216" customWidth="1"/>
    <col min="15624" max="15625" width="12.28515625" style="216" customWidth="1"/>
    <col min="15626" max="15628" width="12.85546875" style="216" customWidth="1"/>
    <col min="15629" max="15629" width="12.7109375" style="216" customWidth="1"/>
    <col min="15630" max="15630" width="12.28515625" style="216" bestFit="1" customWidth="1"/>
    <col min="15631" max="15631" width="13.140625" style="216" customWidth="1"/>
    <col min="15632" max="15872" width="9.140625" style="216"/>
    <col min="15873" max="15873" width="2.7109375" style="216" customWidth="1"/>
    <col min="15874" max="15874" width="9.140625" style="216"/>
    <col min="15875" max="15875" width="40.28515625" style="216" bestFit="1" customWidth="1"/>
    <col min="15876" max="15876" width="12" style="216" customWidth="1"/>
    <col min="15877" max="15877" width="10" style="216" customWidth="1"/>
    <col min="15878" max="15878" width="14.85546875" style="216" customWidth="1"/>
    <col min="15879" max="15879" width="9.5703125" style="216" customWidth="1"/>
    <col min="15880" max="15881" width="12.28515625" style="216" customWidth="1"/>
    <col min="15882" max="15884" width="12.85546875" style="216" customWidth="1"/>
    <col min="15885" max="15885" width="12.7109375" style="216" customWidth="1"/>
    <col min="15886" max="15886" width="12.28515625" style="216" bestFit="1" customWidth="1"/>
    <col min="15887" max="15887" width="13.140625" style="216" customWidth="1"/>
    <col min="15888" max="16128" width="9.140625" style="216"/>
    <col min="16129" max="16129" width="2.7109375" style="216" customWidth="1"/>
    <col min="16130" max="16130" width="9.140625" style="216"/>
    <col min="16131" max="16131" width="40.28515625" style="216" bestFit="1" customWidth="1"/>
    <col min="16132" max="16132" width="12" style="216" customWidth="1"/>
    <col min="16133" max="16133" width="10" style="216" customWidth="1"/>
    <col min="16134" max="16134" width="14.85546875" style="216" customWidth="1"/>
    <col min="16135" max="16135" width="9.5703125" style="216" customWidth="1"/>
    <col min="16136" max="16137" width="12.28515625" style="216" customWidth="1"/>
    <col min="16138" max="16140" width="12.85546875" style="216" customWidth="1"/>
    <col min="16141" max="16141" width="12.7109375" style="216" customWidth="1"/>
    <col min="16142" max="16142" width="12.28515625" style="216" bestFit="1" customWidth="1"/>
    <col min="16143" max="16143" width="13.140625" style="216" customWidth="1"/>
    <col min="16144" max="16384" width="9.140625" style="216"/>
  </cols>
  <sheetData>
    <row r="1" spans="1:16" x14ac:dyDescent="0.2">
      <c r="F1" s="218"/>
      <c r="G1" s="219"/>
      <c r="H1" s="219"/>
      <c r="I1" s="219"/>
      <c r="J1" s="219"/>
      <c r="K1" s="219"/>
      <c r="L1" s="219"/>
      <c r="N1" s="217" t="s">
        <v>419</v>
      </c>
      <c r="O1" s="208" t="str">
        <f>EBNUMBER</f>
        <v>EB-2014-0113</v>
      </c>
      <c r="P1" s="219"/>
    </row>
    <row r="2" spans="1:16" x14ac:dyDescent="0.2">
      <c r="F2" s="218"/>
      <c r="G2" s="219"/>
      <c r="H2" s="219"/>
      <c r="I2" s="219"/>
      <c r="J2" s="219"/>
      <c r="K2" s="219"/>
      <c r="L2" s="219"/>
      <c r="N2" s="217" t="s">
        <v>420</v>
      </c>
      <c r="O2" s="767"/>
      <c r="P2" s="219"/>
    </row>
    <row r="3" spans="1:16" x14ac:dyDescent="0.2">
      <c r="F3" s="218"/>
      <c r="G3" s="219"/>
      <c r="H3" s="219"/>
      <c r="I3" s="219"/>
      <c r="J3" s="219"/>
      <c r="K3" s="219"/>
      <c r="L3" s="219"/>
      <c r="N3" s="217" t="s">
        <v>421</v>
      </c>
      <c r="O3" s="767"/>
      <c r="P3" s="219"/>
    </row>
    <row r="4" spans="1:16" x14ac:dyDescent="0.2">
      <c r="F4" s="218"/>
      <c r="G4" s="219"/>
      <c r="H4" s="219"/>
      <c r="I4" s="219"/>
      <c r="J4" s="219"/>
      <c r="K4" s="219"/>
      <c r="L4" s="219"/>
      <c r="N4" s="217" t="s">
        <v>422</v>
      </c>
      <c r="O4" s="767"/>
      <c r="P4" s="219"/>
    </row>
    <row r="5" spans="1:16" x14ac:dyDescent="0.2">
      <c r="F5" s="218"/>
      <c r="G5" s="219"/>
      <c r="H5" s="219"/>
      <c r="I5" s="219"/>
      <c r="J5" s="219"/>
      <c r="K5" s="219"/>
      <c r="L5" s="219"/>
      <c r="N5" s="217" t="s">
        <v>423</v>
      </c>
      <c r="O5" s="768"/>
      <c r="P5" s="219"/>
    </row>
    <row r="6" spans="1:16" x14ac:dyDescent="0.2">
      <c r="F6" s="218"/>
      <c r="G6" s="219"/>
      <c r="H6" s="219"/>
      <c r="I6" s="219"/>
      <c r="J6" s="219"/>
      <c r="K6" s="219"/>
      <c r="L6" s="219"/>
      <c r="N6" s="217"/>
      <c r="O6" s="766"/>
      <c r="P6" s="219"/>
    </row>
    <row r="7" spans="1:16" x14ac:dyDescent="0.2">
      <c r="F7" s="218"/>
      <c r="G7" s="219"/>
      <c r="H7" s="219"/>
      <c r="I7" s="219"/>
      <c r="J7" s="219"/>
      <c r="K7" s="219"/>
      <c r="L7" s="220"/>
      <c r="N7" s="217" t="s">
        <v>424</v>
      </c>
      <c r="O7" s="768"/>
      <c r="P7" s="220"/>
    </row>
    <row r="9" spans="1:16" ht="18" x14ac:dyDescent="0.25">
      <c r="A9" s="1856" t="s">
        <v>930</v>
      </c>
      <c r="B9" s="1856"/>
      <c r="C9" s="1856"/>
      <c r="D9" s="1856"/>
      <c r="E9" s="1856"/>
      <c r="F9" s="1856"/>
      <c r="G9" s="1856"/>
      <c r="H9" s="1856"/>
      <c r="I9" s="1856"/>
      <c r="J9" s="1856"/>
      <c r="K9" s="1856"/>
      <c r="L9" s="1856"/>
      <c r="M9" s="1856"/>
      <c r="N9" s="1856"/>
      <c r="O9" s="1856"/>
    </row>
    <row r="10" spans="1:16" ht="18" x14ac:dyDescent="0.25">
      <c r="A10" s="1856" t="s">
        <v>3</v>
      </c>
      <c r="B10" s="1856"/>
      <c r="C10" s="1856"/>
      <c r="D10" s="1856"/>
      <c r="E10" s="1856"/>
      <c r="F10" s="1856"/>
      <c r="G10" s="1856"/>
      <c r="H10" s="1856"/>
      <c r="I10" s="1856"/>
      <c r="J10" s="1856"/>
      <c r="K10" s="1856"/>
      <c r="L10" s="1856"/>
      <c r="M10" s="1856"/>
      <c r="N10" s="1856"/>
      <c r="O10" s="1856"/>
    </row>
    <row r="11" spans="1:16" ht="23.25" customHeight="1" x14ac:dyDescent="0.2">
      <c r="A11" s="1890" t="s">
        <v>1008</v>
      </c>
      <c r="B11" s="1890"/>
      <c r="C11" s="1890"/>
      <c r="D11" s="1890"/>
      <c r="E11" s="1890"/>
      <c r="F11" s="1890"/>
      <c r="G11" s="1890"/>
      <c r="H11" s="1890"/>
      <c r="I11" s="1890"/>
      <c r="J11" s="1890"/>
      <c r="K11" s="1890"/>
      <c r="L11" s="1890"/>
      <c r="M11" s="1890"/>
      <c r="N11" s="1890"/>
      <c r="O11" s="1890"/>
    </row>
    <row r="12" spans="1:16" ht="23.25" customHeight="1" x14ac:dyDescent="0.2">
      <c r="A12" s="923"/>
      <c r="B12" s="923"/>
      <c r="C12" s="923"/>
      <c r="D12" s="923"/>
      <c r="E12" s="923"/>
      <c r="F12" s="923"/>
      <c r="G12" s="923"/>
      <c r="H12" s="923"/>
      <c r="I12" s="923"/>
      <c r="J12" s="923"/>
      <c r="K12" s="923"/>
      <c r="L12" s="923"/>
      <c r="M12" s="923"/>
      <c r="N12" s="923"/>
      <c r="O12" s="923"/>
    </row>
    <row r="13" spans="1:16" ht="13.5" customHeight="1" x14ac:dyDescent="0.25">
      <c r="A13" s="682"/>
      <c r="B13" s="682"/>
      <c r="C13" s="676" t="s">
        <v>40</v>
      </c>
      <c r="D13" s="665">
        <v>2012</v>
      </c>
      <c r="E13" s="901" t="s">
        <v>931</v>
      </c>
      <c r="F13" s="682"/>
      <c r="G13" s="682"/>
      <c r="H13" s="682"/>
      <c r="I13" s="682"/>
      <c r="J13" s="682"/>
      <c r="K13" s="682"/>
      <c r="L13" s="682"/>
    </row>
    <row r="14" spans="1:16" ht="13.5" thickBot="1" x14ac:dyDescent="0.25"/>
    <row r="15" spans="1:16" ht="61.5" customHeight="1" x14ac:dyDescent="0.2">
      <c r="A15" s="1871" t="s">
        <v>4</v>
      </c>
      <c r="B15" s="1873" t="s">
        <v>346</v>
      </c>
      <c r="C15" s="221" t="s">
        <v>537</v>
      </c>
      <c r="D15" s="221" t="s">
        <v>348</v>
      </c>
      <c r="E15" s="221" t="s">
        <v>518</v>
      </c>
      <c r="F15" s="221" t="s">
        <v>519</v>
      </c>
      <c r="G15" s="221" t="s">
        <v>520</v>
      </c>
      <c r="H15" s="237" t="s">
        <v>521</v>
      </c>
      <c r="I15" s="222" t="s">
        <v>522</v>
      </c>
      <c r="J15" s="222" t="s">
        <v>536</v>
      </c>
      <c r="K15" s="1880" t="s">
        <v>794</v>
      </c>
      <c r="L15" s="222" t="s">
        <v>523</v>
      </c>
      <c r="M15" s="222" t="s">
        <v>531</v>
      </c>
      <c r="N15" s="1880" t="s">
        <v>720</v>
      </c>
      <c r="O15" s="222" t="s">
        <v>719</v>
      </c>
    </row>
    <row r="16" spans="1:16" ht="19.5" customHeight="1" thickBot="1" x14ac:dyDescent="0.25">
      <c r="A16" s="1878"/>
      <c r="B16" s="1879"/>
      <c r="C16" s="294" t="s">
        <v>5</v>
      </c>
      <c r="D16" s="294" t="s">
        <v>6</v>
      </c>
      <c r="E16" s="308" t="s">
        <v>524</v>
      </c>
      <c r="F16" s="294" t="s">
        <v>9</v>
      </c>
      <c r="G16" s="294" t="s">
        <v>10</v>
      </c>
      <c r="H16" s="309" t="s">
        <v>525</v>
      </c>
      <c r="I16" s="296" t="s">
        <v>526</v>
      </c>
      <c r="J16" s="310" t="s">
        <v>527</v>
      </c>
      <c r="K16" s="1881"/>
      <c r="L16" s="296" t="s">
        <v>528</v>
      </c>
      <c r="M16" s="296" t="s">
        <v>529</v>
      </c>
      <c r="N16" s="1882"/>
      <c r="O16" s="310" t="s">
        <v>714</v>
      </c>
    </row>
    <row r="17" spans="1:15" ht="25.5" x14ac:dyDescent="0.2">
      <c r="A17" s="838">
        <v>1611</v>
      </c>
      <c r="B17" s="839" t="s">
        <v>515</v>
      </c>
      <c r="C17" s="204"/>
      <c r="D17" s="204"/>
      <c r="E17" s="293"/>
      <c r="F17" s="293"/>
      <c r="G17" s="594">
        <f t="shared" ref="G17:G56" si="0">IF(F17=0,0,1/F17)</f>
        <v>0</v>
      </c>
      <c r="H17" s="796">
        <f t="shared" ref="H17:H56" si="1">IF(E17=0,0,+C17/E17)</f>
        <v>0</v>
      </c>
      <c r="I17" s="796">
        <f t="shared" ref="I17:I56" si="2">IF(F17=0,0,+(D17*0.5)/F17)</f>
        <v>0</v>
      </c>
      <c r="J17" s="796">
        <f t="shared" ref="J17:J56" si="3">IF(ISERROR(+H17+I17), 0, +H17+I17)</f>
        <v>0</v>
      </c>
      <c r="K17" s="204"/>
      <c r="L17" s="796">
        <f t="shared" ref="L17:L56" si="4">IF(ISERROR(+J17-K17), 0, +J17-K17)</f>
        <v>0</v>
      </c>
      <c r="M17" s="796">
        <f t="shared" ref="M17:M56" si="5">IF(F17=0,0,+(D17)/F17)</f>
        <v>0</v>
      </c>
      <c r="N17" s="204"/>
      <c r="O17" s="796">
        <f>IF(ISERROR(+M17+H17-N17), 0, +M17+H17-N17)</f>
        <v>0</v>
      </c>
    </row>
    <row r="18" spans="1:15" ht="25.5" x14ac:dyDescent="0.2">
      <c r="A18" s="782">
        <v>1612</v>
      </c>
      <c r="B18" s="783" t="s">
        <v>650</v>
      </c>
      <c r="C18" s="204"/>
      <c r="D18" s="204"/>
      <c r="E18" s="282"/>
      <c r="F18" s="282"/>
      <c r="G18" s="586">
        <f t="shared" si="0"/>
        <v>0</v>
      </c>
      <c r="H18" s="796">
        <f t="shared" si="1"/>
        <v>0</v>
      </c>
      <c r="I18" s="796">
        <f t="shared" si="2"/>
        <v>0</v>
      </c>
      <c r="J18" s="796">
        <f t="shared" si="3"/>
        <v>0</v>
      </c>
      <c r="K18" s="204"/>
      <c r="L18" s="796">
        <f t="shared" si="4"/>
        <v>0</v>
      </c>
      <c r="M18" s="796">
        <f t="shared" si="5"/>
        <v>0</v>
      </c>
      <c r="N18" s="204"/>
      <c r="O18" s="796">
        <f t="shared" ref="O18:O56" si="6">IF(ISERROR(+M18+H18-N18), 0, +M18+H18-N18)</f>
        <v>0</v>
      </c>
    </row>
    <row r="19" spans="1:15" x14ac:dyDescent="0.2">
      <c r="A19" s="785">
        <v>1805</v>
      </c>
      <c r="B19" s="786" t="s">
        <v>383</v>
      </c>
      <c r="C19" s="204"/>
      <c r="D19" s="204"/>
      <c r="E19" s="282"/>
      <c r="F19" s="282"/>
      <c r="G19" s="586">
        <f t="shared" si="0"/>
        <v>0</v>
      </c>
      <c r="H19" s="796">
        <f t="shared" si="1"/>
        <v>0</v>
      </c>
      <c r="I19" s="796">
        <f t="shared" si="2"/>
        <v>0</v>
      </c>
      <c r="J19" s="796">
        <f t="shared" si="3"/>
        <v>0</v>
      </c>
      <c r="K19" s="204"/>
      <c r="L19" s="796">
        <f t="shared" si="4"/>
        <v>0</v>
      </c>
      <c r="M19" s="796">
        <f t="shared" si="5"/>
        <v>0</v>
      </c>
      <c r="N19" s="204"/>
      <c r="O19" s="796">
        <f t="shared" si="6"/>
        <v>0</v>
      </c>
    </row>
    <row r="20" spans="1:15" x14ac:dyDescent="0.2">
      <c r="A20" s="782">
        <v>1808</v>
      </c>
      <c r="B20" s="787" t="s">
        <v>384</v>
      </c>
      <c r="C20" s="204"/>
      <c r="D20" s="204"/>
      <c r="E20" s="282"/>
      <c r="F20" s="282"/>
      <c r="G20" s="586">
        <f t="shared" si="0"/>
        <v>0</v>
      </c>
      <c r="H20" s="796">
        <f t="shared" si="1"/>
        <v>0</v>
      </c>
      <c r="I20" s="796">
        <f t="shared" si="2"/>
        <v>0</v>
      </c>
      <c r="J20" s="796">
        <f t="shared" si="3"/>
        <v>0</v>
      </c>
      <c r="K20" s="204"/>
      <c r="L20" s="796">
        <f t="shared" si="4"/>
        <v>0</v>
      </c>
      <c r="M20" s="796">
        <f t="shared" si="5"/>
        <v>0</v>
      </c>
      <c r="N20" s="204"/>
      <c r="O20" s="796">
        <f t="shared" si="6"/>
        <v>0</v>
      </c>
    </row>
    <row r="21" spans="1:15" x14ac:dyDescent="0.2">
      <c r="A21" s="782">
        <v>1810</v>
      </c>
      <c r="B21" s="787" t="s">
        <v>417</v>
      </c>
      <c r="C21" s="204"/>
      <c r="D21" s="204"/>
      <c r="E21" s="282"/>
      <c r="F21" s="282"/>
      <c r="G21" s="586">
        <f t="shared" si="0"/>
        <v>0</v>
      </c>
      <c r="H21" s="796">
        <f t="shared" si="1"/>
        <v>0</v>
      </c>
      <c r="I21" s="796">
        <f t="shared" si="2"/>
        <v>0</v>
      </c>
      <c r="J21" s="796">
        <f t="shared" si="3"/>
        <v>0</v>
      </c>
      <c r="K21" s="204"/>
      <c r="L21" s="796">
        <f t="shared" si="4"/>
        <v>0</v>
      </c>
      <c r="M21" s="796">
        <f t="shared" si="5"/>
        <v>0</v>
      </c>
      <c r="N21" s="204"/>
      <c r="O21" s="796">
        <f t="shared" si="6"/>
        <v>0</v>
      </c>
    </row>
    <row r="22" spans="1:15" x14ac:dyDescent="0.2">
      <c r="A22" s="782">
        <v>1815</v>
      </c>
      <c r="B22" s="787" t="s">
        <v>385</v>
      </c>
      <c r="C22" s="204"/>
      <c r="D22" s="204"/>
      <c r="E22" s="282"/>
      <c r="F22" s="282"/>
      <c r="G22" s="586">
        <f t="shared" si="0"/>
        <v>0</v>
      </c>
      <c r="H22" s="796">
        <f t="shared" si="1"/>
        <v>0</v>
      </c>
      <c r="I22" s="796">
        <f t="shared" si="2"/>
        <v>0</v>
      </c>
      <c r="J22" s="796">
        <f t="shared" si="3"/>
        <v>0</v>
      </c>
      <c r="K22" s="204"/>
      <c r="L22" s="796">
        <f t="shared" si="4"/>
        <v>0</v>
      </c>
      <c r="M22" s="796">
        <f t="shared" si="5"/>
        <v>0</v>
      </c>
      <c r="N22" s="204"/>
      <c r="O22" s="796">
        <f t="shared" si="6"/>
        <v>0</v>
      </c>
    </row>
    <row r="23" spans="1:15" x14ac:dyDescent="0.2">
      <c r="A23" s="782">
        <v>1820</v>
      </c>
      <c r="B23" s="783" t="s">
        <v>306</v>
      </c>
      <c r="C23" s="204"/>
      <c r="D23" s="204"/>
      <c r="E23" s="282"/>
      <c r="F23" s="282"/>
      <c r="G23" s="586">
        <f t="shared" si="0"/>
        <v>0</v>
      </c>
      <c r="H23" s="796">
        <f t="shared" si="1"/>
        <v>0</v>
      </c>
      <c r="I23" s="796">
        <f t="shared" si="2"/>
        <v>0</v>
      </c>
      <c r="J23" s="796">
        <f t="shared" si="3"/>
        <v>0</v>
      </c>
      <c r="K23" s="204"/>
      <c r="L23" s="796">
        <f t="shared" si="4"/>
        <v>0</v>
      </c>
      <c r="M23" s="796">
        <f t="shared" si="5"/>
        <v>0</v>
      </c>
      <c r="N23" s="204"/>
      <c r="O23" s="796">
        <f t="shared" si="6"/>
        <v>0</v>
      </c>
    </row>
    <row r="24" spans="1:15" x14ac:dyDescent="0.2">
      <c r="A24" s="782">
        <v>1825</v>
      </c>
      <c r="B24" s="787" t="s">
        <v>386</v>
      </c>
      <c r="C24" s="204"/>
      <c r="D24" s="204"/>
      <c r="E24" s="282"/>
      <c r="F24" s="282"/>
      <c r="G24" s="586">
        <f t="shared" si="0"/>
        <v>0</v>
      </c>
      <c r="H24" s="796">
        <f t="shared" si="1"/>
        <v>0</v>
      </c>
      <c r="I24" s="796">
        <f t="shared" si="2"/>
        <v>0</v>
      </c>
      <c r="J24" s="796">
        <f t="shared" si="3"/>
        <v>0</v>
      </c>
      <c r="K24" s="204"/>
      <c r="L24" s="796">
        <f t="shared" si="4"/>
        <v>0</v>
      </c>
      <c r="M24" s="796">
        <f t="shared" si="5"/>
        <v>0</v>
      </c>
      <c r="N24" s="204"/>
      <c r="O24" s="796">
        <f t="shared" si="6"/>
        <v>0</v>
      </c>
    </row>
    <row r="25" spans="1:15" x14ac:dyDescent="0.2">
      <c r="A25" s="782">
        <v>1830</v>
      </c>
      <c r="B25" s="787" t="s">
        <v>387</v>
      </c>
      <c r="C25" s="204"/>
      <c r="D25" s="204"/>
      <c r="E25" s="282"/>
      <c r="F25" s="282"/>
      <c r="G25" s="586">
        <f t="shared" si="0"/>
        <v>0</v>
      </c>
      <c r="H25" s="796">
        <f t="shared" si="1"/>
        <v>0</v>
      </c>
      <c r="I25" s="796">
        <f t="shared" si="2"/>
        <v>0</v>
      </c>
      <c r="J25" s="796">
        <f t="shared" si="3"/>
        <v>0</v>
      </c>
      <c r="K25" s="204"/>
      <c r="L25" s="796">
        <f t="shared" si="4"/>
        <v>0</v>
      </c>
      <c r="M25" s="796">
        <f t="shared" si="5"/>
        <v>0</v>
      </c>
      <c r="N25" s="204"/>
      <c r="O25" s="796">
        <f t="shared" si="6"/>
        <v>0</v>
      </c>
    </row>
    <row r="26" spans="1:15" x14ac:dyDescent="0.2">
      <c r="A26" s="782">
        <v>1835</v>
      </c>
      <c r="B26" s="787" t="s">
        <v>307</v>
      </c>
      <c r="C26" s="204"/>
      <c r="D26" s="204"/>
      <c r="E26" s="282"/>
      <c r="F26" s="282"/>
      <c r="G26" s="586">
        <f t="shared" si="0"/>
        <v>0</v>
      </c>
      <c r="H26" s="796">
        <f t="shared" si="1"/>
        <v>0</v>
      </c>
      <c r="I26" s="796">
        <f t="shared" si="2"/>
        <v>0</v>
      </c>
      <c r="J26" s="796">
        <f t="shared" si="3"/>
        <v>0</v>
      </c>
      <c r="K26" s="204"/>
      <c r="L26" s="796">
        <f t="shared" si="4"/>
        <v>0</v>
      </c>
      <c r="M26" s="796">
        <f t="shared" si="5"/>
        <v>0</v>
      </c>
      <c r="N26" s="204"/>
      <c r="O26" s="796">
        <f t="shared" si="6"/>
        <v>0</v>
      </c>
    </row>
    <row r="27" spans="1:15" x14ac:dyDescent="0.2">
      <c r="A27" s="782">
        <v>1840</v>
      </c>
      <c r="B27" s="787" t="s">
        <v>308</v>
      </c>
      <c r="C27" s="204"/>
      <c r="D27" s="204"/>
      <c r="E27" s="282"/>
      <c r="F27" s="282"/>
      <c r="G27" s="586">
        <f t="shared" si="0"/>
        <v>0</v>
      </c>
      <c r="H27" s="796">
        <f t="shared" si="1"/>
        <v>0</v>
      </c>
      <c r="I27" s="796">
        <f t="shared" si="2"/>
        <v>0</v>
      </c>
      <c r="J27" s="796">
        <f t="shared" si="3"/>
        <v>0</v>
      </c>
      <c r="K27" s="204"/>
      <c r="L27" s="796">
        <f t="shared" si="4"/>
        <v>0</v>
      </c>
      <c r="M27" s="796">
        <f t="shared" si="5"/>
        <v>0</v>
      </c>
      <c r="N27" s="204"/>
      <c r="O27" s="796">
        <f t="shared" si="6"/>
        <v>0</v>
      </c>
    </row>
    <row r="28" spans="1:15" x14ac:dyDescent="0.2">
      <c r="A28" s="782">
        <v>1845</v>
      </c>
      <c r="B28" s="787" t="s">
        <v>309</v>
      </c>
      <c r="C28" s="204"/>
      <c r="D28" s="204"/>
      <c r="E28" s="282"/>
      <c r="F28" s="282"/>
      <c r="G28" s="586">
        <f t="shared" si="0"/>
        <v>0</v>
      </c>
      <c r="H28" s="796">
        <f t="shared" si="1"/>
        <v>0</v>
      </c>
      <c r="I28" s="796">
        <f t="shared" si="2"/>
        <v>0</v>
      </c>
      <c r="J28" s="796">
        <f t="shared" si="3"/>
        <v>0</v>
      </c>
      <c r="K28" s="204"/>
      <c r="L28" s="796">
        <f t="shared" si="4"/>
        <v>0</v>
      </c>
      <c r="M28" s="796">
        <f t="shared" si="5"/>
        <v>0</v>
      </c>
      <c r="N28" s="204"/>
      <c r="O28" s="796">
        <f t="shared" si="6"/>
        <v>0</v>
      </c>
    </row>
    <row r="29" spans="1:15" x14ac:dyDescent="0.2">
      <c r="A29" s="782">
        <v>1850</v>
      </c>
      <c r="B29" s="787" t="s">
        <v>388</v>
      </c>
      <c r="C29" s="204"/>
      <c r="D29" s="204"/>
      <c r="E29" s="282"/>
      <c r="F29" s="282"/>
      <c r="G29" s="586">
        <f t="shared" si="0"/>
        <v>0</v>
      </c>
      <c r="H29" s="796">
        <f t="shared" si="1"/>
        <v>0</v>
      </c>
      <c r="I29" s="796">
        <f t="shared" si="2"/>
        <v>0</v>
      </c>
      <c r="J29" s="796">
        <f t="shared" si="3"/>
        <v>0</v>
      </c>
      <c r="K29" s="204"/>
      <c r="L29" s="796">
        <f t="shared" si="4"/>
        <v>0</v>
      </c>
      <c r="M29" s="796">
        <f t="shared" si="5"/>
        <v>0</v>
      </c>
      <c r="N29" s="204"/>
      <c r="O29" s="796">
        <f t="shared" si="6"/>
        <v>0</v>
      </c>
    </row>
    <row r="30" spans="1:15" x14ac:dyDescent="0.2">
      <c r="A30" s="782">
        <v>1855</v>
      </c>
      <c r="B30" s="787" t="s">
        <v>310</v>
      </c>
      <c r="C30" s="204"/>
      <c r="D30" s="204"/>
      <c r="E30" s="282"/>
      <c r="F30" s="282"/>
      <c r="G30" s="586">
        <f t="shared" si="0"/>
        <v>0</v>
      </c>
      <c r="H30" s="796">
        <f t="shared" si="1"/>
        <v>0</v>
      </c>
      <c r="I30" s="796">
        <f t="shared" si="2"/>
        <v>0</v>
      </c>
      <c r="J30" s="796">
        <f t="shared" si="3"/>
        <v>0</v>
      </c>
      <c r="K30" s="204"/>
      <c r="L30" s="796">
        <f t="shared" si="4"/>
        <v>0</v>
      </c>
      <c r="M30" s="796">
        <f t="shared" si="5"/>
        <v>0</v>
      </c>
      <c r="N30" s="204"/>
      <c r="O30" s="796">
        <f t="shared" si="6"/>
        <v>0</v>
      </c>
    </row>
    <row r="31" spans="1:15" x14ac:dyDescent="0.2">
      <c r="A31" s="782">
        <v>1860</v>
      </c>
      <c r="B31" s="787" t="s">
        <v>389</v>
      </c>
      <c r="C31" s="204"/>
      <c r="D31" s="204"/>
      <c r="E31" s="282"/>
      <c r="F31" s="282"/>
      <c r="G31" s="586">
        <f t="shared" si="0"/>
        <v>0</v>
      </c>
      <c r="H31" s="796">
        <f t="shared" si="1"/>
        <v>0</v>
      </c>
      <c r="I31" s="796">
        <f t="shared" si="2"/>
        <v>0</v>
      </c>
      <c r="J31" s="796">
        <f t="shared" si="3"/>
        <v>0</v>
      </c>
      <c r="K31" s="204"/>
      <c r="L31" s="796">
        <f t="shared" si="4"/>
        <v>0</v>
      </c>
      <c r="M31" s="796">
        <f t="shared" si="5"/>
        <v>0</v>
      </c>
      <c r="N31" s="204"/>
      <c r="O31" s="796">
        <f t="shared" si="6"/>
        <v>0</v>
      </c>
    </row>
    <row r="32" spans="1:15" x14ac:dyDescent="0.2">
      <c r="A32" s="785">
        <v>1860</v>
      </c>
      <c r="B32" s="786" t="s">
        <v>311</v>
      </c>
      <c r="C32" s="204"/>
      <c r="D32" s="204"/>
      <c r="E32" s="282"/>
      <c r="F32" s="282"/>
      <c r="G32" s="586">
        <f t="shared" si="0"/>
        <v>0</v>
      </c>
      <c r="H32" s="796">
        <f t="shared" si="1"/>
        <v>0</v>
      </c>
      <c r="I32" s="796">
        <f t="shared" si="2"/>
        <v>0</v>
      </c>
      <c r="J32" s="796">
        <f t="shared" si="3"/>
        <v>0</v>
      </c>
      <c r="K32" s="204"/>
      <c r="L32" s="796">
        <f t="shared" si="4"/>
        <v>0</v>
      </c>
      <c r="M32" s="796">
        <f t="shared" si="5"/>
        <v>0</v>
      </c>
      <c r="N32" s="204"/>
      <c r="O32" s="796">
        <f t="shared" si="6"/>
        <v>0</v>
      </c>
    </row>
    <row r="33" spans="1:15" x14ac:dyDescent="0.2">
      <c r="A33" s="785">
        <v>1905</v>
      </c>
      <c r="B33" s="786" t="s">
        <v>383</v>
      </c>
      <c r="C33" s="204"/>
      <c r="D33" s="204"/>
      <c r="E33" s="282"/>
      <c r="F33" s="282"/>
      <c r="G33" s="586">
        <f t="shared" si="0"/>
        <v>0</v>
      </c>
      <c r="H33" s="796">
        <f t="shared" si="1"/>
        <v>0</v>
      </c>
      <c r="I33" s="796">
        <f t="shared" si="2"/>
        <v>0</v>
      </c>
      <c r="J33" s="796">
        <f t="shared" si="3"/>
        <v>0</v>
      </c>
      <c r="K33" s="204"/>
      <c r="L33" s="796">
        <f t="shared" si="4"/>
        <v>0</v>
      </c>
      <c r="M33" s="796">
        <f t="shared" si="5"/>
        <v>0</v>
      </c>
      <c r="N33" s="204"/>
      <c r="O33" s="796">
        <f t="shared" si="6"/>
        <v>0</v>
      </c>
    </row>
    <row r="34" spans="1:15" x14ac:dyDescent="0.2">
      <c r="A34" s="782">
        <v>1908</v>
      </c>
      <c r="B34" s="787" t="s">
        <v>391</v>
      </c>
      <c r="C34" s="204"/>
      <c r="D34" s="204"/>
      <c r="E34" s="282"/>
      <c r="F34" s="282"/>
      <c r="G34" s="586">
        <f t="shared" si="0"/>
        <v>0</v>
      </c>
      <c r="H34" s="796">
        <f t="shared" si="1"/>
        <v>0</v>
      </c>
      <c r="I34" s="796">
        <f t="shared" si="2"/>
        <v>0</v>
      </c>
      <c r="J34" s="796">
        <f t="shared" si="3"/>
        <v>0</v>
      </c>
      <c r="K34" s="204"/>
      <c r="L34" s="796">
        <f t="shared" si="4"/>
        <v>0</v>
      </c>
      <c r="M34" s="796">
        <f t="shared" si="5"/>
        <v>0</v>
      </c>
      <c r="N34" s="204"/>
      <c r="O34" s="796">
        <f t="shared" si="6"/>
        <v>0</v>
      </c>
    </row>
    <row r="35" spans="1:15" x14ac:dyDescent="0.2">
      <c r="A35" s="782">
        <v>1910</v>
      </c>
      <c r="B35" s="787" t="s">
        <v>417</v>
      </c>
      <c r="C35" s="204"/>
      <c r="D35" s="204"/>
      <c r="E35" s="282"/>
      <c r="F35" s="282"/>
      <c r="G35" s="586">
        <f t="shared" si="0"/>
        <v>0</v>
      </c>
      <c r="H35" s="796">
        <f t="shared" si="1"/>
        <v>0</v>
      </c>
      <c r="I35" s="796">
        <f t="shared" si="2"/>
        <v>0</v>
      </c>
      <c r="J35" s="796">
        <f t="shared" si="3"/>
        <v>0</v>
      </c>
      <c r="K35" s="204"/>
      <c r="L35" s="796">
        <f t="shared" si="4"/>
        <v>0</v>
      </c>
      <c r="M35" s="796">
        <f t="shared" si="5"/>
        <v>0</v>
      </c>
      <c r="N35" s="204"/>
      <c r="O35" s="796">
        <f t="shared" si="6"/>
        <v>0</v>
      </c>
    </row>
    <row r="36" spans="1:15" x14ac:dyDescent="0.2">
      <c r="A36" s="782">
        <v>1915</v>
      </c>
      <c r="B36" s="787" t="s">
        <v>312</v>
      </c>
      <c r="C36" s="204"/>
      <c r="D36" s="204"/>
      <c r="E36" s="282"/>
      <c r="F36" s="282"/>
      <c r="G36" s="586">
        <f t="shared" si="0"/>
        <v>0</v>
      </c>
      <c r="H36" s="796">
        <f t="shared" si="1"/>
        <v>0</v>
      </c>
      <c r="I36" s="796">
        <f t="shared" si="2"/>
        <v>0</v>
      </c>
      <c r="J36" s="796">
        <f t="shared" si="3"/>
        <v>0</v>
      </c>
      <c r="K36" s="204"/>
      <c r="L36" s="796">
        <f t="shared" si="4"/>
        <v>0</v>
      </c>
      <c r="M36" s="796">
        <f t="shared" si="5"/>
        <v>0</v>
      </c>
      <c r="N36" s="204"/>
      <c r="O36" s="796">
        <f t="shared" si="6"/>
        <v>0</v>
      </c>
    </row>
    <row r="37" spans="1:15" x14ac:dyDescent="0.2">
      <c r="A37" s="782">
        <v>1915</v>
      </c>
      <c r="B37" s="787" t="s">
        <v>313</v>
      </c>
      <c r="C37" s="204"/>
      <c r="D37" s="204"/>
      <c r="E37" s="282"/>
      <c r="F37" s="282"/>
      <c r="G37" s="586">
        <f t="shared" si="0"/>
        <v>0</v>
      </c>
      <c r="H37" s="796">
        <f t="shared" si="1"/>
        <v>0</v>
      </c>
      <c r="I37" s="796">
        <f t="shared" si="2"/>
        <v>0</v>
      </c>
      <c r="J37" s="796">
        <f t="shared" si="3"/>
        <v>0</v>
      </c>
      <c r="K37" s="204"/>
      <c r="L37" s="796">
        <f t="shared" si="4"/>
        <v>0</v>
      </c>
      <c r="M37" s="796">
        <f t="shared" si="5"/>
        <v>0</v>
      </c>
      <c r="N37" s="204"/>
      <c r="O37" s="796">
        <f t="shared" si="6"/>
        <v>0</v>
      </c>
    </row>
    <row r="38" spans="1:15" x14ac:dyDescent="0.2">
      <c r="A38" s="782">
        <v>1920</v>
      </c>
      <c r="B38" s="787" t="s">
        <v>314</v>
      </c>
      <c r="C38" s="204"/>
      <c r="D38" s="204"/>
      <c r="E38" s="282"/>
      <c r="F38" s="282"/>
      <c r="G38" s="586">
        <f t="shared" si="0"/>
        <v>0</v>
      </c>
      <c r="H38" s="796">
        <f t="shared" si="1"/>
        <v>0</v>
      </c>
      <c r="I38" s="796">
        <f t="shared" si="2"/>
        <v>0</v>
      </c>
      <c r="J38" s="796">
        <f t="shared" si="3"/>
        <v>0</v>
      </c>
      <c r="K38" s="204"/>
      <c r="L38" s="796">
        <f t="shared" si="4"/>
        <v>0</v>
      </c>
      <c r="M38" s="796">
        <f t="shared" si="5"/>
        <v>0</v>
      </c>
      <c r="N38" s="204"/>
      <c r="O38" s="796">
        <f t="shared" si="6"/>
        <v>0</v>
      </c>
    </row>
    <row r="39" spans="1:15" x14ac:dyDescent="0.2">
      <c r="A39" s="788">
        <v>1920</v>
      </c>
      <c r="B39" s="783" t="s">
        <v>316</v>
      </c>
      <c r="C39" s="204"/>
      <c r="D39" s="204"/>
      <c r="E39" s="282"/>
      <c r="F39" s="282"/>
      <c r="G39" s="586">
        <f t="shared" si="0"/>
        <v>0</v>
      </c>
      <c r="H39" s="796">
        <f t="shared" si="1"/>
        <v>0</v>
      </c>
      <c r="I39" s="796">
        <f t="shared" si="2"/>
        <v>0</v>
      </c>
      <c r="J39" s="796">
        <f t="shared" si="3"/>
        <v>0</v>
      </c>
      <c r="K39" s="204"/>
      <c r="L39" s="796">
        <f t="shared" si="4"/>
        <v>0</v>
      </c>
      <c r="M39" s="796">
        <f t="shared" si="5"/>
        <v>0</v>
      </c>
      <c r="N39" s="204"/>
      <c r="O39" s="796">
        <f t="shared" si="6"/>
        <v>0</v>
      </c>
    </row>
    <row r="40" spans="1:15" x14ac:dyDescent="0.2">
      <c r="A40" s="788">
        <v>1920</v>
      </c>
      <c r="B40" s="783" t="s">
        <v>315</v>
      </c>
      <c r="C40" s="204"/>
      <c r="D40" s="204"/>
      <c r="E40" s="282"/>
      <c r="F40" s="282"/>
      <c r="G40" s="586">
        <f t="shared" si="0"/>
        <v>0</v>
      </c>
      <c r="H40" s="796">
        <f t="shared" si="1"/>
        <v>0</v>
      </c>
      <c r="I40" s="796">
        <f t="shared" si="2"/>
        <v>0</v>
      </c>
      <c r="J40" s="796">
        <f t="shared" si="3"/>
        <v>0</v>
      </c>
      <c r="K40" s="204"/>
      <c r="L40" s="796">
        <f t="shared" si="4"/>
        <v>0</v>
      </c>
      <c r="M40" s="796">
        <f t="shared" si="5"/>
        <v>0</v>
      </c>
      <c r="N40" s="204"/>
      <c r="O40" s="796">
        <f t="shared" si="6"/>
        <v>0</v>
      </c>
    </row>
    <row r="41" spans="1:15" x14ac:dyDescent="0.2">
      <c r="A41" s="782">
        <v>1930</v>
      </c>
      <c r="B41" s="787" t="s">
        <v>404</v>
      </c>
      <c r="C41" s="204"/>
      <c r="D41" s="204"/>
      <c r="E41" s="282"/>
      <c r="F41" s="282"/>
      <c r="G41" s="586">
        <f t="shared" si="0"/>
        <v>0</v>
      </c>
      <c r="H41" s="796">
        <f t="shared" si="1"/>
        <v>0</v>
      </c>
      <c r="I41" s="796">
        <f t="shared" si="2"/>
        <v>0</v>
      </c>
      <c r="J41" s="796">
        <f t="shared" si="3"/>
        <v>0</v>
      </c>
      <c r="K41" s="204"/>
      <c r="L41" s="796">
        <f t="shared" si="4"/>
        <v>0</v>
      </c>
      <c r="M41" s="796">
        <f t="shared" si="5"/>
        <v>0</v>
      </c>
      <c r="N41" s="204"/>
      <c r="O41" s="796">
        <f t="shared" si="6"/>
        <v>0</v>
      </c>
    </row>
    <row r="42" spans="1:15" x14ac:dyDescent="0.2">
      <c r="A42" s="782">
        <v>1935</v>
      </c>
      <c r="B42" s="787" t="s">
        <v>405</v>
      </c>
      <c r="C42" s="204"/>
      <c r="D42" s="204"/>
      <c r="E42" s="282"/>
      <c r="F42" s="282"/>
      <c r="G42" s="586">
        <f t="shared" si="0"/>
        <v>0</v>
      </c>
      <c r="H42" s="796">
        <f t="shared" si="1"/>
        <v>0</v>
      </c>
      <c r="I42" s="796">
        <f t="shared" si="2"/>
        <v>0</v>
      </c>
      <c r="J42" s="796">
        <f t="shared" si="3"/>
        <v>0</v>
      </c>
      <c r="K42" s="204"/>
      <c r="L42" s="796">
        <f t="shared" si="4"/>
        <v>0</v>
      </c>
      <c r="M42" s="796">
        <f t="shared" si="5"/>
        <v>0</v>
      </c>
      <c r="N42" s="204"/>
      <c r="O42" s="796">
        <f t="shared" si="6"/>
        <v>0</v>
      </c>
    </row>
    <row r="43" spans="1:15" x14ac:dyDescent="0.2">
      <c r="A43" s="782">
        <v>1940</v>
      </c>
      <c r="B43" s="787" t="s">
        <v>406</v>
      </c>
      <c r="C43" s="204"/>
      <c r="D43" s="204"/>
      <c r="E43" s="282"/>
      <c r="F43" s="282"/>
      <c r="G43" s="586">
        <f t="shared" si="0"/>
        <v>0</v>
      </c>
      <c r="H43" s="796">
        <f t="shared" si="1"/>
        <v>0</v>
      </c>
      <c r="I43" s="796">
        <f t="shared" si="2"/>
        <v>0</v>
      </c>
      <c r="J43" s="796">
        <f t="shared" si="3"/>
        <v>0</v>
      </c>
      <c r="K43" s="204"/>
      <c r="L43" s="796">
        <f t="shared" si="4"/>
        <v>0</v>
      </c>
      <c r="M43" s="796">
        <f t="shared" si="5"/>
        <v>0</v>
      </c>
      <c r="N43" s="204"/>
      <c r="O43" s="796">
        <f t="shared" si="6"/>
        <v>0</v>
      </c>
    </row>
    <row r="44" spans="1:15" x14ac:dyDescent="0.2">
      <c r="A44" s="782">
        <v>1945</v>
      </c>
      <c r="B44" s="787" t="s">
        <v>407</v>
      </c>
      <c r="C44" s="204"/>
      <c r="D44" s="204"/>
      <c r="E44" s="282"/>
      <c r="F44" s="282"/>
      <c r="G44" s="586">
        <f t="shared" si="0"/>
        <v>0</v>
      </c>
      <c r="H44" s="796">
        <f t="shared" si="1"/>
        <v>0</v>
      </c>
      <c r="I44" s="796">
        <f t="shared" si="2"/>
        <v>0</v>
      </c>
      <c r="J44" s="796">
        <f t="shared" si="3"/>
        <v>0</v>
      </c>
      <c r="K44" s="204"/>
      <c r="L44" s="796">
        <f t="shared" si="4"/>
        <v>0</v>
      </c>
      <c r="M44" s="796">
        <f t="shared" si="5"/>
        <v>0</v>
      </c>
      <c r="N44" s="204"/>
      <c r="O44" s="796">
        <f t="shared" si="6"/>
        <v>0</v>
      </c>
    </row>
    <row r="45" spans="1:15" x14ac:dyDescent="0.2">
      <c r="A45" s="782">
        <v>1950</v>
      </c>
      <c r="B45" s="787" t="s">
        <v>317</v>
      </c>
      <c r="C45" s="204"/>
      <c r="D45" s="204"/>
      <c r="E45" s="282"/>
      <c r="F45" s="282"/>
      <c r="G45" s="586">
        <f t="shared" si="0"/>
        <v>0</v>
      </c>
      <c r="H45" s="796">
        <f t="shared" si="1"/>
        <v>0</v>
      </c>
      <c r="I45" s="796">
        <f t="shared" si="2"/>
        <v>0</v>
      </c>
      <c r="J45" s="796">
        <f t="shared" si="3"/>
        <v>0</v>
      </c>
      <c r="K45" s="204"/>
      <c r="L45" s="796">
        <f t="shared" si="4"/>
        <v>0</v>
      </c>
      <c r="M45" s="796">
        <f t="shared" si="5"/>
        <v>0</v>
      </c>
      <c r="N45" s="204"/>
      <c r="O45" s="796">
        <f t="shared" si="6"/>
        <v>0</v>
      </c>
    </row>
    <row r="46" spans="1:15" x14ac:dyDescent="0.2">
      <c r="A46" s="782">
        <v>1955</v>
      </c>
      <c r="B46" s="787" t="s">
        <v>408</v>
      </c>
      <c r="C46" s="204"/>
      <c r="D46" s="204"/>
      <c r="E46" s="282"/>
      <c r="F46" s="282"/>
      <c r="G46" s="586">
        <f t="shared" si="0"/>
        <v>0</v>
      </c>
      <c r="H46" s="796">
        <f t="shared" si="1"/>
        <v>0</v>
      </c>
      <c r="I46" s="796">
        <f t="shared" si="2"/>
        <v>0</v>
      </c>
      <c r="J46" s="796">
        <f t="shared" si="3"/>
        <v>0</v>
      </c>
      <c r="K46" s="204"/>
      <c r="L46" s="796">
        <f t="shared" si="4"/>
        <v>0</v>
      </c>
      <c r="M46" s="796">
        <f t="shared" si="5"/>
        <v>0</v>
      </c>
      <c r="N46" s="204"/>
      <c r="O46" s="796">
        <f t="shared" si="6"/>
        <v>0</v>
      </c>
    </row>
    <row r="47" spans="1:15" x14ac:dyDescent="0.2">
      <c r="A47" s="789">
        <v>1955</v>
      </c>
      <c r="B47" s="790" t="s">
        <v>318</v>
      </c>
      <c r="C47" s="204"/>
      <c r="D47" s="204"/>
      <c r="E47" s="282"/>
      <c r="F47" s="282"/>
      <c r="G47" s="586">
        <f t="shared" si="0"/>
        <v>0</v>
      </c>
      <c r="H47" s="796">
        <f t="shared" si="1"/>
        <v>0</v>
      </c>
      <c r="I47" s="796">
        <f t="shared" si="2"/>
        <v>0</v>
      </c>
      <c r="J47" s="796">
        <f t="shared" si="3"/>
        <v>0</v>
      </c>
      <c r="K47" s="204"/>
      <c r="L47" s="796">
        <f t="shared" si="4"/>
        <v>0</v>
      </c>
      <c r="M47" s="796">
        <f t="shared" si="5"/>
        <v>0</v>
      </c>
      <c r="N47" s="204"/>
      <c r="O47" s="796">
        <f t="shared" si="6"/>
        <v>0</v>
      </c>
    </row>
    <row r="48" spans="1:15" x14ac:dyDescent="0.2">
      <c r="A48" s="788">
        <v>1960</v>
      </c>
      <c r="B48" s="783" t="s">
        <v>319</v>
      </c>
      <c r="C48" s="204"/>
      <c r="D48" s="204"/>
      <c r="E48" s="282"/>
      <c r="F48" s="282"/>
      <c r="G48" s="586">
        <f t="shared" si="0"/>
        <v>0</v>
      </c>
      <c r="H48" s="796">
        <f t="shared" si="1"/>
        <v>0</v>
      </c>
      <c r="I48" s="796">
        <f t="shared" si="2"/>
        <v>0</v>
      </c>
      <c r="J48" s="796">
        <f t="shared" si="3"/>
        <v>0</v>
      </c>
      <c r="K48" s="204"/>
      <c r="L48" s="796">
        <f t="shared" si="4"/>
        <v>0</v>
      </c>
      <c r="M48" s="796">
        <f t="shared" si="5"/>
        <v>0</v>
      </c>
      <c r="N48" s="204"/>
      <c r="O48" s="796">
        <f t="shared" si="6"/>
        <v>0</v>
      </c>
    </row>
    <row r="49" spans="1:15" x14ac:dyDescent="0.2">
      <c r="A49" s="788">
        <v>1970</v>
      </c>
      <c r="B49" s="900" t="s">
        <v>929</v>
      </c>
      <c r="C49" s="204"/>
      <c r="D49" s="204"/>
      <c r="E49" s="282"/>
      <c r="F49" s="282"/>
      <c r="G49" s="586">
        <f t="shared" si="0"/>
        <v>0</v>
      </c>
      <c r="H49" s="796">
        <f t="shared" si="1"/>
        <v>0</v>
      </c>
      <c r="I49" s="796">
        <f t="shared" si="2"/>
        <v>0</v>
      </c>
      <c r="J49" s="796">
        <f t="shared" si="3"/>
        <v>0</v>
      </c>
      <c r="K49" s="204"/>
      <c r="L49" s="796">
        <f t="shared" si="4"/>
        <v>0</v>
      </c>
      <c r="M49" s="796">
        <f t="shared" si="5"/>
        <v>0</v>
      </c>
      <c r="N49" s="204"/>
      <c r="O49" s="796">
        <f t="shared" si="6"/>
        <v>0</v>
      </c>
    </row>
    <row r="50" spans="1:15" x14ac:dyDescent="0.2">
      <c r="A50" s="782">
        <v>1975</v>
      </c>
      <c r="B50" s="787" t="s">
        <v>409</v>
      </c>
      <c r="C50" s="204"/>
      <c r="D50" s="204"/>
      <c r="E50" s="282"/>
      <c r="F50" s="282"/>
      <c r="G50" s="586">
        <f t="shared" si="0"/>
        <v>0</v>
      </c>
      <c r="H50" s="796">
        <f t="shared" si="1"/>
        <v>0</v>
      </c>
      <c r="I50" s="796">
        <f t="shared" si="2"/>
        <v>0</v>
      </c>
      <c r="J50" s="796">
        <f t="shared" si="3"/>
        <v>0</v>
      </c>
      <c r="K50" s="204"/>
      <c r="L50" s="796">
        <f t="shared" si="4"/>
        <v>0</v>
      </c>
      <c r="M50" s="796">
        <f t="shared" si="5"/>
        <v>0</v>
      </c>
      <c r="N50" s="204"/>
      <c r="O50" s="796">
        <f t="shared" si="6"/>
        <v>0</v>
      </c>
    </row>
    <row r="51" spans="1:15" x14ac:dyDescent="0.2">
      <c r="A51" s="782">
        <v>1980</v>
      </c>
      <c r="B51" s="787" t="s">
        <v>410</v>
      </c>
      <c r="C51" s="204"/>
      <c r="D51" s="204"/>
      <c r="E51" s="282"/>
      <c r="F51" s="282"/>
      <c r="G51" s="586">
        <f t="shared" si="0"/>
        <v>0</v>
      </c>
      <c r="H51" s="796">
        <f t="shared" si="1"/>
        <v>0</v>
      </c>
      <c r="I51" s="796">
        <f t="shared" si="2"/>
        <v>0</v>
      </c>
      <c r="J51" s="796">
        <f t="shared" si="3"/>
        <v>0</v>
      </c>
      <c r="K51" s="204"/>
      <c r="L51" s="796">
        <f t="shared" si="4"/>
        <v>0</v>
      </c>
      <c r="M51" s="796">
        <f t="shared" si="5"/>
        <v>0</v>
      </c>
      <c r="N51" s="204"/>
      <c r="O51" s="796">
        <f t="shared" si="6"/>
        <v>0</v>
      </c>
    </row>
    <row r="52" spans="1:15" x14ac:dyDescent="0.2">
      <c r="A52" s="782">
        <v>1985</v>
      </c>
      <c r="B52" s="787" t="s">
        <v>411</v>
      </c>
      <c r="C52" s="204"/>
      <c r="D52" s="204"/>
      <c r="E52" s="282"/>
      <c r="F52" s="282"/>
      <c r="G52" s="586">
        <f t="shared" si="0"/>
        <v>0</v>
      </c>
      <c r="H52" s="796">
        <f t="shared" si="1"/>
        <v>0</v>
      </c>
      <c r="I52" s="796">
        <f t="shared" si="2"/>
        <v>0</v>
      </c>
      <c r="J52" s="796">
        <f t="shared" si="3"/>
        <v>0</v>
      </c>
      <c r="K52" s="204"/>
      <c r="L52" s="796">
        <f t="shared" si="4"/>
        <v>0</v>
      </c>
      <c r="M52" s="796">
        <f t="shared" si="5"/>
        <v>0</v>
      </c>
      <c r="N52" s="204"/>
      <c r="O52" s="796">
        <f t="shared" si="6"/>
        <v>0</v>
      </c>
    </row>
    <row r="53" spans="1:15" x14ac:dyDescent="0.2">
      <c r="A53" s="782">
        <v>1990</v>
      </c>
      <c r="B53" s="791" t="s">
        <v>774</v>
      </c>
      <c r="C53" s="204"/>
      <c r="D53" s="204"/>
      <c r="E53" s="282"/>
      <c r="F53" s="282"/>
      <c r="G53" s="586">
        <f t="shared" si="0"/>
        <v>0</v>
      </c>
      <c r="H53" s="796">
        <f t="shared" si="1"/>
        <v>0</v>
      </c>
      <c r="I53" s="796">
        <f t="shared" si="2"/>
        <v>0</v>
      </c>
      <c r="J53" s="796">
        <f t="shared" si="3"/>
        <v>0</v>
      </c>
      <c r="K53" s="204"/>
      <c r="L53" s="796">
        <f t="shared" si="4"/>
        <v>0</v>
      </c>
      <c r="M53" s="796">
        <f t="shared" si="5"/>
        <v>0</v>
      </c>
      <c r="N53" s="204"/>
      <c r="O53" s="796">
        <f t="shared" si="6"/>
        <v>0</v>
      </c>
    </row>
    <row r="54" spans="1:15" x14ac:dyDescent="0.2">
      <c r="A54" s="782">
        <v>1995</v>
      </c>
      <c r="B54" s="787" t="s">
        <v>412</v>
      </c>
      <c r="C54" s="204"/>
      <c r="D54" s="204"/>
      <c r="E54" s="282"/>
      <c r="F54" s="282"/>
      <c r="G54" s="586">
        <f t="shared" si="0"/>
        <v>0</v>
      </c>
      <c r="H54" s="796">
        <f t="shared" si="1"/>
        <v>0</v>
      </c>
      <c r="I54" s="796">
        <f t="shared" si="2"/>
        <v>0</v>
      </c>
      <c r="J54" s="796">
        <f t="shared" si="3"/>
        <v>0</v>
      </c>
      <c r="K54" s="204"/>
      <c r="L54" s="796">
        <f t="shared" si="4"/>
        <v>0</v>
      </c>
      <c r="M54" s="796">
        <f t="shared" si="5"/>
        <v>0</v>
      </c>
      <c r="N54" s="204"/>
      <c r="O54" s="796">
        <f t="shared" si="6"/>
        <v>0</v>
      </c>
    </row>
    <row r="55" spans="1:15" x14ac:dyDescent="0.2">
      <c r="A55" s="227" t="s">
        <v>13</v>
      </c>
      <c r="B55" s="228"/>
      <c r="C55" s="204"/>
      <c r="D55" s="204"/>
      <c r="E55" s="282"/>
      <c r="F55" s="282"/>
      <c r="G55" s="586">
        <f t="shared" si="0"/>
        <v>0</v>
      </c>
      <c r="H55" s="796">
        <f t="shared" si="1"/>
        <v>0</v>
      </c>
      <c r="I55" s="796">
        <f t="shared" si="2"/>
        <v>0</v>
      </c>
      <c r="J55" s="796">
        <f t="shared" si="3"/>
        <v>0</v>
      </c>
      <c r="K55" s="204"/>
      <c r="L55" s="796">
        <f t="shared" si="4"/>
        <v>0</v>
      </c>
      <c r="M55" s="796">
        <f t="shared" si="5"/>
        <v>0</v>
      </c>
      <c r="N55" s="204"/>
      <c r="O55" s="796">
        <f t="shared" si="6"/>
        <v>0</v>
      </c>
    </row>
    <row r="56" spans="1:15" ht="13.5" thickBot="1" x14ac:dyDescent="0.25">
      <c r="A56" s="229"/>
      <c r="B56" s="230"/>
      <c r="C56" s="204"/>
      <c r="D56" s="204"/>
      <c r="E56" s="283"/>
      <c r="F56" s="283"/>
      <c r="G56" s="593">
        <f t="shared" si="0"/>
        <v>0</v>
      </c>
      <c r="H56" s="796">
        <f t="shared" si="1"/>
        <v>0</v>
      </c>
      <c r="I56" s="796">
        <f t="shared" si="2"/>
        <v>0</v>
      </c>
      <c r="J56" s="796">
        <f t="shared" si="3"/>
        <v>0</v>
      </c>
      <c r="K56" s="204"/>
      <c r="L56" s="796">
        <f t="shared" si="4"/>
        <v>0</v>
      </c>
      <c r="M56" s="796">
        <f t="shared" si="5"/>
        <v>0</v>
      </c>
      <c r="N56" s="204"/>
      <c r="O56" s="796">
        <f t="shared" si="6"/>
        <v>0</v>
      </c>
    </row>
    <row r="57" spans="1:15" ht="14.25" thickTop="1" thickBot="1" x14ac:dyDescent="0.25">
      <c r="A57" s="231"/>
      <c r="B57" s="232" t="s">
        <v>413</v>
      </c>
      <c r="C57" s="796">
        <f>SUM(C17:C56)</f>
        <v>0</v>
      </c>
      <c r="D57" s="796">
        <f>SUM(D17:D56)</f>
        <v>0</v>
      </c>
      <c r="E57" s="233"/>
      <c r="F57" s="234"/>
      <c r="G57" s="588"/>
      <c r="H57" s="796">
        <f t="shared" ref="H57:O57" si="7">SUM(H17:H56)</f>
        <v>0</v>
      </c>
      <c r="I57" s="796">
        <f t="shared" si="7"/>
        <v>0</v>
      </c>
      <c r="J57" s="796">
        <f t="shared" si="7"/>
        <v>0</v>
      </c>
      <c r="K57" s="796">
        <f t="shared" si="7"/>
        <v>0</v>
      </c>
      <c r="L57" s="796">
        <f t="shared" si="7"/>
        <v>0</v>
      </c>
      <c r="M57" s="796">
        <f t="shared" si="7"/>
        <v>0</v>
      </c>
      <c r="N57" s="796">
        <f>SUM(N17:N56)</f>
        <v>0</v>
      </c>
      <c r="O57" s="796">
        <f t="shared" si="7"/>
        <v>0</v>
      </c>
    </row>
    <row r="58" spans="1:15" ht="7.5" customHeight="1" x14ac:dyDescent="0.2"/>
    <row r="59" spans="1:15" x14ac:dyDescent="0.2">
      <c r="A59" s="217" t="s">
        <v>15</v>
      </c>
      <c r="B59" s="236"/>
      <c r="C59" s="236"/>
      <c r="D59" s="236"/>
      <c r="E59" s="236"/>
      <c r="F59" s="236"/>
      <c r="G59" s="236"/>
      <c r="H59" s="236"/>
      <c r="I59" s="236"/>
      <c r="J59" s="236"/>
      <c r="K59" s="236"/>
      <c r="L59" s="236"/>
    </row>
    <row r="60" spans="1:15" ht="7.5" customHeight="1" x14ac:dyDescent="0.2">
      <c r="A60" s="236"/>
      <c r="B60" s="236"/>
      <c r="C60" s="236"/>
      <c r="D60" s="236"/>
      <c r="E60" s="236"/>
      <c r="F60" s="236"/>
      <c r="G60" s="236"/>
      <c r="H60" s="236"/>
      <c r="I60" s="236"/>
      <c r="J60" s="236"/>
      <c r="K60" s="236"/>
      <c r="L60" s="236"/>
    </row>
    <row r="61" spans="1:15" x14ac:dyDescent="0.2">
      <c r="A61" s="284">
        <v>1</v>
      </c>
      <c r="B61" s="1790" t="s">
        <v>607</v>
      </c>
      <c r="C61" s="1790"/>
      <c r="D61" s="1790"/>
      <c r="E61" s="1790"/>
      <c r="F61" s="1790"/>
      <c r="G61" s="1790"/>
      <c r="H61" s="1790"/>
      <c r="I61" s="1790"/>
      <c r="J61" s="1790"/>
      <c r="K61" s="1790"/>
      <c r="L61" s="1790"/>
      <c r="M61" s="1790"/>
      <c r="N61" s="1790"/>
      <c r="O61" s="1790"/>
    </row>
    <row r="62" spans="1:15" x14ac:dyDescent="0.2">
      <c r="A62" s="284">
        <v>2</v>
      </c>
      <c r="B62" s="1790" t="s">
        <v>1934</v>
      </c>
      <c r="C62" s="1790"/>
      <c r="D62" s="1790"/>
      <c r="E62" s="1790"/>
      <c r="F62" s="1790"/>
      <c r="G62" s="1790"/>
      <c r="H62" s="1790"/>
      <c r="I62" s="1790"/>
      <c r="J62" s="1790"/>
      <c r="K62" s="1790"/>
      <c r="L62" s="1790"/>
      <c r="M62" s="1790"/>
      <c r="N62" s="1790"/>
      <c r="O62" s="1790"/>
    </row>
    <row r="63" spans="1:15" ht="40.5" customHeight="1" x14ac:dyDescent="0.2">
      <c r="A63" s="284">
        <v>3</v>
      </c>
      <c r="B63" s="1790" t="s">
        <v>932</v>
      </c>
      <c r="C63" s="1790"/>
      <c r="D63" s="1790"/>
      <c r="E63" s="1790"/>
      <c r="F63" s="1790"/>
      <c r="G63" s="1790"/>
      <c r="H63" s="1790"/>
      <c r="I63" s="1790"/>
      <c r="J63" s="1790"/>
      <c r="K63" s="1790"/>
      <c r="L63" s="1790"/>
      <c r="M63" s="1790"/>
      <c r="N63" s="1790"/>
      <c r="O63" s="1790"/>
    </row>
    <row r="64" spans="1:15" ht="53.25" customHeight="1" x14ac:dyDescent="0.2">
      <c r="A64" s="286">
        <v>4</v>
      </c>
      <c r="B64" s="1790" t="s">
        <v>933</v>
      </c>
      <c r="C64" s="1790"/>
      <c r="D64" s="1790"/>
      <c r="E64" s="1790"/>
      <c r="F64" s="1790"/>
      <c r="G64" s="1790"/>
      <c r="H64" s="1790"/>
      <c r="I64" s="1790"/>
      <c r="J64" s="1790"/>
      <c r="K64" s="1790"/>
      <c r="L64" s="1790"/>
      <c r="M64" s="1790"/>
      <c r="N64" s="1790"/>
      <c r="O64" s="1790"/>
    </row>
    <row r="65" spans="1:15" ht="16.5" customHeight="1" x14ac:dyDescent="0.2">
      <c r="A65" s="286">
        <v>5</v>
      </c>
      <c r="B65" s="1883" t="s">
        <v>611</v>
      </c>
      <c r="C65" s="1883"/>
      <c r="D65" s="1883"/>
      <c r="E65" s="1883"/>
      <c r="F65" s="1883"/>
      <c r="G65" s="1883"/>
      <c r="H65" s="1883"/>
      <c r="I65" s="1883"/>
      <c r="J65" s="1883"/>
      <c r="K65" s="1883"/>
      <c r="L65" s="1883"/>
      <c r="M65" s="1883"/>
      <c r="N65" s="1883"/>
      <c r="O65" s="1883"/>
    </row>
    <row r="66" spans="1:15" ht="14.25" customHeight="1" x14ac:dyDescent="0.2">
      <c r="A66" s="286">
        <v>6</v>
      </c>
      <c r="B66" s="1790" t="s">
        <v>718</v>
      </c>
      <c r="C66" s="1790"/>
      <c r="D66" s="1790"/>
      <c r="E66" s="1790"/>
      <c r="F66" s="1790"/>
      <c r="G66" s="1790"/>
      <c r="H66" s="1790"/>
      <c r="I66" s="1790"/>
      <c r="J66" s="1790"/>
      <c r="K66" s="1790"/>
      <c r="L66" s="1790"/>
      <c r="M66" s="1790"/>
      <c r="N66" s="1790"/>
      <c r="O66" s="1790"/>
    </row>
    <row r="67" spans="1:15" ht="14.25" customHeight="1" x14ac:dyDescent="0.2">
      <c r="A67" s="286"/>
      <c r="B67" s="683"/>
      <c r="C67" s="683"/>
      <c r="D67" s="683"/>
      <c r="E67" s="683"/>
      <c r="F67" s="683"/>
      <c r="G67" s="683"/>
      <c r="H67" s="683"/>
      <c r="I67" s="683"/>
      <c r="J67" s="683"/>
      <c r="K67" s="683"/>
      <c r="L67" s="683"/>
      <c r="M67" s="683"/>
      <c r="N67" s="683"/>
      <c r="O67" s="683"/>
    </row>
    <row r="68" spans="1:15" ht="12.75" customHeight="1" x14ac:dyDescent="0.2">
      <c r="A68" s="217" t="s">
        <v>325</v>
      </c>
      <c r="B68" s="1869" t="s">
        <v>270</v>
      </c>
      <c r="C68" s="1869"/>
      <c r="D68" s="1869"/>
      <c r="E68" s="1869"/>
      <c r="F68" s="1869"/>
      <c r="G68" s="1869"/>
      <c r="H68" s="1869"/>
      <c r="I68" s="1869"/>
      <c r="J68" s="1869"/>
      <c r="K68" s="1869"/>
      <c r="L68" s="1869"/>
      <c r="M68" s="1869"/>
      <c r="N68" s="1869"/>
      <c r="O68" s="1869"/>
    </row>
    <row r="69" spans="1:15" x14ac:dyDescent="0.2">
      <c r="B69" s="1869"/>
      <c r="C69" s="1869"/>
      <c r="D69" s="1869"/>
      <c r="E69" s="1869"/>
      <c r="F69" s="1869"/>
      <c r="G69" s="1869"/>
      <c r="H69" s="1869"/>
      <c r="I69" s="1869"/>
      <c r="J69" s="1869"/>
      <c r="K69" s="1869"/>
      <c r="L69" s="1869"/>
      <c r="M69" s="1869"/>
      <c r="N69" s="1869"/>
      <c r="O69" s="1869"/>
    </row>
    <row r="70" spans="1:15" x14ac:dyDescent="0.2">
      <c r="B70" s="686"/>
      <c r="C70" s="686"/>
      <c r="D70" s="686"/>
      <c r="E70" s="686"/>
      <c r="F70" s="686"/>
      <c r="G70" s="686"/>
      <c r="H70" s="686"/>
      <c r="I70" s="686"/>
      <c r="J70" s="686"/>
      <c r="K70" s="686"/>
      <c r="L70" s="686"/>
      <c r="M70" s="236"/>
      <c r="N70" s="236"/>
    </row>
    <row r="72" spans="1:15" x14ac:dyDescent="0.2">
      <c r="B72" s="236"/>
    </row>
    <row r="73" spans="1:15" x14ac:dyDescent="0.2">
      <c r="B73" s="236"/>
    </row>
  </sheetData>
  <mergeCells count="14">
    <mergeCell ref="A9:O9"/>
    <mergeCell ref="A10:O10"/>
    <mergeCell ref="A15:A16"/>
    <mergeCell ref="B15:B16"/>
    <mergeCell ref="K15:K16"/>
    <mergeCell ref="N15:N16"/>
    <mergeCell ref="A11:O11"/>
    <mergeCell ref="B68:O69"/>
    <mergeCell ref="B61:O61"/>
    <mergeCell ref="B62:O62"/>
    <mergeCell ref="B63:O63"/>
    <mergeCell ref="B64:O64"/>
    <mergeCell ref="B65:O65"/>
    <mergeCell ref="B66:O66"/>
  </mergeCells>
  <dataValidations count="1">
    <dataValidation allowBlank="1" showInputMessage="1" showErrorMessage="1" promptTitle="Date Format" prompt="E.g:  &quot;August 1, 2011&quot;" sqref="L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L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L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L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L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L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L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L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L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L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L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L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L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L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L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L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dataValidations>
  <printOptions horizontalCentered="1"/>
  <pageMargins left="0.74803149606299213" right="0.74803149606299213" top="0.70866141732283472" bottom="0.39370078740157483" header="0.39370078740157483" footer="0.27559055118110237"/>
  <pageSetup scale="5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O79"/>
  <sheetViews>
    <sheetView showGridLines="0" zoomScaleNormal="100" workbookViewId="0">
      <selection activeCell="J2" sqref="J2"/>
    </sheetView>
  </sheetViews>
  <sheetFormatPr defaultRowHeight="12.75" x14ac:dyDescent="0.2"/>
  <cols>
    <col min="1" max="1" width="9.140625" style="216"/>
    <col min="2" max="2" width="40.28515625" style="216" bestFit="1" customWidth="1"/>
    <col min="3" max="3" width="10" style="216" customWidth="1"/>
    <col min="4" max="4" width="10.140625" style="216" customWidth="1"/>
    <col min="5" max="5" width="12.28515625" style="216" customWidth="1"/>
    <col min="6" max="6" width="16.28515625" style="216" customWidth="1"/>
    <col min="7" max="7" width="16.140625" style="216" customWidth="1"/>
    <col min="8" max="8" width="12.7109375" style="216" customWidth="1"/>
    <col min="9" max="10" width="14.42578125" style="216" customWidth="1"/>
    <col min="11" max="11" width="13.5703125" style="216" customWidth="1"/>
    <col min="12" max="12" width="9.140625" style="216"/>
    <col min="13" max="13" width="18.5703125" style="216" customWidth="1"/>
    <col min="14" max="256" width="9.140625" style="216"/>
    <col min="257" max="257" width="2.7109375" style="216" customWidth="1"/>
    <col min="258" max="258" width="9.140625" style="216"/>
    <col min="259" max="259" width="40.28515625" style="216" bestFit="1" customWidth="1"/>
    <col min="260" max="260" width="10" style="216" customWidth="1"/>
    <col min="261" max="261" width="10.140625" style="216" customWidth="1"/>
    <col min="262" max="262" width="12.28515625" style="216" customWidth="1"/>
    <col min="263" max="263" width="16.28515625" style="216" customWidth="1"/>
    <col min="264" max="264" width="12.85546875" style="216" customWidth="1"/>
    <col min="265" max="265" width="12.7109375" style="216" customWidth="1"/>
    <col min="266" max="266" width="14.42578125" style="216" customWidth="1"/>
    <col min="267" max="267" width="13.5703125" style="216" customWidth="1"/>
    <col min="268" max="512" width="9.140625" style="216"/>
    <col min="513" max="513" width="2.7109375" style="216" customWidth="1"/>
    <col min="514" max="514" width="9.140625" style="216"/>
    <col min="515" max="515" width="40.28515625" style="216" bestFit="1" customWidth="1"/>
    <col min="516" max="516" width="10" style="216" customWidth="1"/>
    <col min="517" max="517" width="10.140625" style="216" customWidth="1"/>
    <col min="518" max="518" width="12.28515625" style="216" customWidth="1"/>
    <col min="519" max="519" width="16.28515625" style="216" customWidth="1"/>
    <col min="520" max="520" width="12.85546875" style="216" customWidth="1"/>
    <col min="521" max="521" width="12.7109375" style="216" customWidth="1"/>
    <col min="522" max="522" width="14.42578125" style="216" customWidth="1"/>
    <col min="523" max="523" width="13.5703125" style="216" customWidth="1"/>
    <col min="524" max="768" width="9.140625" style="216"/>
    <col min="769" max="769" width="2.7109375" style="216" customWidth="1"/>
    <col min="770" max="770" width="9.140625" style="216"/>
    <col min="771" max="771" width="40.28515625" style="216" bestFit="1" customWidth="1"/>
    <col min="772" max="772" width="10" style="216" customWidth="1"/>
    <col min="773" max="773" width="10.140625" style="216" customWidth="1"/>
    <col min="774" max="774" width="12.28515625" style="216" customWidth="1"/>
    <col min="775" max="775" width="16.28515625" style="216" customWidth="1"/>
    <col min="776" max="776" width="12.85546875" style="216" customWidth="1"/>
    <col min="777" max="777" width="12.7109375" style="216" customWidth="1"/>
    <col min="778" max="778" width="14.42578125" style="216" customWidth="1"/>
    <col min="779" max="779" width="13.5703125" style="216" customWidth="1"/>
    <col min="780" max="1024" width="9.140625" style="216"/>
    <col min="1025" max="1025" width="2.7109375" style="216" customWidth="1"/>
    <col min="1026" max="1026" width="9.140625" style="216"/>
    <col min="1027" max="1027" width="40.28515625" style="216" bestFit="1" customWidth="1"/>
    <col min="1028" max="1028" width="10" style="216" customWidth="1"/>
    <col min="1029" max="1029" width="10.140625" style="216" customWidth="1"/>
    <col min="1030" max="1030" width="12.28515625" style="216" customWidth="1"/>
    <col min="1031" max="1031" width="16.28515625" style="216" customWidth="1"/>
    <col min="1032" max="1032" width="12.85546875" style="216" customWidth="1"/>
    <col min="1033" max="1033" width="12.7109375" style="216" customWidth="1"/>
    <col min="1034" max="1034" width="14.42578125" style="216" customWidth="1"/>
    <col min="1035" max="1035" width="13.5703125" style="216" customWidth="1"/>
    <col min="1036" max="1280" width="9.140625" style="216"/>
    <col min="1281" max="1281" width="2.7109375" style="216" customWidth="1"/>
    <col min="1282" max="1282" width="9.140625" style="216"/>
    <col min="1283" max="1283" width="40.28515625" style="216" bestFit="1" customWidth="1"/>
    <col min="1284" max="1284" width="10" style="216" customWidth="1"/>
    <col min="1285" max="1285" width="10.140625" style="216" customWidth="1"/>
    <col min="1286" max="1286" width="12.28515625" style="216" customWidth="1"/>
    <col min="1287" max="1287" width="16.28515625" style="216" customWidth="1"/>
    <col min="1288" max="1288" width="12.85546875" style="216" customWidth="1"/>
    <col min="1289" max="1289" width="12.7109375" style="216" customWidth="1"/>
    <col min="1290" max="1290" width="14.42578125" style="216" customWidth="1"/>
    <col min="1291" max="1291" width="13.5703125" style="216" customWidth="1"/>
    <col min="1292" max="1536" width="9.140625" style="216"/>
    <col min="1537" max="1537" width="2.7109375" style="216" customWidth="1"/>
    <col min="1538" max="1538" width="9.140625" style="216"/>
    <col min="1539" max="1539" width="40.28515625" style="216" bestFit="1" customWidth="1"/>
    <col min="1540" max="1540" width="10" style="216" customWidth="1"/>
    <col min="1541" max="1541" width="10.140625" style="216" customWidth="1"/>
    <col min="1542" max="1542" width="12.28515625" style="216" customWidth="1"/>
    <col min="1543" max="1543" width="16.28515625" style="216" customWidth="1"/>
    <col min="1544" max="1544" width="12.85546875" style="216" customWidth="1"/>
    <col min="1545" max="1545" width="12.7109375" style="216" customWidth="1"/>
    <col min="1546" max="1546" width="14.42578125" style="216" customWidth="1"/>
    <col min="1547" max="1547" width="13.5703125" style="216" customWidth="1"/>
    <col min="1548" max="1792" width="9.140625" style="216"/>
    <col min="1793" max="1793" width="2.7109375" style="216" customWidth="1"/>
    <col min="1794" max="1794" width="9.140625" style="216"/>
    <col min="1795" max="1795" width="40.28515625" style="216" bestFit="1" customWidth="1"/>
    <col min="1796" max="1796" width="10" style="216" customWidth="1"/>
    <col min="1797" max="1797" width="10.140625" style="216" customWidth="1"/>
    <col min="1798" max="1798" width="12.28515625" style="216" customWidth="1"/>
    <col min="1799" max="1799" width="16.28515625" style="216" customWidth="1"/>
    <col min="1800" max="1800" width="12.85546875" style="216" customWidth="1"/>
    <col min="1801" max="1801" width="12.7109375" style="216" customWidth="1"/>
    <col min="1802" max="1802" width="14.42578125" style="216" customWidth="1"/>
    <col min="1803" max="1803" width="13.5703125" style="216" customWidth="1"/>
    <col min="1804" max="2048" width="9.140625" style="216"/>
    <col min="2049" max="2049" width="2.7109375" style="216" customWidth="1"/>
    <col min="2050" max="2050" width="9.140625" style="216"/>
    <col min="2051" max="2051" width="40.28515625" style="216" bestFit="1" customWidth="1"/>
    <col min="2052" max="2052" width="10" style="216" customWidth="1"/>
    <col min="2053" max="2053" width="10.140625" style="216" customWidth="1"/>
    <col min="2054" max="2054" width="12.28515625" style="216" customWidth="1"/>
    <col min="2055" max="2055" width="16.28515625" style="216" customWidth="1"/>
    <col min="2056" max="2056" width="12.85546875" style="216" customWidth="1"/>
    <col min="2057" max="2057" width="12.7109375" style="216" customWidth="1"/>
    <col min="2058" max="2058" width="14.42578125" style="216" customWidth="1"/>
    <col min="2059" max="2059" width="13.5703125" style="216" customWidth="1"/>
    <col min="2060" max="2304" width="9.140625" style="216"/>
    <col min="2305" max="2305" width="2.7109375" style="216" customWidth="1"/>
    <col min="2306" max="2306" width="9.140625" style="216"/>
    <col min="2307" max="2307" width="40.28515625" style="216" bestFit="1" customWidth="1"/>
    <col min="2308" max="2308" width="10" style="216" customWidth="1"/>
    <col min="2309" max="2309" width="10.140625" style="216" customWidth="1"/>
    <col min="2310" max="2310" width="12.28515625" style="216" customWidth="1"/>
    <col min="2311" max="2311" width="16.28515625" style="216" customWidth="1"/>
    <col min="2312" max="2312" width="12.85546875" style="216" customWidth="1"/>
    <col min="2313" max="2313" width="12.7109375" style="216" customWidth="1"/>
    <col min="2314" max="2314" width="14.42578125" style="216" customWidth="1"/>
    <col min="2315" max="2315" width="13.5703125" style="216" customWidth="1"/>
    <col min="2316" max="2560" width="9.140625" style="216"/>
    <col min="2561" max="2561" width="2.7109375" style="216" customWidth="1"/>
    <col min="2562" max="2562" width="9.140625" style="216"/>
    <col min="2563" max="2563" width="40.28515625" style="216" bestFit="1" customWidth="1"/>
    <col min="2564" max="2564" width="10" style="216" customWidth="1"/>
    <col min="2565" max="2565" width="10.140625" style="216" customWidth="1"/>
    <col min="2566" max="2566" width="12.28515625" style="216" customWidth="1"/>
    <col min="2567" max="2567" width="16.28515625" style="216" customWidth="1"/>
    <col min="2568" max="2568" width="12.85546875" style="216" customWidth="1"/>
    <col min="2569" max="2569" width="12.7109375" style="216" customWidth="1"/>
    <col min="2570" max="2570" width="14.42578125" style="216" customWidth="1"/>
    <col min="2571" max="2571" width="13.5703125" style="216" customWidth="1"/>
    <col min="2572" max="2816" width="9.140625" style="216"/>
    <col min="2817" max="2817" width="2.7109375" style="216" customWidth="1"/>
    <col min="2818" max="2818" width="9.140625" style="216"/>
    <col min="2819" max="2819" width="40.28515625" style="216" bestFit="1" customWidth="1"/>
    <col min="2820" max="2820" width="10" style="216" customWidth="1"/>
    <col min="2821" max="2821" width="10.140625" style="216" customWidth="1"/>
    <col min="2822" max="2822" width="12.28515625" style="216" customWidth="1"/>
    <col min="2823" max="2823" width="16.28515625" style="216" customWidth="1"/>
    <col min="2824" max="2824" width="12.85546875" style="216" customWidth="1"/>
    <col min="2825" max="2825" width="12.7109375" style="216" customWidth="1"/>
    <col min="2826" max="2826" width="14.42578125" style="216" customWidth="1"/>
    <col min="2827" max="2827" width="13.5703125" style="216" customWidth="1"/>
    <col min="2828" max="3072" width="9.140625" style="216"/>
    <col min="3073" max="3073" width="2.7109375" style="216" customWidth="1"/>
    <col min="3074" max="3074" width="9.140625" style="216"/>
    <col min="3075" max="3075" width="40.28515625" style="216" bestFit="1" customWidth="1"/>
    <col min="3076" max="3076" width="10" style="216" customWidth="1"/>
    <col min="3077" max="3077" width="10.140625" style="216" customWidth="1"/>
    <col min="3078" max="3078" width="12.28515625" style="216" customWidth="1"/>
    <col min="3079" max="3079" width="16.28515625" style="216" customWidth="1"/>
    <col min="3080" max="3080" width="12.85546875" style="216" customWidth="1"/>
    <col min="3081" max="3081" width="12.7109375" style="216" customWidth="1"/>
    <col min="3082" max="3082" width="14.42578125" style="216" customWidth="1"/>
    <col min="3083" max="3083" width="13.5703125" style="216" customWidth="1"/>
    <col min="3084" max="3328" width="9.140625" style="216"/>
    <col min="3329" max="3329" width="2.7109375" style="216" customWidth="1"/>
    <col min="3330" max="3330" width="9.140625" style="216"/>
    <col min="3331" max="3331" width="40.28515625" style="216" bestFit="1" customWidth="1"/>
    <col min="3332" max="3332" width="10" style="216" customWidth="1"/>
    <col min="3333" max="3333" width="10.140625" style="216" customWidth="1"/>
    <col min="3334" max="3334" width="12.28515625" style="216" customWidth="1"/>
    <col min="3335" max="3335" width="16.28515625" style="216" customWidth="1"/>
    <col min="3336" max="3336" width="12.85546875" style="216" customWidth="1"/>
    <col min="3337" max="3337" width="12.7109375" style="216" customWidth="1"/>
    <col min="3338" max="3338" width="14.42578125" style="216" customWidth="1"/>
    <col min="3339" max="3339" width="13.5703125" style="216" customWidth="1"/>
    <col min="3340" max="3584" width="9.140625" style="216"/>
    <col min="3585" max="3585" width="2.7109375" style="216" customWidth="1"/>
    <col min="3586" max="3586" width="9.140625" style="216"/>
    <col min="3587" max="3587" width="40.28515625" style="216" bestFit="1" customWidth="1"/>
    <col min="3588" max="3588" width="10" style="216" customWidth="1"/>
    <col min="3589" max="3589" width="10.140625" style="216" customWidth="1"/>
    <col min="3590" max="3590" width="12.28515625" style="216" customWidth="1"/>
    <col min="3591" max="3591" width="16.28515625" style="216" customWidth="1"/>
    <col min="3592" max="3592" width="12.85546875" style="216" customWidth="1"/>
    <col min="3593" max="3593" width="12.7109375" style="216" customWidth="1"/>
    <col min="3594" max="3594" width="14.42578125" style="216" customWidth="1"/>
    <col min="3595" max="3595" width="13.5703125" style="216" customWidth="1"/>
    <col min="3596" max="3840" width="9.140625" style="216"/>
    <col min="3841" max="3841" width="2.7109375" style="216" customWidth="1"/>
    <col min="3842" max="3842" width="9.140625" style="216"/>
    <col min="3843" max="3843" width="40.28515625" style="216" bestFit="1" customWidth="1"/>
    <col min="3844" max="3844" width="10" style="216" customWidth="1"/>
    <col min="3845" max="3845" width="10.140625" style="216" customWidth="1"/>
    <col min="3846" max="3846" width="12.28515625" style="216" customWidth="1"/>
    <col min="3847" max="3847" width="16.28515625" style="216" customWidth="1"/>
    <col min="3848" max="3848" width="12.85546875" style="216" customWidth="1"/>
    <col min="3849" max="3849" width="12.7109375" style="216" customWidth="1"/>
    <col min="3850" max="3850" width="14.42578125" style="216" customWidth="1"/>
    <col min="3851" max="3851" width="13.5703125" style="216" customWidth="1"/>
    <col min="3852" max="4096" width="9.140625" style="216"/>
    <col min="4097" max="4097" width="2.7109375" style="216" customWidth="1"/>
    <col min="4098" max="4098" width="9.140625" style="216"/>
    <col min="4099" max="4099" width="40.28515625" style="216" bestFit="1" customWidth="1"/>
    <col min="4100" max="4100" width="10" style="216" customWidth="1"/>
    <col min="4101" max="4101" width="10.140625" style="216" customWidth="1"/>
    <col min="4102" max="4102" width="12.28515625" style="216" customWidth="1"/>
    <col min="4103" max="4103" width="16.28515625" style="216" customWidth="1"/>
    <col min="4104" max="4104" width="12.85546875" style="216" customWidth="1"/>
    <col min="4105" max="4105" width="12.7109375" style="216" customWidth="1"/>
    <col min="4106" max="4106" width="14.42578125" style="216" customWidth="1"/>
    <col min="4107" max="4107" width="13.5703125" style="216" customWidth="1"/>
    <col min="4108" max="4352" width="9.140625" style="216"/>
    <col min="4353" max="4353" width="2.7109375" style="216" customWidth="1"/>
    <col min="4354" max="4354" width="9.140625" style="216"/>
    <col min="4355" max="4355" width="40.28515625" style="216" bestFit="1" customWidth="1"/>
    <col min="4356" max="4356" width="10" style="216" customWidth="1"/>
    <col min="4357" max="4357" width="10.140625" style="216" customWidth="1"/>
    <col min="4358" max="4358" width="12.28515625" style="216" customWidth="1"/>
    <col min="4359" max="4359" width="16.28515625" style="216" customWidth="1"/>
    <col min="4360" max="4360" width="12.85546875" style="216" customWidth="1"/>
    <col min="4361" max="4361" width="12.7109375" style="216" customWidth="1"/>
    <col min="4362" max="4362" width="14.42578125" style="216" customWidth="1"/>
    <col min="4363" max="4363" width="13.5703125" style="216" customWidth="1"/>
    <col min="4364" max="4608" width="9.140625" style="216"/>
    <col min="4609" max="4609" width="2.7109375" style="216" customWidth="1"/>
    <col min="4610" max="4610" width="9.140625" style="216"/>
    <col min="4611" max="4611" width="40.28515625" style="216" bestFit="1" customWidth="1"/>
    <col min="4612" max="4612" width="10" style="216" customWidth="1"/>
    <col min="4613" max="4613" width="10.140625" style="216" customWidth="1"/>
    <col min="4614" max="4614" width="12.28515625" style="216" customWidth="1"/>
    <col min="4615" max="4615" width="16.28515625" style="216" customWidth="1"/>
    <col min="4616" max="4616" width="12.85546875" style="216" customWidth="1"/>
    <col min="4617" max="4617" width="12.7109375" style="216" customWidth="1"/>
    <col min="4618" max="4618" width="14.42578125" style="216" customWidth="1"/>
    <col min="4619" max="4619" width="13.5703125" style="216" customWidth="1"/>
    <col min="4620" max="4864" width="9.140625" style="216"/>
    <col min="4865" max="4865" width="2.7109375" style="216" customWidth="1"/>
    <col min="4866" max="4866" width="9.140625" style="216"/>
    <col min="4867" max="4867" width="40.28515625" style="216" bestFit="1" customWidth="1"/>
    <col min="4868" max="4868" width="10" style="216" customWidth="1"/>
    <col min="4869" max="4869" width="10.140625" style="216" customWidth="1"/>
    <col min="4870" max="4870" width="12.28515625" style="216" customWidth="1"/>
    <col min="4871" max="4871" width="16.28515625" style="216" customWidth="1"/>
    <col min="4872" max="4872" width="12.85546875" style="216" customWidth="1"/>
    <col min="4873" max="4873" width="12.7109375" style="216" customWidth="1"/>
    <col min="4874" max="4874" width="14.42578125" style="216" customWidth="1"/>
    <col min="4875" max="4875" width="13.5703125" style="216" customWidth="1"/>
    <col min="4876" max="5120" width="9.140625" style="216"/>
    <col min="5121" max="5121" width="2.7109375" style="216" customWidth="1"/>
    <col min="5122" max="5122" width="9.140625" style="216"/>
    <col min="5123" max="5123" width="40.28515625" style="216" bestFit="1" customWidth="1"/>
    <col min="5124" max="5124" width="10" style="216" customWidth="1"/>
    <col min="5125" max="5125" width="10.140625" style="216" customWidth="1"/>
    <col min="5126" max="5126" width="12.28515625" style="216" customWidth="1"/>
    <col min="5127" max="5127" width="16.28515625" style="216" customWidth="1"/>
    <col min="5128" max="5128" width="12.85546875" style="216" customWidth="1"/>
    <col min="5129" max="5129" width="12.7109375" style="216" customWidth="1"/>
    <col min="5130" max="5130" width="14.42578125" style="216" customWidth="1"/>
    <col min="5131" max="5131" width="13.5703125" style="216" customWidth="1"/>
    <col min="5132" max="5376" width="9.140625" style="216"/>
    <col min="5377" max="5377" width="2.7109375" style="216" customWidth="1"/>
    <col min="5378" max="5378" width="9.140625" style="216"/>
    <col min="5379" max="5379" width="40.28515625" style="216" bestFit="1" customWidth="1"/>
    <col min="5380" max="5380" width="10" style="216" customWidth="1"/>
    <col min="5381" max="5381" width="10.140625" style="216" customWidth="1"/>
    <col min="5382" max="5382" width="12.28515625" style="216" customWidth="1"/>
    <col min="5383" max="5383" width="16.28515625" style="216" customWidth="1"/>
    <col min="5384" max="5384" width="12.85546875" style="216" customWidth="1"/>
    <col min="5385" max="5385" width="12.7109375" style="216" customWidth="1"/>
    <col min="5386" max="5386" width="14.42578125" style="216" customWidth="1"/>
    <col min="5387" max="5387" width="13.5703125" style="216" customWidth="1"/>
    <col min="5388" max="5632" width="9.140625" style="216"/>
    <col min="5633" max="5633" width="2.7109375" style="216" customWidth="1"/>
    <col min="5634" max="5634" width="9.140625" style="216"/>
    <col min="5635" max="5635" width="40.28515625" style="216" bestFit="1" customWidth="1"/>
    <col min="5636" max="5636" width="10" style="216" customWidth="1"/>
    <col min="5637" max="5637" width="10.140625" style="216" customWidth="1"/>
    <col min="5638" max="5638" width="12.28515625" style="216" customWidth="1"/>
    <col min="5639" max="5639" width="16.28515625" style="216" customWidth="1"/>
    <col min="5640" max="5640" width="12.85546875" style="216" customWidth="1"/>
    <col min="5641" max="5641" width="12.7109375" style="216" customWidth="1"/>
    <col min="5642" max="5642" width="14.42578125" style="216" customWidth="1"/>
    <col min="5643" max="5643" width="13.5703125" style="216" customWidth="1"/>
    <col min="5644" max="5888" width="9.140625" style="216"/>
    <col min="5889" max="5889" width="2.7109375" style="216" customWidth="1"/>
    <col min="5890" max="5890" width="9.140625" style="216"/>
    <col min="5891" max="5891" width="40.28515625" style="216" bestFit="1" customWidth="1"/>
    <col min="5892" max="5892" width="10" style="216" customWidth="1"/>
    <col min="5893" max="5893" width="10.140625" style="216" customWidth="1"/>
    <col min="5894" max="5894" width="12.28515625" style="216" customWidth="1"/>
    <col min="5895" max="5895" width="16.28515625" style="216" customWidth="1"/>
    <col min="5896" max="5896" width="12.85546875" style="216" customWidth="1"/>
    <col min="5897" max="5897" width="12.7109375" style="216" customWidth="1"/>
    <col min="5898" max="5898" width="14.42578125" style="216" customWidth="1"/>
    <col min="5899" max="5899" width="13.5703125" style="216" customWidth="1"/>
    <col min="5900" max="6144" width="9.140625" style="216"/>
    <col min="6145" max="6145" width="2.7109375" style="216" customWidth="1"/>
    <col min="6146" max="6146" width="9.140625" style="216"/>
    <col min="6147" max="6147" width="40.28515625" style="216" bestFit="1" customWidth="1"/>
    <col min="6148" max="6148" width="10" style="216" customWidth="1"/>
    <col min="6149" max="6149" width="10.140625" style="216" customWidth="1"/>
    <col min="6150" max="6150" width="12.28515625" style="216" customWidth="1"/>
    <col min="6151" max="6151" width="16.28515625" style="216" customWidth="1"/>
    <col min="6152" max="6152" width="12.85546875" style="216" customWidth="1"/>
    <col min="6153" max="6153" width="12.7109375" style="216" customWidth="1"/>
    <col min="6154" max="6154" width="14.42578125" style="216" customWidth="1"/>
    <col min="6155" max="6155" width="13.5703125" style="216" customWidth="1"/>
    <col min="6156" max="6400" width="9.140625" style="216"/>
    <col min="6401" max="6401" width="2.7109375" style="216" customWidth="1"/>
    <col min="6402" max="6402" width="9.140625" style="216"/>
    <col min="6403" max="6403" width="40.28515625" style="216" bestFit="1" customWidth="1"/>
    <col min="6404" max="6404" width="10" style="216" customWidth="1"/>
    <col min="6405" max="6405" width="10.140625" style="216" customWidth="1"/>
    <col min="6406" max="6406" width="12.28515625" style="216" customWidth="1"/>
    <col min="6407" max="6407" width="16.28515625" style="216" customWidth="1"/>
    <col min="6408" max="6408" width="12.85546875" style="216" customWidth="1"/>
    <col min="6409" max="6409" width="12.7109375" style="216" customWidth="1"/>
    <col min="6410" max="6410" width="14.42578125" style="216" customWidth="1"/>
    <col min="6411" max="6411" width="13.5703125" style="216" customWidth="1"/>
    <col min="6412" max="6656" width="9.140625" style="216"/>
    <col min="6657" max="6657" width="2.7109375" style="216" customWidth="1"/>
    <col min="6658" max="6658" width="9.140625" style="216"/>
    <col min="6659" max="6659" width="40.28515625" style="216" bestFit="1" customWidth="1"/>
    <col min="6660" max="6660" width="10" style="216" customWidth="1"/>
    <col min="6661" max="6661" width="10.140625" style="216" customWidth="1"/>
    <col min="6662" max="6662" width="12.28515625" style="216" customWidth="1"/>
    <col min="6663" max="6663" width="16.28515625" style="216" customWidth="1"/>
    <col min="6664" max="6664" width="12.85546875" style="216" customWidth="1"/>
    <col min="6665" max="6665" width="12.7109375" style="216" customWidth="1"/>
    <col min="6666" max="6666" width="14.42578125" style="216" customWidth="1"/>
    <col min="6667" max="6667" width="13.5703125" style="216" customWidth="1"/>
    <col min="6668" max="6912" width="9.140625" style="216"/>
    <col min="6913" max="6913" width="2.7109375" style="216" customWidth="1"/>
    <col min="6914" max="6914" width="9.140625" style="216"/>
    <col min="6915" max="6915" width="40.28515625" style="216" bestFit="1" customWidth="1"/>
    <col min="6916" max="6916" width="10" style="216" customWidth="1"/>
    <col min="6917" max="6917" width="10.140625" style="216" customWidth="1"/>
    <col min="6918" max="6918" width="12.28515625" style="216" customWidth="1"/>
    <col min="6919" max="6919" width="16.28515625" style="216" customWidth="1"/>
    <col min="6920" max="6920" width="12.85546875" style="216" customWidth="1"/>
    <col min="6921" max="6921" width="12.7109375" style="216" customWidth="1"/>
    <col min="6922" max="6922" width="14.42578125" style="216" customWidth="1"/>
    <col min="6923" max="6923" width="13.5703125" style="216" customWidth="1"/>
    <col min="6924" max="7168" width="9.140625" style="216"/>
    <col min="7169" max="7169" width="2.7109375" style="216" customWidth="1"/>
    <col min="7170" max="7170" width="9.140625" style="216"/>
    <col min="7171" max="7171" width="40.28515625" style="216" bestFit="1" customWidth="1"/>
    <col min="7172" max="7172" width="10" style="216" customWidth="1"/>
    <col min="7173" max="7173" width="10.140625" style="216" customWidth="1"/>
    <col min="7174" max="7174" width="12.28515625" style="216" customWidth="1"/>
    <col min="7175" max="7175" width="16.28515625" style="216" customWidth="1"/>
    <col min="7176" max="7176" width="12.85546875" style="216" customWidth="1"/>
    <col min="7177" max="7177" width="12.7109375" style="216" customWidth="1"/>
    <col min="7178" max="7178" width="14.42578125" style="216" customWidth="1"/>
    <col min="7179" max="7179" width="13.5703125" style="216" customWidth="1"/>
    <col min="7180" max="7424" width="9.140625" style="216"/>
    <col min="7425" max="7425" width="2.7109375" style="216" customWidth="1"/>
    <col min="7426" max="7426" width="9.140625" style="216"/>
    <col min="7427" max="7427" width="40.28515625" style="216" bestFit="1" customWidth="1"/>
    <col min="7428" max="7428" width="10" style="216" customWidth="1"/>
    <col min="7429" max="7429" width="10.140625" style="216" customWidth="1"/>
    <col min="7430" max="7430" width="12.28515625" style="216" customWidth="1"/>
    <col min="7431" max="7431" width="16.28515625" style="216" customWidth="1"/>
    <col min="7432" max="7432" width="12.85546875" style="216" customWidth="1"/>
    <col min="7433" max="7433" width="12.7109375" style="216" customWidth="1"/>
    <col min="7434" max="7434" width="14.42578125" style="216" customWidth="1"/>
    <col min="7435" max="7435" width="13.5703125" style="216" customWidth="1"/>
    <col min="7436" max="7680" width="9.140625" style="216"/>
    <col min="7681" max="7681" width="2.7109375" style="216" customWidth="1"/>
    <col min="7682" max="7682" width="9.140625" style="216"/>
    <col min="7683" max="7683" width="40.28515625" style="216" bestFit="1" customWidth="1"/>
    <col min="7684" max="7684" width="10" style="216" customWidth="1"/>
    <col min="7685" max="7685" width="10.140625" style="216" customWidth="1"/>
    <col min="7686" max="7686" width="12.28515625" style="216" customWidth="1"/>
    <col min="7687" max="7687" width="16.28515625" style="216" customWidth="1"/>
    <col min="7688" max="7688" width="12.85546875" style="216" customWidth="1"/>
    <col min="7689" max="7689" width="12.7109375" style="216" customWidth="1"/>
    <col min="7690" max="7690" width="14.42578125" style="216" customWidth="1"/>
    <col min="7691" max="7691" width="13.5703125" style="216" customWidth="1"/>
    <col min="7692" max="7936" width="9.140625" style="216"/>
    <col min="7937" max="7937" width="2.7109375" style="216" customWidth="1"/>
    <col min="7938" max="7938" width="9.140625" style="216"/>
    <col min="7939" max="7939" width="40.28515625" style="216" bestFit="1" customWidth="1"/>
    <col min="7940" max="7940" width="10" style="216" customWidth="1"/>
    <col min="7941" max="7941" width="10.140625" style="216" customWidth="1"/>
    <col min="7942" max="7942" width="12.28515625" style="216" customWidth="1"/>
    <col min="7943" max="7943" width="16.28515625" style="216" customWidth="1"/>
    <col min="7944" max="7944" width="12.85546875" style="216" customWidth="1"/>
    <col min="7945" max="7945" width="12.7109375" style="216" customWidth="1"/>
    <col min="7946" max="7946" width="14.42578125" style="216" customWidth="1"/>
    <col min="7947" max="7947" width="13.5703125" style="216" customWidth="1"/>
    <col min="7948" max="8192" width="9.140625" style="216"/>
    <col min="8193" max="8193" width="2.7109375" style="216" customWidth="1"/>
    <col min="8194" max="8194" width="9.140625" style="216"/>
    <col min="8195" max="8195" width="40.28515625" style="216" bestFit="1" customWidth="1"/>
    <col min="8196" max="8196" width="10" style="216" customWidth="1"/>
    <col min="8197" max="8197" width="10.140625" style="216" customWidth="1"/>
    <col min="8198" max="8198" width="12.28515625" style="216" customWidth="1"/>
    <col min="8199" max="8199" width="16.28515625" style="216" customWidth="1"/>
    <col min="8200" max="8200" width="12.85546875" style="216" customWidth="1"/>
    <col min="8201" max="8201" width="12.7109375" style="216" customWidth="1"/>
    <col min="8202" max="8202" width="14.42578125" style="216" customWidth="1"/>
    <col min="8203" max="8203" width="13.5703125" style="216" customWidth="1"/>
    <col min="8204" max="8448" width="9.140625" style="216"/>
    <col min="8449" max="8449" width="2.7109375" style="216" customWidth="1"/>
    <col min="8450" max="8450" width="9.140625" style="216"/>
    <col min="8451" max="8451" width="40.28515625" style="216" bestFit="1" customWidth="1"/>
    <col min="8452" max="8452" width="10" style="216" customWidth="1"/>
    <col min="8453" max="8453" width="10.140625" style="216" customWidth="1"/>
    <col min="8454" max="8454" width="12.28515625" style="216" customWidth="1"/>
    <col min="8455" max="8455" width="16.28515625" style="216" customWidth="1"/>
    <col min="8456" max="8456" width="12.85546875" style="216" customWidth="1"/>
    <col min="8457" max="8457" width="12.7109375" style="216" customWidth="1"/>
    <col min="8458" max="8458" width="14.42578125" style="216" customWidth="1"/>
    <col min="8459" max="8459" width="13.5703125" style="216" customWidth="1"/>
    <col min="8460" max="8704" width="9.140625" style="216"/>
    <col min="8705" max="8705" width="2.7109375" style="216" customWidth="1"/>
    <col min="8706" max="8706" width="9.140625" style="216"/>
    <col min="8707" max="8707" width="40.28515625" style="216" bestFit="1" customWidth="1"/>
    <col min="8708" max="8708" width="10" style="216" customWidth="1"/>
    <col min="8709" max="8709" width="10.140625" style="216" customWidth="1"/>
    <col min="8710" max="8710" width="12.28515625" style="216" customWidth="1"/>
    <col min="8711" max="8711" width="16.28515625" style="216" customWidth="1"/>
    <col min="8712" max="8712" width="12.85546875" style="216" customWidth="1"/>
    <col min="8713" max="8713" width="12.7109375" style="216" customWidth="1"/>
    <col min="8714" max="8714" width="14.42578125" style="216" customWidth="1"/>
    <col min="8715" max="8715" width="13.5703125" style="216" customWidth="1"/>
    <col min="8716" max="8960" width="9.140625" style="216"/>
    <col min="8961" max="8961" width="2.7109375" style="216" customWidth="1"/>
    <col min="8962" max="8962" width="9.140625" style="216"/>
    <col min="8963" max="8963" width="40.28515625" style="216" bestFit="1" customWidth="1"/>
    <col min="8964" max="8964" width="10" style="216" customWidth="1"/>
    <col min="8965" max="8965" width="10.140625" style="216" customWidth="1"/>
    <col min="8966" max="8966" width="12.28515625" style="216" customWidth="1"/>
    <col min="8967" max="8967" width="16.28515625" style="216" customWidth="1"/>
    <col min="8968" max="8968" width="12.85546875" style="216" customWidth="1"/>
    <col min="8969" max="8969" width="12.7109375" style="216" customWidth="1"/>
    <col min="8970" max="8970" width="14.42578125" style="216" customWidth="1"/>
    <col min="8971" max="8971" width="13.5703125" style="216" customWidth="1"/>
    <col min="8972" max="9216" width="9.140625" style="216"/>
    <col min="9217" max="9217" width="2.7109375" style="216" customWidth="1"/>
    <col min="9218" max="9218" width="9.140625" style="216"/>
    <col min="9219" max="9219" width="40.28515625" style="216" bestFit="1" customWidth="1"/>
    <col min="9220" max="9220" width="10" style="216" customWidth="1"/>
    <col min="9221" max="9221" width="10.140625" style="216" customWidth="1"/>
    <col min="9222" max="9222" width="12.28515625" style="216" customWidth="1"/>
    <col min="9223" max="9223" width="16.28515625" style="216" customWidth="1"/>
    <col min="9224" max="9224" width="12.85546875" style="216" customWidth="1"/>
    <col min="9225" max="9225" width="12.7109375" style="216" customWidth="1"/>
    <col min="9226" max="9226" width="14.42578125" style="216" customWidth="1"/>
    <col min="9227" max="9227" width="13.5703125" style="216" customWidth="1"/>
    <col min="9228" max="9472" width="9.140625" style="216"/>
    <col min="9473" max="9473" width="2.7109375" style="216" customWidth="1"/>
    <col min="9474" max="9474" width="9.140625" style="216"/>
    <col min="9475" max="9475" width="40.28515625" style="216" bestFit="1" customWidth="1"/>
    <col min="9476" max="9476" width="10" style="216" customWidth="1"/>
    <col min="9477" max="9477" width="10.140625" style="216" customWidth="1"/>
    <col min="9478" max="9478" width="12.28515625" style="216" customWidth="1"/>
    <col min="9479" max="9479" width="16.28515625" style="216" customWidth="1"/>
    <col min="9480" max="9480" width="12.85546875" style="216" customWidth="1"/>
    <col min="9481" max="9481" width="12.7109375" style="216" customWidth="1"/>
    <col min="9482" max="9482" width="14.42578125" style="216" customWidth="1"/>
    <col min="9483" max="9483" width="13.5703125" style="216" customWidth="1"/>
    <col min="9484" max="9728" width="9.140625" style="216"/>
    <col min="9729" max="9729" width="2.7109375" style="216" customWidth="1"/>
    <col min="9730" max="9730" width="9.140625" style="216"/>
    <col min="9731" max="9731" width="40.28515625" style="216" bestFit="1" customWidth="1"/>
    <col min="9732" max="9732" width="10" style="216" customWidth="1"/>
    <col min="9733" max="9733" width="10.140625" style="216" customWidth="1"/>
    <col min="9734" max="9734" width="12.28515625" style="216" customWidth="1"/>
    <col min="9735" max="9735" width="16.28515625" style="216" customWidth="1"/>
    <col min="9736" max="9736" width="12.85546875" style="216" customWidth="1"/>
    <col min="9737" max="9737" width="12.7109375" style="216" customWidth="1"/>
    <col min="9738" max="9738" width="14.42578125" style="216" customWidth="1"/>
    <col min="9739" max="9739" width="13.5703125" style="216" customWidth="1"/>
    <col min="9740" max="9984" width="9.140625" style="216"/>
    <col min="9985" max="9985" width="2.7109375" style="216" customWidth="1"/>
    <col min="9986" max="9986" width="9.140625" style="216"/>
    <col min="9987" max="9987" width="40.28515625" style="216" bestFit="1" customWidth="1"/>
    <col min="9988" max="9988" width="10" style="216" customWidth="1"/>
    <col min="9989" max="9989" width="10.140625" style="216" customWidth="1"/>
    <col min="9990" max="9990" width="12.28515625" style="216" customWidth="1"/>
    <col min="9991" max="9991" width="16.28515625" style="216" customWidth="1"/>
    <col min="9992" max="9992" width="12.85546875" style="216" customWidth="1"/>
    <col min="9993" max="9993" width="12.7109375" style="216" customWidth="1"/>
    <col min="9994" max="9994" width="14.42578125" style="216" customWidth="1"/>
    <col min="9995" max="9995" width="13.5703125" style="216" customWidth="1"/>
    <col min="9996" max="10240" width="9.140625" style="216"/>
    <col min="10241" max="10241" width="2.7109375" style="216" customWidth="1"/>
    <col min="10242" max="10242" width="9.140625" style="216"/>
    <col min="10243" max="10243" width="40.28515625" style="216" bestFit="1" customWidth="1"/>
    <col min="10244" max="10244" width="10" style="216" customWidth="1"/>
    <col min="10245" max="10245" width="10.140625" style="216" customWidth="1"/>
    <col min="10246" max="10246" width="12.28515625" style="216" customWidth="1"/>
    <col min="10247" max="10247" width="16.28515625" style="216" customWidth="1"/>
    <col min="10248" max="10248" width="12.85546875" style="216" customWidth="1"/>
    <col min="10249" max="10249" width="12.7109375" style="216" customWidth="1"/>
    <col min="10250" max="10250" width="14.42578125" style="216" customWidth="1"/>
    <col min="10251" max="10251" width="13.5703125" style="216" customWidth="1"/>
    <col min="10252" max="10496" width="9.140625" style="216"/>
    <col min="10497" max="10497" width="2.7109375" style="216" customWidth="1"/>
    <col min="10498" max="10498" width="9.140625" style="216"/>
    <col min="10499" max="10499" width="40.28515625" style="216" bestFit="1" customWidth="1"/>
    <col min="10500" max="10500" width="10" style="216" customWidth="1"/>
    <col min="10501" max="10501" width="10.140625" style="216" customWidth="1"/>
    <col min="10502" max="10502" width="12.28515625" style="216" customWidth="1"/>
    <col min="10503" max="10503" width="16.28515625" style="216" customWidth="1"/>
    <col min="10504" max="10504" width="12.85546875" style="216" customWidth="1"/>
    <col min="10505" max="10505" width="12.7109375" style="216" customWidth="1"/>
    <col min="10506" max="10506" width="14.42578125" style="216" customWidth="1"/>
    <col min="10507" max="10507" width="13.5703125" style="216" customWidth="1"/>
    <col min="10508" max="10752" width="9.140625" style="216"/>
    <col min="10753" max="10753" width="2.7109375" style="216" customWidth="1"/>
    <col min="10754" max="10754" width="9.140625" style="216"/>
    <col min="10755" max="10755" width="40.28515625" style="216" bestFit="1" customWidth="1"/>
    <col min="10756" max="10756" width="10" style="216" customWidth="1"/>
    <col min="10757" max="10757" width="10.140625" style="216" customWidth="1"/>
    <col min="10758" max="10758" width="12.28515625" style="216" customWidth="1"/>
    <col min="10759" max="10759" width="16.28515625" style="216" customWidth="1"/>
    <col min="10760" max="10760" width="12.85546875" style="216" customWidth="1"/>
    <col min="10761" max="10761" width="12.7109375" style="216" customWidth="1"/>
    <col min="10762" max="10762" width="14.42578125" style="216" customWidth="1"/>
    <col min="10763" max="10763" width="13.5703125" style="216" customWidth="1"/>
    <col min="10764" max="11008" width="9.140625" style="216"/>
    <col min="11009" max="11009" width="2.7109375" style="216" customWidth="1"/>
    <col min="11010" max="11010" width="9.140625" style="216"/>
    <col min="11011" max="11011" width="40.28515625" style="216" bestFit="1" customWidth="1"/>
    <col min="11012" max="11012" width="10" style="216" customWidth="1"/>
    <col min="11013" max="11013" width="10.140625" style="216" customWidth="1"/>
    <col min="11014" max="11014" width="12.28515625" style="216" customWidth="1"/>
    <col min="11015" max="11015" width="16.28515625" style="216" customWidth="1"/>
    <col min="11016" max="11016" width="12.85546875" style="216" customWidth="1"/>
    <col min="11017" max="11017" width="12.7109375" style="216" customWidth="1"/>
    <col min="11018" max="11018" width="14.42578125" style="216" customWidth="1"/>
    <col min="11019" max="11019" width="13.5703125" style="216" customWidth="1"/>
    <col min="11020" max="11264" width="9.140625" style="216"/>
    <col min="11265" max="11265" width="2.7109375" style="216" customWidth="1"/>
    <col min="11266" max="11266" width="9.140625" style="216"/>
    <col min="11267" max="11267" width="40.28515625" style="216" bestFit="1" customWidth="1"/>
    <col min="11268" max="11268" width="10" style="216" customWidth="1"/>
    <col min="11269" max="11269" width="10.140625" style="216" customWidth="1"/>
    <col min="11270" max="11270" width="12.28515625" style="216" customWidth="1"/>
    <col min="11271" max="11271" width="16.28515625" style="216" customWidth="1"/>
    <col min="11272" max="11272" width="12.85546875" style="216" customWidth="1"/>
    <col min="11273" max="11273" width="12.7109375" style="216" customWidth="1"/>
    <col min="11274" max="11274" width="14.42578125" style="216" customWidth="1"/>
    <col min="11275" max="11275" width="13.5703125" style="216" customWidth="1"/>
    <col min="11276" max="11520" width="9.140625" style="216"/>
    <col min="11521" max="11521" width="2.7109375" style="216" customWidth="1"/>
    <col min="11522" max="11522" width="9.140625" style="216"/>
    <col min="11523" max="11523" width="40.28515625" style="216" bestFit="1" customWidth="1"/>
    <col min="11524" max="11524" width="10" style="216" customWidth="1"/>
    <col min="11525" max="11525" width="10.140625" style="216" customWidth="1"/>
    <col min="11526" max="11526" width="12.28515625" style="216" customWidth="1"/>
    <col min="11527" max="11527" width="16.28515625" style="216" customWidth="1"/>
    <col min="11528" max="11528" width="12.85546875" style="216" customWidth="1"/>
    <col min="11529" max="11529" width="12.7109375" style="216" customWidth="1"/>
    <col min="11530" max="11530" width="14.42578125" style="216" customWidth="1"/>
    <col min="11531" max="11531" width="13.5703125" style="216" customWidth="1"/>
    <col min="11532" max="11776" width="9.140625" style="216"/>
    <col min="11777" max="11777" width="2.7109375" style="216" customWidth="1"/>
    <col min="11778" max="11778" width="9.140625" style="216"/>
    <col min="11779" max="11779" width="40.28515625" style="216" bestFit="1" customWidth="1"/>
    <col min="11780" max="11780" width="10" style="216" customWidth="1"/>
    <col min="11781" max="11781" width="10.140625" style="216" customWidth="1"/>
    <col min="11782" max="11782" width="12.28515625" style="216" customWidth="1"/>
    <col min="11783" max="11783" width="16.28515625" style="216" customWidth="1"/>
    <col min="11784" max="11784" width="12.85546875" style="216" customWidth="1"/>
    <col min="11785" max="11785" width="12.7109375" style="216" customWidth="1"/>
    <col min="11786" max="11786" width="14.42578125" style="216" customWidth="1"/>
    <col min="11787" max="11787" width="13.5703125" style="216" customWidth="1"/>
    <col min="11788" max="12032" width="9.140625" style="216"/>
    <col min="12033" max="12033" width="2.7109375" style="216" customWidth="1"/>
    <col min="12034" max="12034" width="9.140625" style="216"/>
    <col min="12035" max="12035" width="40.28515625" style="216" bestFit="1" customWidth="1"/>
    <col min="12036" max="12036" width="10" style="216" customWidth="1"/>
    <col min="12037" max="12037" width="10.140625" style="216" customWidth="1"/>
    <col min="12038" max="12038" width="12.28515625" style="216" customWidth="1"/>
    <col min="12039" max="12039" width="16.28515625" style="216" customWidth="1"/>
    <col min="12040" max="12040" width="12.85546875" style="216" customWidth="1"/>
    <col min="12041" max="12041" width="12.7109375" style="216" customWidth="1"/>
    <col min="12042" max="12042" width="14.42578125" style="216" customWidth="1"/>
    <col min="12043" max="12043" width="13.5703125" style="216" customWidth="1"/>
    <col min="12044" max="12288" width="9.140625" style="216"/>
    <col min="12289" max="12289" width="2.7109375" style="216" customWidth="1"/>
    <col min="12290" max="12290" width="9.140625" style="216"/>
    <col min="12291" max="12291" width="40.28515625" style="216" bestFit="1" customWidth="1"/>
    <col min="12292" max="12292" width="10" style="216" customWidth="1"/>
    <col min="12293" max="12293" width="10.140625" style="216" customWidth="1"/>
    <col min="12294" max="12294" width="12.28515625" style="216" customWidth="1"/>
    <col min="12295" max="12295" width="16.28515625" style="216" customWidth="1"/>
    <col min="12296" max="12296" width="12.85546875" style="216" customWidth="1"/>
    <col min="12297" max="12297" width="12.7109375" style="216" customWidth="1"/>
    <col min="12298" max="12298" width="14.42578125" style="216" customWidth="1"/>
    <col min="12299" max="12299" width="13.5703125" style="216" customWidth="1"/>
    <col min="12300" max="12544" width="9.140625" style="216"/>
    <col min="12545" max="12545" width="2.7109375" style="216" customWidth="1"/>
    <col min="12546" max="12546" width="9.140625" style="216"/>
    <col min="12547" max="12547" width="40.28515625" style="216" bestFit="1" customWidth="1"/>
    <col min="12548" max="12548" width="10" style="216" customWidth="1"/>
    <col min="12549" max="12549" width="10.140625" style="216" customWidth="1"/>
    <col min="12550" max="12550" width="12.28515625" style="216" customWidth="1"/>
    <col min="12551" max="12551" width="16.28515625" style="216" customWidth="1"/>
    <col min="12552" max="12552" width="12.85546875" style="216" customWidth="1"/>
    <col min="12553" max="12553" width="12.7109375" style="216" customWidth="1"/>
    <col min="12554" max="12554" width="14.42578125" style="216" customWidth="1"/>
    <col min="12555" max="12555" width="13.5703125" style="216" customWidth="1"/>
    <col min="12556" max="12800" width="9.140625" style="216"/>
    <col min="12801" max="12801" width="2.7109375" style="216" customWidth="1"/>
    <col min="12802" max="12802" width="9.140625" style="216"/>
    <col min="12803" max="12803" width="40.28515625" style="216" bestFit="1" customWidth="1"/>
    <col min="12804" max="12804" width="10" style="216" customWidth="1"/>
    <col min="12805" max="12805" width="10.140625" style="216" customWidth="1"/>
    <col min="12806" max="12806" width="12.28515625" style="216" customWidth="1"/>
    <col min="12807" max="12807" width="16.28515625" style="216" customWidth="1"/>
    <col min="12808" max="12808" width="12.85546875" style="216" customWidth="1"/>
    <col min="12809" max="12809" width="12.7109375" style="216" customWidth="1"/>
    <col min="12810" max="12810" width="14.42578125" style="216" customWidth="1"/>
    <col min="12811" max="12811" width="13.5703125" style="216" customWidth="1"/>
    <col min="12812" max="13056" width="9.140625" style="216"/>
    <col min="13057" max="13057" width="2.7109375" style="216" customWidth="1"/>
    <col min="13058" max="13058" width="9.140625" style="216"/>
    <col min="13059" max="13059" width="40.28515625" style="216" bestFit="1" customWidth="1"/>
    <col min="13060" max="13060" width="10" style="216" customWidth="1"/>
    <col min="13061" max="13061" width="10.140625" style="216" customWidth="1"/>
    <col min="13062" max="13062" width="12.28515625" style="216" customWidth="1"/>
    <col min="13063" max="13063" width="16.28515625" style="216" customWidth="1"/>
    <col min="13064" max="13064" width="12.85546875" style="216" customWidth="1"/>
    <col min="13065" max="13065" width="12.7109375" style="216" customWidth="1"/>
    <col min="13066" max="13066" width="14.42578125" style="216" customWidth="1"/>
    <col min="13067" max="13067" width="13.5703125" style="216" customWidth="1"/>
    <col min="13068" max="13312" width="9.140625" style="216"/>
    <col min="13313" max="13313" width="2.7109375" style="216" customWidth="1"/>
    <col min="13314" max="13314" width="9.140625" style="216"/>
    <col min="13315" max="13315" width="40.28515625" style="216" bestFit="1" customWidth="1"/>
    <col min="13316" max="13316" width="10" style="216" customWidth="1"/>
    <col min="13317" max="13317" width="10.140625" style="216" customWidth="1"/>
    <col min="13318" max="13318" width="12.28515625" style="216" customWidth="1"/>
    <col min="13319" max="13319" width="16.28515625" style="216" customWidth="1"/>
    <col min="13320" max="13320" width="12.85546875" style="216" customWidth="1"/>
    <col min="13321" max="13321" width="12.7109375" style="216" customWidth="1"/>
    <col min="13322" max="13322" width="14.42578125" style="216" customWidth="1"/>
    <col min="13323" max="13323" width="13.5703125" style="216" customWidth="1"/>
    <col min="13324" max="13568" width="9.140625" style="216"/>
    <col min="13569" max="13569" width="2.7109375" style="216" customWidth="1"/>
    <col min="13570" max="13570" width="9.140625" style="216"/>
    <col min="13571" max="13571" width="40.28515625" style="216" bestFit="1" customWidth="1"/>
    <col min="13572" max="13572" width="10" style="216" customWidth="1"/>
    <col min="13573" max="13573" width="10.140625" style="216" customWidth="1"/>
    <col min="13574" max="13574" width="12.28515625" style="216" customWidth="1"/>
    <col min="13575" max="13575" width="16.28515625" style="216" customWidth="1"/>
    <col min="13576" max="13576" width="12.85546875" style="216" customWidth="1"/>
    <col min="13577" max="13577" width="12.7109375" style="216" customWidth="1"/>
    <col min="13578" max="13578" width="14.42578125" style="216" customWidth="1"/>
    <col min="13579" max="13579" width="13.5703125" style="216" customWidth="1"/>
    <col min="13580" max="13824" width="9.140625" style="216"/>
    <col min="13825" max="13825" width="2.7109375" style="216" customWidth="1"/>
    <col min="13826" max="13826" width="9.140625" style="216"/>
    <col min="13827" max="13827" width="40.28515625" style="216" bestFit="1" customWidth="1"/>
    <col min="13828" max="13828" width="10" style="216" customWidth="1"/>
    <col min="13829" max="13829" width="10.140625" style="216" customWidth="1"/>
    <col min="13830" max="13830" width="12.28515625" style="216" customWidth="1"/>
    <col min="13831" max="13831" width="16.28515625" style="216" customWidth="1"/>
    <col min="13832" max="13832" width="12.85546875" style="216" customWidth="1"/>
    <col min="13833" max="13833" width="12.7109375" style="216" customWidth="1"/>
    <col min="13834" max="13834" width="14.42578125" style="216" customWidth="1"/>
    <col min="13835" max="13835" width="13.5703125" style="216" customWidth="1"/>
    <col min="13836" max="14080" width="9.140625" style="216"/>
    <col min="14081" max="14081" width="2.7109375" style="216" customWidth="1"/>
    <col min="14082" max="14082" width="9.140625" style="216"/>
    <col min="14083" max="14083" width="40.28515625" style="216" bestFit="1" customWidth="1"/>
    <col min="14084" max="14084" width="10" style="216" customWidth="1"/>
    <col min="14085" max="14085" width="10.140625" style="216" customWidth="1"/>
    <col min="14086" max="14086" width="12.28515625" style="216" customWidth="1"/>
    <col min="14087" max="14087" width="16.28515625" style="216" customWidth="1"/>
    <col min="14088" max="14088" width="12.85546875" style="216" customWidth="1"/>
    <col min="14089" max="14089" width="12.7109375" style="216" customWidth="1"/>
    <col min="14090" max="14090" width="14.42578125" style="216" customWidth="1"/>
    <col min="14091" max="14091" width="13.5703125" style="216" customWidth="1"/>
    <col min="14092" max="14336" width="9.140625" style="216"/>
    <col min="14337" max="14337" width="2.7109375" style="216" customWidth="1"/>
    <col min="14338" max="14338" width="9.140625" style="216"/>
    <col min="14339" max="14339" width="40.28515625" style="216" bestFit="1" customWidth="1"/>
    <col min="14340" max="14340" width="10" style="216" customWidth="1"/>
    <col min="14341" max="14341" width="10.140625" style="216" customWidth="1"/>
    <col min="14342" max="14342" width="12.28515625" style="216" customWidth="1"/>
    <col min="14343" max="14343" width="16.28515625" style="216" customWidth="1"/>
    <col min="14344" max="14344" width="12.85546875" style="216" customWidth="1"/>
    <col min="14345" max="14345" width="12.7109375" style="216" customWidth="1"/>
    <col min="14346" max="14346" width="14.42578125" style="216" customWidth="1"/>
    <col min="14347" max="14347" width="13.5703125" style="216" customWidth="1"/>
    <col min="14348" max="14592" width="9.140625" style="216"/>
    <col min="14593" max="14593" width="2.7109375" style="216" customWidth="1"/>
    <col min="14594" max="14594" width="9.140625" style="216"/>
    <col min="14595" max="14595" width="40.28515625" style="216" bestFit="1" customWidth="1"/>
    <col min="14596" max="14596" width="10" style="216" customWidth="1"/>
    <col min="14597" max="14597" width="10.140625" style="216" customWidth="1"/>
    <col min="14598" max="14598" width="12.28515625" style="216" customWidth="1"/>
    <col min="14599" max="14599" width="16.28515625" style="216" customWidth="1"/>
    <col min="14600" max="14600" width="12.85546875" style="216" customWidth="1"/>
    <col min="14601" max="14601" width="12.7109375" style="216" customWidth="1"/>
    <col min="14602" max="14602" width="14.42578125" style="216" customWidth="1"/>
    <col min="14603" max="14603" width="13.5703125" style="216" customWidth="1"/>
    <col min="14604" max="14848" width="9.140625" style="216"/>
    <col min="14849" max="14849" width="2.7109375" style="216" customWidth="1"/>
    <col min="14850" max="14850" width="9.140625" style="216"/>
    <col min="14851" max="14851" width="40.28515625" style="216" bestFit="1" customWidth="1"/>
    <col min="14852" max="14852" width="10" style="216" customWidth="1"/>
    <col min="14853" max="14853" width="10.140625" style="216" customWidth="1"/>
    <col min="14854" max="14854" width="12.28515625" style="216" customWidth="1"/>
    <col min="14855" max="14855" width="16.28515625" style="216" customWidth="1"/>
    <col min="14856" max="14856" width="12.85546875" style="216" customWidth="1"/>
    <col min="14857" max="14857" width="12.7109375" style="216" customWidth="1"/>
    <col min="14858" max="14858" width="14.42578125" style="216" customWidth="1"/>
    <col min="14859" max="14859" width="13.5703125" style="216" customWidth="1"/>
    <col min="14860" max="15104" width="9.140625" style="216"/>
    <col min="15105" max="15105" width="2.7109375" style="216" customWidth="1"/>
    <col min="15106" max="15106" width="9.140625" style="216"/>
    <col min="15107" max="15107" width="40.28515625" style="216" bestFit="1" customWidth="1"/>
    <col min="15108" max="15108" width="10" style="216" customWidth="1"/>
    <col min="15109" max="15109" width="10.140625" style="216" customWidth="1"/>
    <col min="15110" max="15110" width="12.28515625" style="216" customWidth="1"/>
    <col min="15111" max="15111" width="16.28515625" style="216" customWidth="1"/>
    <col min="15112" max="15112" width="12.85546875" style="216" customWidth="1"/>
    <col min="15113" max="15113" width="12.7109375" style="216" customWidth="1"/>
    <col min="15114" max="15114" width="14.42578125" style="216" customWidth="1"/>
    <col min="15115" max="15115" width="13.5703125" style="216" customWidth="1"/>
    <col min="15116" max="15360" width="9.140625" style="216"/>
    <col min="15361" max="15361" width="2.7109375" style="216" customWidth="1"/>
    <col min="15362" max="15362" width="9.140625" style="216"/>
    <col min="15363" max="15363" width="40.28515625" style="216" bestFit="1" customWidth="1"/>
    <col min="15364" max="15364" width="10" style="216" customWidth="1"/>
    <col min="15365" max="15365" width="10.140625" style="216" customWidth="1"/>
    <col min="15366" max="15366" width="12.28515625" style="216" customWidth="1"/>
    <col min="15367" max="15367" width="16.28515625" style="216" customWidth="1"/>
    <col min="15368" max="15368" width="12.85546875" style="216" customWidth="1"/>
    <col min="15369" max="15369" width="12.7109375" style="216" customWidth="1"/>
    <col min="15370" max="15370" width="14.42578125" style="216" customWidth="1"/>
    <col min="15371" max="15371" width="13.5703125" style="216" customWidth="1"/>
    <col min="15372" max="15616" width="9.140625" style="216"/>
    <col min="15617" max="15617" width="2.7109375" style="216" customWidth="1"/>
    <col min="15618" max="15618" width="9.140625" style="216"/>
    <col min="15619" max="15619" width="40.28515625" style="216" bestFit="1" customWidth="1"/>
    <col min="15620" max="15620" width="10" style="216" customWidth="1"/>
    <col min="15621" max="15621" width="10.140625" style="216" customWidth="1"/>
    <col min="15622" max="15622" width="12.28515625" style="216" customWidth="1"/>
    <col min="15623" max="15623" width="16.28515625" style="216" customWidth="1"/>
    <col min="15624" max="15624" width="12.85546875" style="216" customWidth="1"/>
    <col min="15625" max="15625" width="12.7109375" style="216" customWidth="1"/>
    <col min="15626" max="15626" width="14.42578125" style="216" customWidth="1"/>
    <col min="15627" max="15627" width="13.5703125" style="216" customWidth="1"/>
    <col min="15628" max="15872" width="9.140625" style="216"/>
    <col min="15873" max="15873" width="2.7109375" style="216" customWidth="1"/>
    <col min="15874" max="15874" width="9.140625" style="216"/>
    <col min="15875" max="15875" width="40.28515625" style="216" bestFit="1" customWidth="1"/>
    <col min="15876" max="15876" width="10" style="216" customWidth="1"/>
    <col min="15877" max="15877" width="10.140625" style="216" customWidth="1"/>
    <col min="15878" max="15878" width="12.28515625" style="216" customWidth="1"/>
    <col min="15879" max="15879" width="16.28515625" style="216" customWidth="1"/>
    <col min="15880" max="15880" width="12.85546875" style="216" customWidth="1"/>
    <col min="15881" max="15881" width="12.7109375" style="216" customWidth="1"/>
    <col min="15882" max="15882" width="14.42578125" style="216" customWidth="1"/>
    <col min="15883" max="15883" width="13.5703125" style="216" customWidth="1"/>
    <col min="15884" max="16128" width="9.140625" style="216"/>
    <col min="16129" max="16129" width="2.7109375" style="216" customWidth="1"/>
    <col min="16130" max="16130" width="9.140625" style="216"/>
    <col min="16131" max="16131" width="40.28515625" style="216" bestFit="1" customWidth="1"/>
    <col min="16132" max="16132" width="10" style="216" customWidth="1"/>
    <col min="16133" max="16133" width="10.140625" style="216" customWidth="1"/>
    <col min="16134" max="16134" width="12.28515625" style="216" customWidth="1"/>
    <col min="16135" max="16135" width="16.28515625" style="216" customWidth="1"/>
    <col min="16136" max="16136" width="12.85546875" style="216" customWidth="1"/>
    <col min="16137" max="16137" width="12.7109375" style="216" customWidth="1"/>
    <col min="16138" max="16138" width="14.42578125" style="216" customWidth="1"/>
    <col min="16139" max="16139" width="13.5703125" style="216" customWidth="1"/>
    <col min="16140" max="16384" width="9.140625" style="216"/>
  </cols>
  <sheetData>
    <row r="1" spans="1:12" x14ac:dyDescent="0.2">
      <c r="D1" s="218"/>
      <c r="E1" s="219"/>
      <c r="F1" s="219"/>
      <c r="G1" s="219"/>
      <c r="H1" s="219"/>
      <c r="J1" s="217" t="s">
        <v>419</v>
      </c>
      <c r="K1" s="208" t="str">
        <f>EBNUMBER</f>
        <v>EB-2014-0113</v>
      </c>
      <c r="L1" s="219"/>
    </row>
    <row r="2" spans="1:12" x14ac:dyDescent="0.2">
      <c r="D2" s="218"/>
      <c r="E2" s="219"/>
      <c r="F2" s="219"/>
      <c r="G2" s="219"/>
      <c r="H2" s="219"/>
      <c r="J2" s="217" t="s">
        <v>420</v>
      </c>
      <c r="K2" s="767"/>
      <c r="L2" s="219"/>
    </row>
    <row r="3" spans="1:12" x14ac:dyDescent="0.2">
      <c r="D3" s="218"/>
      <c r="E3" s="219"/>
      <c r="F3" s="219"/>
      <c r="G3" s="219"/>
      <c r="H3" s="219"/>
      <c r="J3" s="217" t="s">
        <v>421</v>
      </c>
      <c r="K3" s="767"/>
      <c r="L3" s="219"/>
    </row>
    <row r="4" spans="1:12" x14ac:dyDescent="0.2">
      <c r="D4" s="218"/>
      <c r="E4" s="219"/>
      <c r="F4" s="219"/>
      <c r="G4" s="219"/>
      <c r="H4" s="219"/>
      <c r="J4" s="217" t="s">
        <v>422</v>
      </c>
      <c r="K4" s="767"/>
      <c r="L4" s="219"/>
    </row>
    <row r="5" spans="1:12" x14ac:dyDescent="0.2">
      <c r="D5" s="218"/>
      <c r="E5" s="219"/>
      <c r="F5" s="219"/>
      <c r="G5" s="219"/>
      <c r="H5" s="219"/>
      <c r="J5" s="217" t="s">
        <v>423</v>
      </c>
      <c r="K5" s="768"/>
      <c r="L5" s="219"/>
    </row>
    <row r="6" spans="1:12" x14ac:dyDescent="0.2">
      <c r="D6" s="218"/>
      <c r="E6" s="219"/>
      <c r="F6" s="219"/>
      <c r="G6" s="219"/>
      <c r="H6" s="219"/>
      <c r="J6" s="217"/>
      <c r="K6" s="766"/>
      <c r="L6" s="219"/>
    </row>
    <row r="7" spans="1:12" x14ac:dyDescent="0.2">
      <c r="D7" s="218"/>
      <c r="E7" s="219"/>
      <c r="F7" s="219"/>
      <c r="G7" s="219"/>
      <c r="H7" s="220"/>
      <c r="J7" s="217" t="s">
        <v>424</v>
      </c>
      <c r="K7" s="768"/>
      <c r="L7" s="220"/>
    </row>
    <row r="9" spans="1:12" ht="18" x14ac:dyDescent="0.2">
      <c r="A9" s="1785" t="s">
        <v>934</v>
      </c>
      <c r="B9" s="1785"/>
      <c r="C9" s="1785"/>
      <c r="D9" s="1785"/>
      <c r="E9" s="1785"/>
      <c r="F9" s="1785"/>
      <c r="G9" s="1785"/>
      <c r="H9" s="1785"/>
      <c r="I9" s="1785"/>
      <c r="J9" s="1785"/>
      <c r="K9" s="1785"/>
    </row>
    <row r="10" spans="1:12" ht="18" x14ac:dyDescent="0.2">
      <c r="A10" s="1785" t="s">
        <v>3</v>
      </c>
      <c r="B10" s="1785"/>
      <c r="C10" s="1785"/>
      <c r="D10" s="1785"/>
      <c r="E10" s="1785"/>
      <c r="F10" s="1785"/>
      <c r="G10" s="1785"/>
      <c r="H10" s="1785"/>
      <c r="I10" s="1785"/>
      <c r="J10" s="1785"/>
      <c r="K10" s="1785"/>
    </row>
    <row r="11" spans="1:12" ht="24" customHeight="1" x14ac:dyDescent="0.2">
      <c r="A11" s="1877" t="s">
        <v>814</v>
      </c>
      <c r="B11" s="1877"/>
      <c r="C11" s="1877"/>
      <c r="D11" s="1877"/>
      <c r="E11" s="1877"/>
      <c r="F11" s="1877"/>
      <c r="G11" s="1877"/>
      <c r="H11" s="1877"/>
      <c r="I11" s="1877"/>
      <c r="J11" s="1877"/>
      <c r="K11" s="1877"/>
      <c r="L11" s="1877"/>
    </row>
    <row r="12" spans="1:12" ht="13.5" customHeight="1" x14ac:dyDescent="0.25">
      <c r="A12" s="682"/>
      <c r="B12" s="682"/>
      <c r="C12" s="676">
        <v>2013</v>
      </c>
      <c r="D12" s="901" t="s">
        <v>931</v>
      </c>
      <c r="E12" s="682"/>
      <c r="F12" s="682"/>
      <c r="G12" s="682"/>
      <c r="H12" s="682"/>
    </row>
    <row r="13" spans="1:12" ht="13.5" thickBot="1" x14ac:dyDescent="0.25"/>
    <row r="14" spans="1:12" ht="52.5" customHeight="1" x14ac:dyDescent="0.2">
      <c r="A14" s="1871" t="s">
        <v>4</v>
      </c>
      <c r="B14" s="1873" t="s">
        <v>346</v>
      </c>
      <c r="C14" s="221" t="s">
        <v>348</v>
      </c>
      <c r="D14" s="221" t="s">
        <v>530</v>
      </c>
      <c r="E14" s="221" t="s">
        <v>520</v>
      </c>
      <c r="F14" s="222" t="s">
        <v>533</v>
      </c>
      <c r="G14" s="1880" t="s">
        <v>786</v>
      </c>
      <c r="H14" s="222" t="s">
        <v>523</v>
      </c>
      <c r="I14" s="222" t="s">
        <v>787</v>
      </c>
      <c r="J14" s="1880" t="s">
        <v>720</v>
      </c>
      <c r="K14" s="222" t="s">
        <v>788</v>
      </c>
    </row>
    <row r="15" spans="1:12" ht="54" customHeight="1" thickBot="1" x14ac:dyDescent="0.25">
      <c r="A15" s="1878"/>
      <c r="B15" s="1879"/>
      <c r="C15" s="294" t="s">
        <v>6</v>
      </c>
      <c r="D15" s="294" t="s">
        <v>9</v>
      </c>
      <c r="E15" s="294" t="s">
        <v>10</v>
      </c>
      <c r="F15" s="295" t="s">
        <v>789</v>
      </c>
      <c r="G15" s="1881"/>
      <c r="H15" s="296" t="s">
        <v>517</v>
      </c>
      <c r="I15" s="296" t="s">
        <v>532</v>
      </c>
      <c r="J15" s="1882"/>
      <c r="K15" s="297" t="s">
        <v>790</v>
      </c>
    </row>
    <row r="16" spans="1:12" ht="25.5" x14ac:dyDescent="0.2">
      <c r="A16" s="782">
        <v>1611</v>
      </c>
      <c r="B16" s="783" t="s">
        <v>515</v>
      </c>
      <c r="C16" s="204"/>
      <c r="D16" s="293"/>
      <c r="E16" s="589">
        <f t="shared" ref="E16:E55" si="0">IF(D16=0,0,1/D16)</f>
        <v>0</v>
      </c>
      <c r="F16" s="796">
        <f>IF(D16=0,+'App.2-CO_NewCGAAP_DepExp_2012'!O17,+'App.2-CO_NewCGAAP_DepExp_2012'!O17+((C16*0.5)/D16))</f>
        <v>0</v>
      </c>
      <c r="G16" s="204"/>
      <c r="H16" s="796">
        <f t="shared" ref="H16:H55" si="1">IF(ISERROR(+F16-G16), 0, +F16-G16)</f>
        <v>0</v>
      </c>
      <c r="I16" s="796">
        <f t="shared" ref="I16:I55" si="2">IF(D16=0,0,+(C16)/D16)</f>
        <v>0</v>
      </c>
      <c r="J16" s="204"/>
      <c r="K16" s="796">
        <f>IF(ISERROR(+I16+'App.2-CO_NewCGAAP_DepExp_2012'!O17-J16), 0, +I16+'App.2-CO_NewCGAAP_DepExp_2012'!O17-J16)</f>
        <v>0</v>
      </c>
    </row>
    <row r="17" spans="1:11" ht="25.5" x14ac:dyDescent="0.2">
      <c r="A17" s="782">
        <v>1612</v>
      </c>
      <c r="B17" s="783" t="s">
        <v>650</v>
      </c>
      <c r="C17" s="204"/>
      <c r="D17" s="282"/>
      <c r="E17" s="226">
        <f t="shared" si="0"/>
        <v>0</v>
      </c>
      <c r="F17" s="796">
        <f>IF(D17=0,+'App.2-CO_NewCGAAP_DepExp_2012'!O18,+'App.2-CO_NewCGAAP_DepExp_2012'!O18+((C17*0.5)/D17))</f>
        <v>0</v>
      </c>
      <c r="G17" s="204"/>
      <c r="H17" s="796">
        <f t="shared" si="1"/>
        <v>0</v>
      </c>
      <c r="I17" s="796">
        <f t="shared" si="2"/>
        <v>0</v>
      </c>
      <c r="J17" s="204"/>
      <c r="K17" s="796">
        <f>IF(ISERROR(+I17+'App.2-CO_NewCGAAP_DepExp_2012'!O18-J17), 0, +I17+'App.2-CO_NewCGAAP_DepExp_2012'!O18-J17)</f>
        <v>0</v>
      </c>
    </row>
    <row r="18" spans="1:11" x14ac:dyDescent="0.2">
      <c r="A18" s="785">
        <v>1805</v>
      </c>
      <c r="B18" s="786" t="s">
        <v>383</v>
      </c>
      <c r="C18" s="204"/>
      <c r="D18" s="282"/>
      <c r="E18" s="226">
        <f t="shared" si="0"/>
        <v>0</v>
      </c>
      <c r="F18" s="796">
        <f>IF(D18=0,+'App.2-CO_NewCGAAP_DepExp_2012'!O19,+'App.2-CO_NewCGAAP_DepExp_2012'!O19+((C18*0.5)/D18))</f>
        <v>0</v>
      </c>
      <c r="G18" s="204"/>
      <c r="H18" s="796">
        <f t="shared" si="1"/>
        <v>0</v>
      </c>
      <c r="I18" s="796">
        <f t="shared" si="2"/>
        <v>0</v>
      </c>
      <c r="J18" s="204"/>
      <c r="K18" s="796">
        <f>IF(ISERROR(+I18+'App.2-CO_NewCGAAP_DepExp_2012'!O19-J18), 0, +I18+'App.2-CO_NewCGAAP_DepExp_2012'!O19-J18)</f>
        <v>0</v>
      </c>
    </row>
    <row r="19" spans="1:11" x14ac:dyDescent="0.2">
      <c r="A19" s="782">
        <v>1808</v>
      </c>
      <c r="B19" s="787" t="s">
        <v>384</v>
      </c>
      <c r="C19" s="204"/>
      <c r="D19" s="282"/>
      <c r="E19" s="226">
        <f t="shared" si="0"/>
        <v>0</v>
      </c>
      <c r="F19" s="796">
        <f>IF(D19=0,+'App.2-CO_NewCGAAP_DepExp_2012'!O20,+'App.2-CO_NewCGAAP_DepExp_2012'!O20+((C19*0.5)/D19))</f>
        <v>0</v>
      </c>
      <c r="G19" s="204"/>
      <c r="H19" s="796">
        <f t="shared" si="1"/>
        <v>0</v>
      </c>
      <c r="I19" s="796">
        <f t="shared" si="2"/>
        <v>0</v>
      </c>
      <c r="J19" s="204"/>
      <c r="K19" s="796">
        <f>IF(ISERROR(+I19+'App.2-CO_NewCGAAP_DepExp_2012'!O20-J19), 0, +I19+'App.2-CO_NewCGAAP_DepExp_2012'!O20-J19)</f>
        <v>0</v>
      </c>
    </row>
    <row r="20" spans="1:11" x14ac:dyDescent="0.2">
      <c r="A20" s="782">
        <v>1810</v>
      </c>
      <c r="B20" s="787" t="s">
        <v>417</v>
      </c>
      <c r="C20" s="204"/>
      <c r="D20" s="282"/>
      <c r="E20" s="226">
        <f t="shared" si="0"/>
        <v>0</v>
      </c>
      <c r="F20" s="796">
        <f>IF(D20=0,+'App.2-CO_NewCGAAP_DepExp_2012'!O21,+'App.2-CO_NewCGAAP_DepExp_2012'!O21+((C20*0.5)/D20))</f>
        <v>0</v>
      </c>
      <c r="G20" s="204"/>
      <c r="H20" s="796">
        <f t="shared" si="1"/>
        <v>0</v>
      </c>
      <c r="I20" s="796">
        <f t="shared" si="2"/>
        <v>0</v>
      </c>
      <c r="J20" s="204"/>
      <c r="K20" s="796">
        <f>IF(ISERROR(+I20+'App.2-CO_NewCGAAP_DepExp_2012'!O21-J20), 0, +I20+'App.2-CO_NewCGAAP_DepExp_2012'!O21-J20)</f>
        <v>0</v>
      </c>
    </row>
    <row r="21" spans="1:11" x14ac:dyDescent="0.2">
      <c r="A21" s="782">
        <v>1815</v>
      </c>
      <c r="B21" s="787" t="s">
        <v>385</v>
      </c>
      <c r="C21" s="204"/>
      <c r="D21" s="282"/>
      <c r="E21" s="226">
        <f t="shared" si="0"/>
        <v>0</v>
      </c>
      <c r="F21" s="796">
        <f>IF(D21=0,+'App.2-CO_NewCGAAP_DepExp_2012'!O22,+'App.2-CO_NewCGAAP_DepExp_2012'!O22+((C21*0.5)/D21))</f>
        <v>0</v>
      </c>
      <c r="G21" s="204"/>
      <c r="H21" s="796">
        <f t="shared" si="1"/>
        <v>0</v>
      </c>
      <c r="I21" s="796">
        <f t="shared" si="2"/>
        <v>0</v>
      </c>
      <c r="J21" s="204"/>
      <c r="K21" s="796">
        <f>IF(ISERROR(+I21+'App.2-CO_NewCGAAP_DepExp_2012'!O22-J21), 0, +I21+'App.2-CO_NewCGAAP_DepExp_2012'!O22-J21)</f>
        <v>0</v>
      </c>
    </row>
    <row r="22" spans="1:11" x14ac:dyDescent="0.2">
      <c r="A22" s="782">
        <v>1820</v>
      </c>
      <c r="B22" s="783" t="s">
        <v>306</v>
      </c>
      <c r="C22" s="204"/>
      <c r="D22" s="282"/>
      <c r="E22" s="226">
        <f t="shared" si="0"/>
        <v>0</v>
      </c>
      <c r="F22" s="796">
        <f>IF(D22=0,+'App.2-CO_NewCGAAP_DepExp_2012'!O23,+'App.2-CO_NewCGAAP_DepExp_2012'!O23+((C22*0.5)/D22))</f>
        <v>0</v>
      </c>
      <c r="G22" s="204"/>
      <c r="H22" s="796">
        <f t="shared" si="1"/>
        <v>0</v>
      </c>
      <c r="I22" s="796">
        <f t="shared" si="2"/>
        <v>0</v>
      </c>
      <c r="J22" s="204"/>
      <c r="K22" s="796">
        <f>IF(ISERROR(+I22+'App.2-CO_NewCGAAP_DepExp_2012'!O23-J22), 0, +I22+'App.2-CO_NewCGAAP_DepExp_2012'!O23-J22)</f>
        <v>0</v>
      </c>
    </row>
    <row r="23" spans="1:11" x14ac:dyDescent="0.2">
      <c r="A23" s="782">
        <v>1825</v>
      </c>
      <c r="B23" s="787" t="s">
        <v>386</v>
      </c>
      <c r="C23" s="204"/>
      <c r="D23" s="282"/>
      <c r="E23" s="226">
        <f t="shared" si="0"/>
        <v>0</v>
      </c>
      <c r="F23" s="796">
        <f>IF(D23=0,+'App.2-CO_NewCGAAP_DepExp_2012'!O24,+'App.2-CO_NewCGAAP_DepExp_2012'!O24+((C23*0.5)/D23))</f>
        <v>0</v>
      </c>
      <c r="G23" s="204"/>
      <c r="H23" s="796">
        <f t="shared" si="1"/>
        <v>0</v>
      </c>
      <c r="I23" s="796">
        <f t="shared" si="2"/>
        <v>0</v>
      </c>
      <c r="J23" s="204"/>
      <c r="K23" s="796">
        <f>IF(ISERROR(+I23+'App.2-CO_NewCGAAP_DepExp_2012'!O24-J23), 0, +I23+'App.2-CO_NewCGAAP_DepExp_2012'!O24-J23)</f>
        <v>0</v>
      </c>
    </row>
    <row r="24" spans="1:11" x14ac:dyDescent="0.2">
      <c r="A24" s="782">
        <v>1830</v>
      </c>
      <c r="B24" s="787" t="s">
        <v>387</v>
      </c>
      <c r="C24" s="204"/>
      <c r="D24" s="282"/>
      <c r="E24" s="226">
        <f t="shared" si="0"/>
        <v>0</v>
      </c>
      <c r="F24" s="796">
        <f>IF(D24=0,+'App.2-CO_NewCGAAP_DepExp_2012'!O25,+'App.2-CO_NewCGAAP_DepExp_2012'!O25+((C24*0.5)/D24))</f>
        <v>0</v>
      </c>
      <c r="G24" s="204"/>
      <c r="H24" s="796">
        <f t="shared" si="1"/>
        <v>0</v>
      </c>
      <c r="I24" s="796">
        <f t="shared" si="2"/>
        <v>0</v>
      </c>
      <c r="J24" s="204"/>
      <c r="K24" s="796">
        <f>IF(ISERROR(+I24+'App.2-CO_NewCGAAP_DepExp_2012'!O25-J24), 0, +I24+'App.2-CO_NewCGAAP_DepExp_2012'!O25-J24)</f>
        <v>0</v>
      </c>
    </row>
    <row r="25" spans="1:11" x14ac:dyDescent="0.2">
      <c r="A25" s="782">
        <v>1835</v>
      </c>
      <c r="B25" s="787" t="s">
        <v>307</v>
      </c>
      <c r="C25" s="204"/>
      <c r="D25" s="282"/>
      <c r="E25" s="226">
        <f t="shared" si="0"/>
        <v>0</v>
      </c>
      <c r="F25" s="796">
        <f>IF(D25=0,+'App.2-CO_NewCGAAP_DepExp_2012'!O26,+'App.2-CO_NewCGAAP_DepExp_2012'!O26+((C25*0.5)/D25))</f>
        <v>0</v>
      </c>
      <c r="G25" s="204"/>
      <c r="H25" s="796">
        <f t="shared" si="1"/>
        <v>0</v>
      </c>
      <c r="I25" s="796">
        <f t="shared" si="2"/>
        <v>0</v>
      </c>
      <c r="J25" s="204"/>
      <c r="K25" s="796">
        <f>IF(ISERROR(+I25+'App.2-CO_NewCGAAP_DepExp_2012'!O26-J25), 0, +I25+'App.2-CO_NewCGAAP_DepExp_2012'!O26-J25)</f>
        <v>0</v>
      </c>
    </row>
    <row r="26" spans="1:11" x14ac:dyDescent="0.2">
      <c r="A26" s="782">
        <v>1840</v>
      </c>
      <c r="B26" s="787" t="s">
        <v>308</v>
      </c>
      <c r="C26" s="204"/>
      <c r="D26" s="282"/>
      <c r="E26" s="226">
        <f t="shared" si="0"/>
        <v>0</v>
      </c>
      <c r="F26" s="796">
        <f>IF(D26=0,+'App.2-CO_NewCGAAP_DepExp_2012'!O27,+'App.2-CO_NewCGAAP_DepExp_2012'!O27+((C26*0.5)/D26))</f>
        <v>0</v>
      </c>
      <c r="G26" s="204"/>
      <c r="H26" s="796">
        <f t="shared" si="1"/>
        <v>0</v>
      </c>
      <c r="I26" s="796">
        <f t="shared" si="2"/>
        <v>0</v>
      </c>
      <c r="J26" s="204"/>
      <c r="K26" s="796">
        <f>IF(ISERROR(+I26+'App.2-CO_NewCGAAP_DepExp_2012'!O27-J26), 0, +I26+'App.2-CO_NewCGAAP_DepExp_2012'!O27-J26)</f>
        <v>0</v>
      </c>
    </row>
    <row r="27" spans="1:11" x14ac:dyDescent="0.2">
      <c r="A27" s="782">
        <v>1845</v>
      </c>
      <c r="B27" s="787" t="s">
        <v>309</v>
      </c>
      <c r="C27" s="204"/>
      <c r="D27" s="282"/>
      <c r="E27" s="226">
        <f t="shared" si="0"/>
        <v>0</v>
      </c>
      <c r="F27" s="796">
        <f>IF(D27=0,+'App.2-CO_NewCGAAP_DepExp_2012'!O28,+'App.2-CO_NewCGAAP_DepExp_2012'!O28+((C27*0.5)/D27))</f>
        <v>0</v>
      </c>
      <c r="G27" s="204"/>
      <c r="H27" s="796">
        <f t="shared" si="1"/>
        <v>0</v>
      </c>
      <c r="I27" s="796">
        <f t="shared" si="2"/>
        <v>0</v>
      </c>
      <c r="J27" s="204"/>
      <c r="K27" s="796">
        <f>IF(ISERROR(+I27+'App.2-CO_NewCGAAP_DepExp_2012'!O28-J27), 0, +I27+'App.2-CO_NewCGAAP_DepExp_2012'!O28-J27)</f>
        <v>0</v>
      </c>
    </row>
    <row r="28" spans="1:11" x14ac:dyDescent="0.2">
      <c r="A28" s="782">
        <v>1850</v>
      </c>
      <c r="B28" s="787" t="s">
        <v>388</v>
      </c>
      <c r="C28" s="204"/>
      <c r="D28" s="282"/>
      <c r="E28" s="226">
        <f t="shared" si="0"/>
        <v>0</v>
      </c>
      <c r="F28" s="796">
        <f>IF(D28=0,+'App.2-CO_NewCGAAP_DepExp_2012'!O29,+'App.2-CO_NewCGAAP_DepExp_2012'!O29+((C28*0.5)/D28))</f>
        <v>0</v>
      </c>
      <c r="G28" s="204"/>
      <c r="H28" s="796">
        <f t="shared" si="1"/>
        <v>0</v>
      </c>
      <c r="I28" s="796">
        <f t="shared" si="2"/>
        <v>0</v>
      </c>
      <c r="J28" s="204"/>
      <c r="K28" s="796">
        <f>IF(ISERROR(+I28+'App.2-CO_NewCGAAP_DepExp_2012'!O29-J28), 0, +I28+'App.2-CO_NewCGAAP_DepExp_2012'!O29-J28)</f>
        <v>0</v>
      </c>
    </row>
    <row r="29" spans="1:11" x14ac:dyDescent="0.2">
      <c r="A29" s="782">
        <v>1855</v>
      </c>
      <c r="B29" s="787" t="s">
        <v>310</v>
      </c>
      <c r="C29" s="204"/>
      <c r="D29" s="282"/>
      <c r="E29" s="226">
        <f t="shared" si="0"/>
        <v>0</v>
      </c>
      <c r="F29" s="796">
        <f>IF(D29=0,+'App.2-CO_NewCGAAP_DepExp_2012'!O30,+'App.2-CO_NewCGAAP_DepExp_2012'!O30+((C29*0.5)/D29))</f>
        <v>0</v>
      </c>
      <c r="G29" s="204"/>
      <c r="H29" s="796">
        <f t="shared" si="1"/>
        <v>0</v>
      </c>
      <c r="I29" s="796">
        <f t="shared" si="2"/>
        <v>0</v>
      </c>
      <c r="J29" s="204"/>
      <c r="K29" s="796">
        <f>IF(ISERROR(+I29+'App.2-CO_NewCGAAP_DepExp_2012'!O30-J29), 0, +I29+'App.2-CO_NewCGAAP_DepExp_2012'!O30-J29)</f>
        <v>0</v>
      </c>
    </row>
    <row r="30" spans="1:11" x14ac:dyDescent="0.2">
      <c r="A30" s="782">
        <v>1860</v>
      </c>
      <c r="B30" s="787" t="s">
        <v>389</v>
      </c>
      <c r="C30" s="204"/>
      <c r="D30" s="282"/>
      <c r="E30" s="226">
        <f t="shared" si="0"/>
        <v>0</v>
      </c>
      <c r="F30" s="796">
        <f>IF(D30=0,+'App.2-CO_NewCGAAP_DepExp_2012'!O31,+'App.2-CO_NewCGAAP_DepExp_2012'!O31+((C30*0.5)/D30))</f>
        <v>0</v>
      </c>
      <c r="G30" s="204"/>
      <c r="H30" s="796">
        <f t="shared" si="1"/>
        <v>0</v>
      </c>
      <c r="I30" s="796">
        <f t="shared" si="2"/>
        <v>0</v>
      </c>
      <c r="J30" s="204"/>
      <c r="K30" s="796">
        <f>IF(ISERROR(+I30+'App.2-CO_NewCGAAP_DepExp_2012'!O31-J30), 0, +I30+'App.2-CO_NewCGAAP_DepExp_2012'!O31-J30)</f>
        <v>0</v>
      </c>
    </row>
    <row r="31" spans="1:11" x14ac:dyDescent="0.2">
      <c r="A31" s="785">
        <v>1860</v>
      </c>
      <c r="B31" s="786" t="s">
        <v>311</v>
      </c>
      <c r="C31" s="204"/>
      <c r="D31" s="282"/>
      <c r="E31" s="226">
        <f t="shared" si="0"/>
        <v>0</v>
      </c>
      <c r="F31" s="796">
        <f>IF(D31=0,+'App.2-CO_NewCGAAP_DepExp_2012'!O32,+'App.2-CO_NewCGAAP_DepExp_2012'!O32+((C31*0.5)/D31))</f>
        <v>0</v>
      </c>
      <c r="G31" s="204"/>
      <c r="H31" s="796">
        <f t="shared" si="1"/>
        <v>0</v>
      </c>
      <c r="I31" s="796">
        <f t="shared" si="2"/>
        <v>0</v>
      </c>
      <c r="J31" s="204"/>
      <c r="K31" s="796">
        <f>IF(ISERROR(+I31+'App.2-CO_NewCGAAP_DepExp_2012'!O32-J31), 0, +I31+'App.2-CO_NewCGAAP_DepExp_2012'!O32-J31)</f>
        <v>0</v>
      </c>
    </row>
    <row r="32" spans="1:11" x14ac:dyDescent="0.2">
      <c r="A32" s="785">
        <v>1905</v>
      </c>
      <c r="B32" s="786" t="s">
        <v>383</v>
      </c>
      <c r="C32" s="204"/>
      <c r="D32" s="282"/>
      <c r="E32" s="226">
        <f t="shared" si="0"/>
        <v>0</v>
      </c>
      <c r="F32" s="796">
        <f>IF(D32=0,+'App.2-CO_NewCGAAP_DepExp_2012'!O33,+'App.2-CO_NewCGAAP_DepExp_2012'!O33+((C32*0.5)/D32))</f>
        <v>0</v>
      </c>
      <c r="G32" s="204"/>
      <c r="H32" s="796">
        <f t="shared" si="1"/>
        <v>0</v>
      </c>
      <c r="I32" s="796">
        <f t="shared" si="2"/>
        <v>0</v>
      </c>
      <c r="J32" s="204"/>
      <c r="K32" s="796">
        <f>IF(ISERROR(+I32+'App.2-CO_NewCGAAP_DepExp_2012'!O33-J32), 0, +I32+'App.2-CO_NewCGAAP_DepExp_2012'!O33-J32)</f>
        <v>0</v>
      </c>
    </row>
    <row r="33" spans="1:11" x14ac:dyDescent="0.2">
      <c r="A33" s="782">
        <v>1908</v>
      </c>
      <c r="B33" s="787" t="s">
        <v>391</v>
      </c>
      <c r="C33" s="204"/>
      <c r="D33" s="282"/>
      <c r="E33" s="226">
        <f t="shared" si="0"/>
        <v>0</v>
      </c>
      <c r="F33" s="796">
        <f>IF(D33=0,+'App.2-CO_NewCGAAP_DepExp_2012'!O34,+'App.2-CO_NewCGAAP_DepExp_2012'!O34+((C33*0.5)/D33))</f>
        <v>0</v>
      </c>
      <c r="G33" s="204"/>
      <c r="H33" s="796">
        <f t="shared" si="1"/>
        <v>0</v>
      </c>
      <c r="I33" s="796">
        <f t="shared" si="2"/>
        <v>0</v>
      </c>
      <c r="J33" s="204"/>
      <c r="K33" s="796">
        <f>IF(ISERROR(+I33+'App.2-CO_NewCGAAP_DepExp_2012'!O34-J33), 0, +I33+'App.2-CO_NewCGAAP_DepExp_2012'!O34-J33)</f>
        <v>0</v>
      </c>
    </row>
    <row r="34" spans="1:11" x14ac:dyDescent="0.2">
      <c r="A34" s="782">
        <v>1910</v>
      </c>
      <c r="B34" s="787" t="s">
        <v>417</v>
      </c>
      <c r="C34" s="204"/>
      <c r="D34" s="282"/>
      <c r="E34" s="226">
        <f t="shared" si="0"/>
        <v>0</v>
      </c>
      <c r="F34" s="796">
        <f>IF(D34=0,+'App.2-CO_NewCGAAP_DepExp_2012'!O35,+'App.2-CO_NewCGAAP_DepExp_2012'!O35+((C34*0.5)/D34))</f>
        <v>0</v>
      </c>
      <c r="G34" s="204"/>
      <c r="H34" s="796">
        <f t="shared" si="1"/>
        <v>0</v>
      </c>
      <c r="I34" s="796">
        <f t="shared" si="2"/>
        <v>0</v>
      </c>
      <c r="J34" s="204"/>
      <c r="K34" s="796">
        <f>IF(ISERROR(+I34+'App.2-CO_NewCGAAP_DepExp_2012'!O35-J34), 0, +I34+'App.2-CO_NewCGAAP_DepExp_2012'!O35-J34)</f>
        <v>0</v>
      </c>
    </row>
    <row r="35" spans="1:11" x14ac:dyDescent="0.2">
      <c r="A35" s="782">
        <v>1915</v>
      </c>
      <c r="B35" s="787" t="s">
        <v>312</v>
      </c>
      <c r="C35" s="204"/>
      <c r="D35" s="282"/>
      <c r="E35" s="226">
        <f t="shared" si="0"/>
        <v>0</v>
      </c>
      <c r="F35" s="796">
        <f>IF(D35=0,+'App.2-CO_NewCGAAP_DepExp_2012'!O36,+'App.2-CO_NewCGAAP_DepExp_2012'!O36+((C35*0.5)/D35))</f>
        <v>0</v>
      </c>
      <c r="G35" s="204"/>
      <c r="H35" s="796">
        <f t="shared" si="1"/>
        <v>0</v>
      </c>
      <c r="I35" s="796">
        <f t="shared" si="2"/>
        <v>0</v>
      </c>
      <c r="J35" s="204"/>
      <c r="K35" s="796">
        <f>IF(ISERROR(+I35+'App.2-CO_NewCGAAP_DepExp_2012'!O36-J35), 0, +I35+'App.2-CO_NewCGAAP_DepExp_2012'!O36-J35)</f>
        <v>0</v>
      </c>
    </row>
    <row r="36" spans="1:11" x14ac:dyDescent="0.2">
      <c r="A36" s="782">
        <v>1915</v>
      </c>
      <c r="B36" s="787" t="s">
        <v>313</v>
      </c>
      <c r="C36" s="204"/>
      <c r="D36" s="282"/>
      <c r="E36" s="226">
        <f t="shared" si="0"/>
        <v>0</v>
      </c>
      <c r="F36" s="796">
        <f>IF(D36=0,+'App.2-CO_NewCGAAP_DepExp_2012'!O37,+'App.2-CO_NewCGAAP_DepExp_2012'!O37+((C36*0.5)/D36))</f>
        <v>0</v>
      </c>
      <c r="G36" s="204"/>
      <c r="H36" s="796">
        <f t="shared" si="1"/>
        <v>0</v>
      </c>
      <c r="I36" s="796">
        <f t="shared" si="2"/>
        <v>0</v>
      </c>
      <c r="J36" s="204"/>
      <c r="K36" s="796">
        <f>IF(ISERROR(+I36+'App.2-CO_NewCGAAP_DepExp_2012'!O37-J36), 0, +I36+'App.2-CO_NewCGAAP_DepExp_2012'!O37-J36)</f>
        <v>0</v>
      </c>
    </row>
    <row r="37" spans="1:11" x14ac:dyDescent="0.2">
      <c r="A37" s="782">
        <v>1920</v>
      </c>
      <c r="B37" s="787" t="s">
        <v>314</v>
      </c>
      <c r="C37" s="204"/>
      <c r="D37" s="282"/>
      <c r="E37" s="226">
        <f t="shared" si="0"/>
        <v>0</v>
      </c>
      <c r="F37" s="796">
        <f>IF(D37=0,+'App.2-CO_NewCGAAP_DepExp_2012'!O38,+'App.2-CO_NewCGAAP_DepExp_2012'!O38+((C37*0.5)/D37))</f>
        <v>0</v>
      </c>
      <c r="G37" s="204"/>
      <c r="H37" s="796">
        <f t="shared" si="1"/>
        <v>0</v>
      </c>
      <c r="I37" s="796">
        <f t="shared" si="2"/>
        <v>0</v>
      </c>
      <c r="J37" s="204"/>
      <c r="K37" s="796">
        <f>IF(ISERROR(+I37+'App.2-CO_NewCGAAP_DepExp_2012'!O38-J37), 0, +I37+'App.2-CO_NewCGAAP_DepExp_2012'!O38-J37)</f>
        <v>0</v>
      </c>
    </row>
    <row r="38" spans="1:11" x14ac:dyDescent="0.2">
      <c r="A38" s="788">
        <v>1920</v>
      </c>
      <c r="B38" s="783" t="s">
        <v>316</v>
      </c>
      <c r="C38" s="204"/>
      <c r="D38" s="282"/>
      <c r="E38" s="226">
        <f t="shared" si="0"/>
        <v>0</v>
      </c>
      <c r="F38" s="796">
        <f>IF(D38=0,+'App.2-CO_NewCGAAP_DepExp_2012'!O39,+'App.2-CO_NewCGAAP_DepExp_2012'!O39+((C38*0.5)/D38))</f>
        <v>0</v>
      </c>
      <c r="G38" s="204"/>
      <c r="H38" s="796">
        <f t="shared" si="1"/>
        <v>0</v>
      </c>
      <c r="I38" s="796">
        <f t="shared" si="2"/>
        <v>0</v>
      </c>
      <c r="J38" s="204"/>
      <c r="K38" s="796">
        <f>IF(ISERROR(+I38+'App.2-CO_NewCGAAP_DepExp_2012'!O39-J38), 0, +I38+'App.2-CO_NewCGAAP_DepExp_2012'!O39-J38)</f>
        <v>0</v>
      </c>
    </row>
    <row r="39" spans="1:11" x14ac:dyDescent="0.2">
      <c r="A39" s="788">
        <v>1920</v>
      </c>
      <c r="B39" s="783" t="s">
        <v>315</v>
      </c>
      <c r="C39" s="204"/>
      <c r="D39" s="282"/>
      <c r="E39" s="226">
        <f t="shared" si="0"/>
        <v>0</v>
      </c>
      <c r="F39" s="796">
        <f>IF(D39=0,+'App.2-CO_NewCGAAP_DepExp_2012'!O40,+'App.2-CO_NewCGAAP_DepExp_2012'!O40+((C39*0.5)/D39))</f>
        <v>0</v>
      </c>
      <c r="G39" s="204"/>
      <c r="H39" s="796">
        <f t="shared" si="1"/>
        <v>0</v>
      </c>
      <c r="I39" s="796">
        <f t="shared" si="2"/>
        <v>0</v>
      </c>
      <c r="J39" s="204"/>
      <c r="K39" s="796">
        <f>IF(ISERROR(+I39+'App.2-CO_NewCGAAP_DepExp_2012'!O40-J39), 0, +I39+'App.2-CO_NewCGAAP_DepExp_2012'!O40-J39)</f>
        <v>0</v>
      </c>
    </row>
    <row r="40" spans="1:11" x14ac:dyDescent="0.2">
      <c r="A40" s="782">
        <v>1930</v>
      </c>
      <c r="B40" s="787" t="s">
        <v>404</v>
      </c>
      <c r="C40" s="204"/>
      <c r="D40" s="282"/>
      <c r="E40" s="226">
        <f t="shared" si="0"/>
        <v>0</v>
      </c>
      <c r="F40" s="796">
        <f>IF(D40=0,+'App.2-CO_NewCGAAP_DepExp_2012'!O41,+'App.2-CO_NewCGAAP_DepExp_2012'!O41+((C40*0.5)/D40))</f>
        <v>0</v>
      </c>
      <c r="G40" s="204"/>
      <c r="H40" s="796">
        <f t="shared" si="1"/>
        <v>0</v>
      </c>
      <c r="I40" s="796">
        <f t="shared" si="2"/>
        <v>0</v>
      </c>
      <c r="J40" s="204"/>
      <c r="K40" s="796">
        <f>IF(ISERROR(+I40+'App.2-CO_NewCGAAP_DepExp_2012'!O41-J40), 0, +I40+'App.2-CO_NewCGAAP_DepExp_2012'!O41-J40)</f>
        <v>0</v>
      </c>
    </row>
    <row r="41" spans="1:11" x14ac:dyDescent="0.2">
      <c r="A41" s="782">
        <v>1935</v>
      </c>
      <c r="B41" s="787" t="s">
        <v>405</v>
      </c>
      <c r="C41" s="204"/>
      <c r="D41" s="282"/>
      <c r="E41" s="226">
        <f t="shared" si="0"/>
        <v>0</v>
      </c>
      <c r="F41" s="796">
        <f>IF(D41=0,+'App.2-CO_NewCGAAP_DepExp_2012'!O42,+'App.2-CO_NewCGAAP_DepExp_2012'!O42+((C41*0.5)/D41))</f>
        <v>0</v>
      </c>
      <c r="G41" s="204"/>
      <c r="H41" s="796">
        <f t="shared" si="1"/>
        <v>0</v>
      </c>
      <c r="I41" s="796">
        <f t="shared" si="2"/>
        <v>0</v>
      </c>
      <c r="J41" s="204"/>
      <c r="K41" s="796">
        <f>IF(ISERROR(+I41+'App.2-CO_NewCGAAP_DepExp_2012'!O42-J41), 0, +I41+'App.2-CO_NewCGAAP_DepExp_2012'!O42-J41)</f>
        <v>0</v>
      </c>
    </row>
    <row r="42" spans="1:11" x14ac:dyDescent="0.2">
      <c r="A42" s="782">
        <v>1940</v>
      </c>
      <c r="B42" s="787" t="s">
        <v>406</v>
      </c>
      <c r="C42" s="204"/>
      <c r="D42" s="282"/>
      <c r="E42" s="226">
        <f t="shared" si="0"/>
        <v>0</v>
      </c>
      <c r="F42" s="796">
        <f>IF(D42=0,+'App.2-CO_NewCGAAP_DepExp_2012'!O43,+'App.2-CO_NewCGAAP_DepExp_2012'!O43+((C42*0.5)/D42))</f>
        <v>0</v>
      </c>
      <c r="G42" s="204"/>
      <c r="H42" s="796">
        <f t="shared" si="1"/>
        <v>0</v>
      </c>
      <c r="I42" s="796">
        <f t="shared" si="2"/>
        <v>0</v>
      </c>
      <c r="J42" s="204"/>
      <c r="K42" s="796">
        <f>IF(ISERROR(+I42+'App.2-CO_NewCGAAP_DepExp_2012'!O43-J42), 0, +I42+'App.2-CO_NewCGAAP_DepExp_2012'!O43-J42)</f>
        <v>0</v>
      </c>
    </row>
    <row r="43" spans="1:11" x14ac:dyDescent="0.2">
      <c r="A43" s="782">
        <v>1945</v>
      </c>
      <c r="B43" s="787" t="s">
        <v>407</v>
      </c>
      <c r="C43" s="204"/>
      <c r="D43" s="282"/>
      <c r="E43" s="226">
        <f t="shared" si="0"/>
        <v>0</v>
      </c>
      <c r="F43" s="796">
        <f>IF(D43=0,+'App.2-CO_NewCGAAP_DepExp_2012'!O44,+'App.2-CO_NewCGAAP_DepExp_2012'!O44+((C43*0.5)/D43))</f>
        <v>0</v>
      </c>
      <c r="G43" s="204"/>
      <c r="H43" s="796">
        <f t="shared" si="1"/>
        <v>0</v>
      </c>
      <c r="I43" s="796">
        <f t="shared" si="2"/>
        <v>0</v>
      </c>
      <c r="J43" s="204"/>
      <c r="K43" s="796">
        <f>IF(ISERROR(+I43+'App.2-CO_NewCGAAP_DepExp_2012'!O44-J43), 0, +I43+'App.2-CO_NewCGAAP_DepExp_2012'!O44-J43)</f>
        <v>0</v>
      </c>
    </row>
    <row r="44" spans="1:11" x14ac:dyDescent="0.2">
      <c r="A44" s="782">
        <v>1950</v>
      </c>
      <c r="B44" s="787" t="s">
        <v>317</v>
      </c>
      <c r="C44" s="204"/>
      <c r="D44" s="282"/>
      <c r="E44" s="226">
        <f t="shared" si="0"/>
        <v>0</v>
      </c>
      <c r="F44" s="796">
        <f>IF(D44=0,+'App.2-CO_NewCGAAP_DepExp_2012'!O45,+'App.2-CO_NewCGAAP_DepExp_2012'!O45+((C44*0.5)/D44))</f>
        <v>0</v>
      </c>
      <c r="G44" s="204"/>
      <c r="H44" s="796">
        <f t="shared" si="1"/>
        <v>0</v>
      </c>
      <c r="I44" s="796">
        <f t="shared" si="2"/>
        <v>0</v>
      </c>
      <c r="J44" s="204"/>
      <c r="K44" s="796">
        <f>IF(ISERROR(+I44+'App.2-CO_NewCGAAP_DepExp_2012'!O45-J44), 0, +I44+'App.2-CO_NewCGAAP_DepExp_2012'!O45-J44)</f>
        <v>0</v>
      </c>
    </row>
    <row r="45" spans="1:11" x14ac:dyDescent="0.2">
      <c r="A45" s="782">
        <v>1955</v>
      </c>
      <c r="B45" s="787" t="s">
        <v>408</v>
      </c>
      <c r="C45" s="204"/>
      <c r="D45" s="282"/>
      <c r="E45" s="226">
        <f t="shared" si="0"/>
        <v>0</v>
      </c>
      <c r="F45" s="796">
        <f>IF(D45=0,+'App.2-CO_NewCGAAP_DepExp_2012'!O46,+'App.2-CO_NewCGAAP_DepExp_2012'!O46+((C45*0.5)/D45))</f>
        <v>0</v>
      </c>
      <c r="G45" s="204"/>
      <c r="H45" s="796">
        <f t="shared" si="1"/>
        <v>0</v>
      </c>
      <c r="I45" s="796">
        <f t="shared" si="2"/>
        <v>0</v>
      </c>
      <c r="J45" s="204"/>
      <c r="K45" s="796">
        <f>IF(ISERROR(+I45+'App.2-CO_NewCGAAP_DepExp_2012'!O46-J45), 0, +I45+'App.2-CO_NewCGAAP_DepExp_2012'!O46-J45)</f>
        <v>0</v>
      </c>
    </row>
    <row r="46" spans="1:11" x14ac:dyDescent="0.2">
      <c r="A46" s="789">
        <v>1955</v>
      </c>
      <c r="B46" s="790" t="s">
        <v>318</v>
      </c>
      <c r="C46" s="204"/>
      <c r="D46" s="282"/>
      <c r="E46" s="226">
        <f t="shared" si="0"/>
        <v>0</v>
      </c>
      <c r="F46" s="796">
        <f>IF(D46=0,+'App.2-CO_NewCGAAP_DepExp_2012'!O47,+'App.2-CO_NewCGAAP_DepExp_2012'!O47+((C46*0.5)/D46))</f>
        <v>0</v>
      </c>
      <c r="G46" s="204"/>
      <c r="H46" s="796">
        <f t="shared" si="1"/>
        <v>0</v>
      </c>
      <c r="I46" s="796">
        <f t="shared" si="2"/>
        <v>0</v>
      </c>
      <c r="J46" s="204"/>
      <c r="K46" s="796">
        <f>IF(ISERROR(+I46+'App.2-CO_NewCGAAP_DepExp_2012'!O47-J46), 0, +I46+'App.2-CO_NewCGAAP_DepExp_2012'!O47-J46)</f>
        <v>0</v>
      </c>
    </row>
    <row r="47" spans="1:11" x14ac:dyDescent="0.2">
      <c r="A47" s="788">
        <v>1960</v>
      </c>
      <c r="B47" s="783" t="s">
        <v>319</v>
      </c>
      <c r="C47" s="204"/>
      <c r="D47" s="282"/>
      <c r="E47" s="226">
        <f t="shared" si="0"/>
        <v>0</v>
      </c>
      <c r="F47" s="796">
        <f>IF(D47=0,+'App.2-CO_NewCGAAP_DepExp_2012'!O48,+'App.2-CO_NewCGAAP_DepExp_2012'!O48+((C47*0.5)/D47))</f>
        <v>0</v>
      </c>
      <c r="G47" s="204"/>
      <c r="H47" s="796">
        <f t="shared" si="1"/>
        <v>0</v>
      </c>
      <c r="I47" s="796">
        <f t="shared" si="2"/>
        <v>0</v>
      </c>
      <c r="J47" s="204"/>
      <c r="K47" s="796">
        <f>IF(ISERROR(+I47+'App.2-CO_NewCGAAP_DepExp_2012'!O48-J47), 0, +I47+'App.2-CO_NewCGAAP_DepExp_2012'!O48-J47)</f>
        <v>0</v>
      </c>
    </row>
    <row r="48" spans="1:11" x14ac:dyDescent="0.2">
      <c r="A48" s="788">
        <v>1970</v>
      </c>
      <c r="B48" s="900" t="s">
        <v>929</v>
      </c>
      <c r="C48" s="204"/>
      <c r="D48" s="282"/>
      <c r="E48" s="226">
        <f t="shared" si="0"/>
        <v>0</v>
      </c>
      <c r="F48" s="796">
        <f>IF(D48=0,+'App.2-CO_NewCGAAP_DepExp_2012'!O49,+'App.2-CO_NewCGAAP_DepExp_2012'!O49+((C48*0.5)/D48))</f>
        <v>0</v>
      </c>
      <c r="G48" s="204"/>
      <c r="H48" s="796">
        <f t="shared" si="1"/>
        <v>0</v>
      </c>
      <c r="I48" s="796">
        <f t="shared" si="2"/>
        <v>0</v>
      </c>
      <c r="J48" s="204"/>
      <c r="K48" s="796">
        <f>IF(ISERROR(+I48+'App.2-CO_NewCGAAP_DepExp_2012'!O49-J48), 0, +I48+'App.2-CO_NewCGAAP_DepExp_2012'!O49-J48)</f>
        <v>0</v>
      </c>
    </row>
    <row r="49" spans="1:15" x14ac:dyDescent="0.2">
      <c r="A49" s="782">
        <v>1975</v>
      </c>
      <c r="B49" s="787" t="s">
        <v>409</v>
      </c>
      <c r="C49" s="204"/>
      <c r="D49" s="282"/>
      <c r="E49" s="226">
        <f t="shared" si="0"/>
        <v>0</v>
      </c>
      <c r="F49" s="796">
        <f>IF(D49=0,+'App.2-CO_NewCGAAP_DepExp_2012'!O50,+'App.2-CO_NewCGAAP_DepExp_2012'!O50+((C49*0.5)/D49))</f>
        <v>0</v>
      </c>
      <c r="G49" s="204"/>
      <c r="H49" s="796">
        <f t="shared" si="1"/>
        <v>0</v>
      </c>
      <c r="I49" s="796">
        <f t="shared" si="2"/>
        <v>0</v>
      </c>
      <c r="J49" s="204"/>
      <c r="K49" s="796">
        <f>IF(ISERROR(+I49+'App.2-CO_NewCGAAP_DepExp_2012'!O50-J49), 0, +I49+'App.2-CO_NewCGAAP_DepExp_2012'!O50-J49)</f>
        <v>0</v>
      </c>
    </row>
    <row r="50" spans="1:15" x14ac:dyDescent="0.2">
      <c r="A50" s="782">
        <v>1980</v>
      </c>
      <c r="B50" s="787" t="s">
        <v>410</v>
      </c>
      <c r="C50" s="204"/>
      <c r="D50" s="282"/>
      <c r="E50" s="226">
        <f t="shared" si="0"/>
        <v>0</v>
      </c>
      <c r="F50" s="796">
        <f>IF(D50=0,+'App.2-CO_NewCGAAP_DepExp_2012'!O51,+'App.2-CO_NewCGAAP_DepExp_2012'!O51+((C50*0.5)/D50))</f>
        <v>0</v>
      </c>
      <c r="G50" s="204"/>
      <c r="H50" s="796">
        <f t="shared" si="1"/>
        <v>0</v>
      </c>
      <c r="I50" s="796">
        <f t="shared" si="2"/>
        <v>0</v>
      </c>
      <c r="J50" s="204"/>
      <c r="K50" s="796">
        <f>IF(ISERROR(+I50+'App.2-CO_NewCGAAP_DepExp_2012'!O51-J50), 0, +I50+'App.2-CO_NewCGAAP_DepExp_2012'!O51-J50)</f>
        <v>0</v>
      </c>
    </row>
    <row r="51" spans="1:15" x14ac:dyDescent="0.2">
      <c r="A51" s="782">
        <v>1985</v>
      </c>
      <c r="B51" s="787" t="s">
        <v>411</v>
      </c>
      <c r="C51" s="204"/>
      <c r="D51" s="282"/>
      <c r="E51" s="226">
        <f t="shared" si="0"/>
        <v>0</v>
      </c>
      <c r="F51" s="796">
        <f>IF(D51=0,+'App.2-CO_NewCGAAP_DepExp_2012'!O52,+'App.2-CO_NewCGAAP_DepExp_2012'!O52+((C51*0.5)/D51))</f>
        <v>0</v>
      </c>
      <c r="G51" s="204"/>
      <c r="H51" s="796">
        <f t="shared" si="1"/>
        <v>0</v>
      </c>
      <c r="I51" s="796">
        <f t="shared" si="2"/>
        <v>0</v>
      </c>
      <c r="J51" s="204"/>
      <c r="K51" s="796">
        <f>IF(ISERROR(+I51+'App.2-CO_NewCGAAP_DepExp_2012'!O52-J51), 0, +I51+'App.2-CO_NewCGAAP_DepExp_2012'!O52-J51)</f>
        <v>0</v>
      </c>
    </row>
    <row r="52" spans="1:15" x14ac:dyDescent="0.2">
      <c r="A52" s="782">
        <v>1990</v>
      </c>
      <c r="B52" s="791" t="s">
        <v>774</v>
      </c>
      <c r="C52" s="204"/>
      <c r="D52" s="282"/>
      <c r="E52" s="226">
        <f t="shared" si="0"/>
        <v>0</v>
      </c>
      <c r="F52" s="796">
        <f>IF(D52=0,+'App.2-CO_NewCGAAP_DepExp_2012'!O53,+'App.2-CO_NewCGAAP_DepExp_2012'!O53+((C52*0.5)/D52))</f>
        <v>0</v>
      </c>
      <c r="G52" s="204"/>
      <c r="H52" s="796">
        <f t="shared" si="1"/>
        <v>0</v>
      </c>
      <c r="I52" s="796">
        <f t="shared" si="2"/>
        <v>0</v>
      </c>
      <c r="J52" s="204"/>
      <c r="K52" s="796">
        <f>IF(ISERROR(+I52+'App.2-CO_NewCGAAP_DepExp_2012'!O53-J52), 0, +I52+'App.2-CO_NewCGAAP_DepExp_2012'!O53-J52)</f>
        <v>0</v>
      </c>
    </row>
    <row r="53" spans="1:15" x14ac:dyDescent="0.2">
      <c r="A53" s="782">
        <v>1995</v>
      </c>
      <c r="B53" s="787" t="s">
        <v>412</v>
      </c>
      <c r="C53" s="204"/>
      <c r="D53" s="282"/>
      <c r="E53" s="226">
        <f t="shared" si="0"/>
        <v>0</v>
      </c>
      <c r="F53" s="796">
        <f>IF(D53=0,+'App.2-CO_NewCGAAP_DepExp_2012'!O54,+'App.2-CO_NewCGAAP_DepExp_2012'!O54+((C53*0.5)/D53))</f>
        <v>0</v>
      </c>
      <c r="G53" s="204"/>
      <c r="H53" s="796">
        <f t="shared" si="1"/>
        <v>0</v>
      </c>
      <c r="I53" s="796">
        <f t="shared" si="2"/>
        <v>0</v>
      </c>
      <c r="J53" s="204"/>
      <c r="K53" s="796">
        <f>IF(ISERROR(+I53+'App.2-CO_NewCGAAP_DepExp_2012'!O54-J53), 0, +I53+'App.2-CO_NewCGAAP_DepExp_2012'!O54-J53)</f>
        <v>0</v>
      </c>
    </row>
    <row r="54" spans="1:15" x14ac:dyDescent="0.2">
      <c r="A54" s="227" t="s">
        <v>13</v>
      </c>
      <c r="B54" s="228"/>
      <c r="C54" s="204"/>
      <c r="D54" s="282"/>
      <c r="E54" s="226">
        <f t="shared" si="0"/>
        <v>0</v>
      </c>
      <c r="F54" s="796">
        <f>IF(D54=0,+'App.2-CO_NewCGAAP_DepExp_2012'!O55,+'App.2-CO_NewCGAAP_DepExp_2012'!O55+((C54*0.5)/D54))</f>
        <v>0</v>
      </c>
      <c r="G54" s="204"/>
      <c r="H54" s="796">
        <f t="shared" si="1"/>
        <v>0</v>
      </c>
      <c r="I54" s="796">
        <f t="shared" si="2"/>
        <v>0</v>
      </c>
      <c r="J54" s="204"/>
      <c r="K54" s="796">
        <f>IF(ISERROR(+I54+'App.2-CO_NewCGAAP_DepExp_2012'!O55-J54), 0, +I54+'App.2-CO_NewCGAAP_DepExp_2012'!O55-J54)</f>
        <v>0</v>
      </c>
    </row>
    <row r="55" spans="1:15" ht="13.5" thickBot="1" x14ac:dyDescent="0.25">
      <c r="A55" s="287"/>
      <c r="B55" s="288"/>
      <c r="C55" s="204"/>
      <c r="D55" s="289"/>
      <c r="E55" s="590">
        <f t="shared" si="0"/>
        <v>0</v>
      </c>
      <c r="F55" s="796">
        <f>IF(D55=0,+'App.2-CO_NewCGAAP_DepExp_2012'!O56,+'App.2-CO_NewCGAAP_DepExp_2012'!O56+((C55*0.5)/D55))</f>
        <v>0</v>
      </c>
      <c r="G55" s="204"/>
      <c r="H55" s="796">
        <f t="shared" si="1"/>
        <v>0</v>
      </c>
      <c r="I55" s="796">
        <f t="shared" si="2"/>
        <v>0</v>
      </c>
      <c r="J55" s="204"/>
      <c r="K55" s="796">
        <f>IF(ISERROR(+I55+'App.2-CO_NewCGAAP_DepExp_2012'!O56-J55), 0, +I55+'App.2-CO_NewCGAAP_DepExp_2012'!O56-J55)</f>
        <v>0</v>
      </c>
    </row>
    <row r="56" spans="1:15" ht="14.25" thickTop="1" thickBot="1" x14ac:dyDescent="0.25">
      <c r="A56" s="290"/>
      <c r="B56" s="291" t="s">
        <v>413</v>
      </c>
      <c r="C56" s="796">
        <f>SUM(C16:C55)</f>
        <v>0</v>
      </c>
      <c r="D56" s="292"/>
      <c r="E56" s="591"/>
      <c r="F56" s="796">
        <f t="shared" ref="F56:K56" si="3">SUM(F16:F55)</f>
        <v>0</v>
      </c>
      <c r="G56" s="796">
        <f t="shared" si="3"/>
        <v>0</v>
      </c>
      <c r="H56" s="796">
        <f t="shared" si="3"/>
        <v>0</v>
      </c>
      <c r="I56" s="796">
        <f t="shared" si="3"/>
        <v>0</v>
      </c>
      <c r="J56" s="796">
        <f t="shared" si="3"/>
        <v>0</v>
      </c>
      <c r="K56" s="796">
        <f t="shared" si="3"/>
        <v>0</v>
      </c>
    </row>
    <row r="57" spans="1:15" ht="7.5" customHeight="1" x14ac:dyDescent="0.2"/>
    <row r="58" spans="1:15" x14ac:dyDescent="0.2">
      <c r="A58" s="217" t="s">
        <v>15</v>
      </c>
      <c r="H58" s="236"/>
    </row>
    <row r="59" spans="1:15" ht="27" customHeight="1" x14ac:dyDescent="0.2">
      <c r="A59" s="301">
        <v>1</v>
      </c>
      <c r="B59" s="1857" t="s">
        <v>607</v>
      </c>
      <c r="C59" s="1857"/>
      <c r="D59" s="1857"/>
      <c r="E59" s="1857"/>
      <c r="F59" s="1857"/>
      <c r="G59" s="1857"/>
      <c r="H59" s="1857"/>
      <c r="I59" s="1857"/>
      <c r="J59" s="1857"/>
      <c r="K59" s="1857"/>
    </row>
    <row r="60" spans="1:15" x14ac:dyDescent="0.2">
      <c r="A60" s="301">
        <v>2</v>
      </c>
      <c r="B60" s="1857" t="s">
        <v>1934</v>
      </c>
      <c r="C60" s="1857"/>
      <c r="D60" s="1857"/>
      <c r="E60" s="1857"/>
      <c r="F60" s="1857"/>
      <c r="G60" s="1857"/>
      <c r="H60" s="1857"/>
      <c r="I60" s="1857"/>
      <c r="J60" s="1857"/>
      <c r="K60" s="1857"/>
    </row>
    <row r="61" spans="1:15" ht="27.75" customHeight="1" x14ac:dyDescent="0.2">
      <c r="A61" s="286">
        <v>3</v>
      </c>
      <c r="B61" s="1790" t="s">
        <v>718</v>
      </c>
      <c r="C61" s="1790"/>
      <c r="D61" s="1790"/>
      <c r="E61" s="1790"/>
      <c r="F61" s="1790"/>
      <c r="G61" s="1790"/>
      <c r="H61" s="1790"/>
      <c r="I61" s="1790"/>
      <c r="J61" s="1790"/>
      <c r="K61" s="1790"/>
      <c r="L61" s="684"/>
      <c r="M61" s="684"/>
      <c r="N61" s="684"/>
      <c r="O61" s="684"/>
    </row>
    <row r="62" spans="1:15" ht="13.5" customHeight="1" x14ac:dyDescent="0.2">
      <c r="A62" s="286"/>
      <c r="B62" s="683"/>
      <c r="C62" s="683"/>
      <c r="D62" s="683"/>
      <c r="E62" s="683"/>
      <c r="F62" s="683"/>
      <c r="G62" s="683"/>
      <c r="H62" s="683"/>
      <c r="I62" s="683"/>
      <c r="J62" s="683"/>
      <c r="K62" s="683"/>
      <c r="L62" s="684"/>
      <c r="M62" s="684"/>
      <c r="N62" s="684"/>
      <c r="O62" s="684"/>
    </row>
    <row r="63" spans="1:15" x14ac:dyDescent="0.2">
      <c r="A63" s="217" t="s">
        <v>325</v>
      </c>
      <c r="B63" s="1869" t="s">
        <v>270</v>
      </c>
      <c r="C63" s="1869"/>
      <c r="D63" s="1869"/>
      <c r="E63" s="1869"/>
      <c r="F63" s="1869"/>
      <c r="G63" s="1869"/>
      <c r="H63" s="1869"/>
      <c r="I63" s="1869"/>
      <c r="J63" s="1869"/>
      <c r="K63" s="1869"/>
    </row>
    <row r="64" spans="1:15" ht="12.75" customHeight="1" x14ac:dyDescent="0.2">
      <c r="B64" s="1869"/>
      <c r="C64" s="1869"/>
      <c r="D64" s="1869"/>
      <c r="E64" s="1869"/>
      <c r="F64" s="1869"/>
      <c r="G64" s="1869"/>
      <c r="H64" s="1869"/>
      <c r="I64" s="1869"/>
      <c r="J64" s="1869"/>
      <c r="K64" s="1869"/>
      <c r="L64" s="686"/>
      <c r="M64" s="686"/>
    </row>
    <row r="65" spans="5:13" x14ac:dyDescent="0.2">
      <c r="L65" s="686"/>
      <c r="M65" s="686"/>
    </row>
    <row r="66" spans="5:13" x14ac:dyDescent="0.2">
      <c r="L66" s="686"/>
      <c r="M66" s="686"/>
    </row>
    <row r="72" spans="5:13" x14ac:dyDescent="0.2">
      <c r="L72" s="689"/>
    </row>
    <row r="73" spans="5:13" x14ac:dyDescent="0.2">
      <c r="E73" s="236"/>
      <c r="F73" s="236"/>
      <c r="G73" s="236"/>
      <c r="H73" s="236"/>
      <c r="I73" s="236"/>
      <c r="J73" s="236"/>
      <c r="K73" s="236"/>
      <c r="L73" s="236"/>
      <c r="M73" s="236"/>
    </row>
    <row r="74" spans="5:13" x14ac:dyDescent="0.2">
      <c r="K74" s="236"/>
      <c r="L74" s="236"/>
      <c r="M74" s="236"/>
    </row>
    <row r="75" spans="5:13" x14ac:dyDescent="0.2">
      <c r="K75" s="236"/>
      <c r="L75" s="236"/>
      <c r="M75" s="236"/>
    </row>
    <row r="76" spans="5:13" x14ac:dyDescent="0.2">
      <c r="K76" s="236"/>
      <c r="L76" s="236"/>
      <c r="M76" s="236"/>
    </row>
    <row r="78" spans="5:13" x14ac:dyDescent="0.2">
      <c r="E78" s="236"/>
    </row>
    <row r="79" spans="5:13" x14ac:dyDescent="0.2">
      <c r="E79" s="236"/>
    </row>
  </sheetData>
  <mergeCells count="11">
    <mergeCell ref="B59:K59"/>
    <mergeCell ref="B60:K60"/>
    <mergeCell ref="B61:K61"/>
    <mergeCell ref="B63:K64"/>
    <mergeCell ref="A9:K9"/>
    <mergeCell ref="A10:K10"/>
    <mergeCell ref="A11:L11"/>
    <mergeCell ref="A14:A15"/>
    <mergeCell ref="B14:B15"/>
    <mergeCell ref="G14:G15"/>
    <mergeCell ref="J14:J15"/>
  </mergeCells>
  <dataValidations count="1">
    <dataValidation allowBlank="1" showInputMessage="1" showErrorMessage="1" promptTitle="Date Format" prompt="E.g:  &quot;August 1, 2011&quot;" sqref="H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s>
  <printOptions horizontalCentered="1"/>
  <pageMargins left="0.74803149606299213" right="0.74803149606299213" top="0.70866141732283472" bottom="0.39370078740157483" header="0.39370078740157483" footer="0.27559055118110237"/>
  <pageSetup scale="5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68"/>
  <sheetViews>
    <sheetView showGridLines="0" topLeftCell="A22" zoomScaleNormal="100" workbookViewId="0">
      <selection activeCell="G2" sqref="G2"/>
    </sheetView>
  </sheetViews>
  <sheetFormatPr defaultRowHeight="12.75" x14ac:dyDescent="0.2"/>
  <cols>
    <col min="1" max="1" width="9.140625" style="216"/>
    <col min="2" max="2" width="41.140625" style="216" customWidth="1"/>
    <col min="3" max="3" width="10" style="216" customWidth="1"/>
    <col min="4" max="4" width="10.140625" style="216" customWidth="1"/>
    <col min="5" max="5" width="12.28515625" style="216" customWidth="1"/>
    <col min="6" max="6" width="15.7109375" style="216" customWidth="1"/>
    <col min="7" max="7" width="17.7109375" style="216" customWidth="1"/>
    <col min="8" max="8" width="17.140625" style="216" customWidth="1"/>
    <col min="9" max="9" width="12.85546875" style="216" customWidth="1"/>
    <col min="10" max="10" width="14.42578125" style="216" customWidth="1"/>
    <col min="11" max="255" width="9.140625" style="216"/>
    <col min="256" max="256" width="2.7109375" style="216" customWidth="1"/>
    <col min="257" max="257" width="9.140625" style="216"/>
    <col min="258" max="258" width="40.28515625" style="216" bestFit="1" customWidth="1"/>
    <col min="259" max="259" width="10" style="216" customWidth="1"/>
    <col min="260" max="260" width="10.140625" style="216" customWidth="1"/>
    <col min="261" max="261" width="12.28515625" style="216" customWidth="1"/>
    <col min="262" max="262" width="15.7109375" style="216" customWidth="1"/>
    <col min="263" max="263" width="12.85546875" style="216" customWidth="1"/>
    <col min="264" max="264" width="12.7109375" style="216" customWidth="1"/>
    <col min="265" max="265" width="12.85546875" style="216" customWidth="1"/>
    <col min="266" max="266" width="14.42578125" style="216" customWidth="1"/>
    <col min="267" max="511" width="9.140625" style="216"/>
    <col min="512" max="512" width="2.7109375" style="216" customWidth="1"/>
    <col min="513" max="513" width="9.140625" style="216"/>
    <col min="514" max="514" width="40.28515625" style="216" bestFit="1" customWidth="1"/>
    <col min="515" max="515" width="10" style="216" customWidth="1"/>
    <col min="516" max="516" width="10.140625" style="216" customWidth="1"/>
    <col min="517" max="517" width="12.28515625" style="216" customWidth="1"/>
    <col min="518" max="518" width="15.7109375" style="216" customWidth="1"/>
    <col min="519" max="519" width="12.85546875" style="216" customWidth="1"/>
    <col min="520" max="520" width="12.7109375" style="216" customWidth="1"/>
    <col min="521" max="521" width="12.85546875" style="216" customWidth="1"/>
    <col min="522" max="522" width="14.42578125" style="216" customWidth="1"/>
    <col min="523" max="767" width="9.140625" style="216"/>
    <col min="768" max="768" width="2.7109375" style="216" customWidth="1"/>
    <col min="769" max="769" width="9.140625" style="216"/>
    <col min="770" max="770" width="40.28515625" style="216" bestFit="1" customWidth="1"/>
    <col min="771" max="771" width="10" style="216" customWidth="1"/>
    <col min="772" max="772" width="10.140625" style="216" customWidth="1"/>
    <col min="773" max="773" width="12.28515625" style="216" customWidth="1"/>
    <col min="774" max="774" width="15.7109375" style="216" customWidth="1"/>
    <col min="775" max="775" width="12.85546875" style="216" customWidth="1"/>
    <col min="776" max="776" width="12.7109375" style="216" customWidth="1"/>
    <col min="777" max="777" width="12.85546875" style="216" customWidth="1"/>
    <col min="778" max="778" width="14.42578125" style="216" customWidth="1"/>
    <col min="779" max="1023" width="9.140625" style="216"/>
    <col min="1024" max="1024" width="2.7109375" style="216" customWidth="1"/>
    <col min="1025" max="1025" width="9.140625" style="216"/>
    <col min="1026" max="1026" width="40.28515625" style="216" bestFit="1" customWidth="1"/>
    <col min="1027" max="1027" width="10" style="216" customWidth="1"/>
    <col min="1028" max="1028" width="10.140625" style="216" customWidth="1"/>
    <col min="1029" max="1029" width="12.28515625" style="216" customWidth="1"/>
    <col min="1030" max="1030" width="15.7109375" style="216" customWidth="1"/>
    <col min="1031" max="1031" width="12.85546875" style="216" customWidth="1"/>
    <col min="1032" max="1032" width="12.7109375" style="216" customWidth="1"/>
    <col min="1033" max="1033" width="12.85546875" style="216" customWidth="1"/>
    <col min="1034" max="1034" width="14.42578125" style="216" customWidth="1"/>
    <col min="1035" max="1279" width="9.140625" style="216"/>
    <col min="1280" max="1280" width="2.7109375" style="216" customWidth="1"/>
    <col min="1281" max="1281" width="9.140625" style="216"/>
    <col min="1282" max="1282" width="40.28515625" style="216" bestFit="1" customWidth="1"/>
    <col min="1283" max="1283" width="10" style="216" customWidth="1"/>
    <col min="1284" max="1284" width="10.140625" style="216" customWidth="1"/>
    <col min="1285" max="1285" width="12.28515625" style="216" customWidth="1"/>
    <col min="1286" max="1286" width="15.7109375" style="216" customWidth="1"/>
    <col min="1287" max="1287" width="12.85546875" style="216" customWidth="1"/>
    <col min="1288" max="1288" width="12.7109375" style="216" customWidth="1"/>
    <col min="1289" max="1289" width="12.85546875" style="216" customWidth="1"/>
    <col min="1290" max="1290" width="14.42578125" style="216" customWidth="1"/>
    <col min="1291" max="1535" width="9.140625" style="216"/>
    <col min="1536" max="1536" width="2.7109375" style="216" customWidth="1"/>
    <col min="1537" max="1537" width="9.140625" style="216"/>
    <col min="1538" max="1538" width="40.28515625" style="216" bestFit="1" customWidth="1"/>
    <col min="1539" max="1539" width="10" style="216" customWidth="1"/>
    <col min="1540" max="1540" width="10.140625" style="216" customWidth="1"/>
    <col min="1541" max="1541" width="12.28515625" style="216" customWidth="1"/>
    <col min="1542" max="1542" width="15.7109375" style="216" customWidth="1"/>
    <col min="1543" max="1543" width="12.85546875" style="216" customWidth="1"/>
    <col min="1544" max="1544" width="12.7109375" style="216" customWidth="1"/>
    <col min="1545" max="1545" width="12.85546875" style="216" customWidth="1"/>
    <col min="1546" max="1546" width="14.42578125" style="216" customWidth="1"/>
    <col min="1547" max="1791" width="9.140625" style="216"/>
    <col min="1792" max="1792" width="2.7109375" style="216" customWidth="1"/>
    <col min="1793" max="1793" width="9.140625" style="216"/>
    <col min="1794" max="1794" width="40.28515625" style="216" bestFit="1" customWidth="1"/>
    <col min="1795" max="1795" width="10" style="216" customWidth="1"/>
    <col min="1796" max="1796" width="10.140625" style="216" customWidth="1"/>
    <col min="1797" max="1797" width="12.28515625" style="216" customWidth="1"/>
    <col min="1798" max="1798" width="15.7109375" style="216" customWidth="1"/>
    <col min="1799" max="1799" width="12.85546875" style="216" customWidth="1"/>
    <col min="1800" max="1800" width="12.7109375" style="216" customWidth="1"/>
    <col min="1801" max="1801" width="12.85546875" style="216" customWidth="1"/>
    <col min="1802" max="1802" width="14.42578125" style="216" customWidth="1"/>
    <col min="1803" max="2047" width="9.140625" style="216"/>
    <col min="2048" max="2048" width="2.7109375" style="216" customWidth="1"/>
    <col min="2049" max="2049" width="9.140625" style="216"/>
    <col min="2050" max="2050" width="40.28515625" style="216" bestFit="1" customWidth="1"/>
    <col min="2051" max="2051" width="10" style="216" customWidth="1"/>
    <col min="2052" max="2052" width="10.140625" style="216" customWidth="1"/>
    <col min="2053" max="2053" width="12.28515625" style="216" customWidth="1"/>
    <col min="2054" max="2054" width="15.7109375" style="216" customWidth="1"/>
    <col min="2055" max="2055" width="12.85546875" style="216" customWidth="1"/>
    <col min="2056" max="2056" width="12.7109375" style="216" customWidth="1"/>
    <col min="2057" max="2057" width="12.85546875" style="216" customWidth="1"/>
    <col min="2058" max="2058" width="14.42578125" style="216" customWidth="1"/>
    <col min="2059" max="2303" width="9.140625" style="216"/>
    <col min="2304" max="2304" width="2.7109375" style="216" customWidth="1"/>
    <col min="2305" max="2305" width="9.140625" style="216"/>
    <col min="2306" max="2306" width="40.28515625" style="216" bestFit="1" customWidth="1"/>
    <col min="2307" max="2307" width="10" style="216" customWidth="1"/>
    <col min="2308" max="2308" width="10.140625" style="216" customWidth="1"/>
    <col min="2309" max="2309" width="12.28515625" style="216" customWidth="1"/>
    <col min="2310" max="2310" width="15.7109375" style="216" customWidth="1"/>
    <col min="2311" max="2311" width="12.85546875" style="216" customWidth="1"/>
    <col min="2312" max="2312" width="12.7109375" style="216" customWidth="1"/>
    <col min="2313" max="2313" width="12.85546875" style="216" customWidth="1"/>
    <col min="2314" max="2314" width="14.42578125" style="216" customWidth="1"/>
    <col min="2315" max="2559" width="9.140625" style="216"/>
    <col min="2560" max="2560" width="2.7109375" style="216" customWidth="1"/>
    <col min="2561" max="2561" width="9.140625" style="216"/>
    <col min="2562" max="2562" width="40.28515625" style="216" bestFit="1" customWidth="1"/>
    <col min="2563" max="2563" width="10" style="216" customWidth="1"/>
    <col min="2564" max="2564" width="10.140625" style="216" customWidth="1"/>
    <col min="2565" max="2565" width="12.28515625" style="216" customWidth="1"/>
    <col min="2566" max="2566" width="15.7109375" style="216" customWidth="1"/>
    <col min="2567" max="2567" width="12.85546875" style="216" customWidth="1"/>
    <col min="2568" max="2568" width="12.7109375" style="216" customWidth="1"/>
    <col min="2569" max="2569" width="12.85546875" style="216" customWidth="1"/>
    <col min="2570" max="2570" width="14.42578125" style="216" customWidth="1"/>
    <col min="2571" max="2815" width="9.140625" style="216"/>
    <col min="2816" max="2816" width="2.7109375" style="216" customWidth="1"/>
    <col min="2817" max="2817" width="9.140625" style="216"/>
    <col min="2818" max="2818" width="40.28515625" style="216" bestFit="1" customWidth="1"/>
    <col min="2819" max="2819" width="10" style="216" customWidth="1"/>
    <col min="2820" max="2820" width="10.140625" style="216" customWidth="1"/>
    <col min="2821" max="2821" width="12.28515625" style="216" customWidth="1"/>
    <col min="2822" max="2822" width="15.7109375" style="216" customWidth="1"/>
    <col min="2823" max="2823" width="12.85546875" style="216" customWidth="1"/>
    <col min="2824" max="2824" width="12.7109375" style="216" customWidth="1"/>
    <col min="2825" max="2825" width="12.85546875" style="216" customWidth="1"/>
    <col min="2826" max="2826" width="14.42578125" style="216" customWidth="1"/>
    <col min="2827" max="3071" width="9.140625" style="216"/>
    <col min="3072" max="3072" width="2.7109375" style="216" customWidth="1"/>
    <col min="3073" max="3073" width="9.140625" style="216"/>
    <col min="3074" max="3074" width="40.28515625" style="216" bestFit="1" customWidth="1"/>
    <col min="3075" max="3075" width="10" style="216" customWidth="1"/>
    <col min="3076" max="3076" width="10.140625" style="216" customWidth="1"/>
    <col min="3077" max="3077" width="12.28515625" style="216" customWidth="1"/>
    <col min="3078" max="3078" width="15.7109375" style="216" customWidth="1"/>
    <col min="3079" max="3079" width="12.85546875" style="216" customWidth="1"/>
    <col min="3080" max="3080" width="12.7109375" style="216" customWidth="1"/>
    <col min="3081" max="3081" width="12.85546875" style="216" customWidth="1"/>
    <col min="3082" max="3082" width="14.42578125" style="216" customWidth="1"/>
    <col min="3083" max="3327" width="9.140625" style="216"/>
    <col min="3328" max="3328" width="2.7109375" style="216" customWidth="1"/>
    <col min="3329" max="3329" width="9.140625" style="216"/>
    <col min="3330" max="3330" width="40.28515625" style="216" bestFit="1" customWidth="1"/>
    <col min="3331" max="3331" width="10" style="216" customWidth="1"/>
    <col min="3332" max="3332" width="10.140625" style="216" customWidth="1"/>
    <col min="3333" max="3333" width="12.28515625" style="216" customWidth="1"/>
    <col min="3334" max="3334" width="15.7109375" style="216" customWidth="1"/>
    <col min="3335" max="3335" width="12.85546875" style="216" customWidth="1"/>
    <col min="3336" max="3336" width="12.7109375" style="216" customWidth="1"/>
    <col min="3337" max="3337" width="12.85546875" style="216" customWidth="1"/>
    <col min="3338" max="3338" width="14.42578125" style="216" customWidth="1"/>
    <col min="3339" max="3583" width="9.140625" style="216"/>
    <col min="3584" max="3584" width="2.7109375" style="216" customWidth="1"/>
    <col min="3585" max="3585" width="9.140625" style="216"/>
    <col min="3586" max="3586" width="40.28515625" style="216" bestFit="1" customWidth="1"/>
    <col min="3587" max="3587" width="10" style="216" customWidth="1"/>
    <col min="3588" max="3588" width="10.140625" style="216" customWidth="1"/>
    <col min="3589" max="3589" width="12.28515625" style="216" customWidth="1"/>
    <col min="3590" max="3590" width="15.7109375" style="216" customWidth="1"/>
    <col min="3591" max="3591" width="12.85546875" style="216" customWidth="1"/>
    <col min="3592" max="3592" width="12.7109375" style="216" customWidth="1"/>
    <col min="3593" max="3593" width="12.85546875" style="216" customWidth="1"/>
    <col min="3594" max="3594" width="14.42578125" style="216" customWidth="1"/>
    <col min="3595" max="3839" width="9.140625" style="216"/>
    <col min="3840" max="3840" width="2.7109375" style="216" customWidth="1"/>
    <col min="3841" max="3841" width="9.140625" style="216"/>
    <col min="3842" max="3842" width="40.28515625" style="216" bestFit="1" customWidth="1"/>
    <col min="3843" max="3843" width="10" style="216" customWidth="1"/>
    <col min="3844" max="3844" width="10.140625" style="216" customWidth="1"/>
    <col min="3845" max="3845" width="12.28515625" style="216" customWidth="1"/>
    <col min="3846" max="3846" width="15.7109375" style="216" customWidth="1"/>
    <col min="3847" max="3847" width="12.85546875" style="216" customWidth="1"/>
    <col min="3848" max="3848" width="12.7109375" style="216" customWidth="1"/>
    <col min="3849" max="3849" width="12.85546875" style="216" customWidth="1"/>
    <col min="3850" max="3850" width="14.42578125" style="216" customWidth="1"/>
    <col min="3851" max="4095" width="9.140625" style="216"/>
    <col min="4096" max="4096" width="2.7109375" style="216" customWidth="1"/>
    <col min="4097" max="4097" width="9.140625" style="216"/>
    <col min="4098" max="4098" width="40.28515625" style="216" bestFit="1" customWidth="1"/>
    <col min="4099" max="4099" width="10" style="216" customWidth="1"/>
    <col min="4100" max="4100" width="10.140625" style="216" customWidth="1"/>
    <col min="4101" max="4101" width="12.28515625" style="216" customWidth="1"/>
    <col min="4102" max="4102" width="15.7109375" style="216" customWidth="1"/>
    <col min="4103" max="4103" width="12.85546875" style="216" customWidth="1"/>
    <col min="4104" max="4104" width="12.7109375" style="216" customWidth="1"/>
    <col min="4105" max="4105" width="12.85546875" style="216" customWidth="1"/>
    <col min="4106" max="4106" width="14.42578125" style="216" customWidth="1"/>
    <col min="4107" max="4351" width="9.140625" style="216"/>
    <col min="4352" max="4352" width="2.7109375" style="216" customWidth="1"/>
    <col min="4353" max="4353" width="9.140625" style="216"/>
    <col min="4354" max="4354" width="40.28515625" style="216" bestFit="1" customWidth="1"/>
    <col min="4355" max="4355" width="10" style="216" customWidth="1"/>
    <col min="4356" max="4356" width="10.140625" style="216" customWidth="1"/>
    <col min="4357" max="4357" width="12.28515625" style="216" customWidth="1"/>
    <col min="4358" max="4358" width="15.7109375" style="216" customWidth="1"/>
    <col min="4359" max="4359" width="12.85546875" style="216" customWidth="1"/>
    <col min="4360" max="4360" width="12.7109375" style="216" customWidth="1"/>
    <col min="4361" max="4361" width="12.85546875" style="216" customWidth="1"/>
    <col min="4362" max="4362" width="14.42578125" style="216" customWidth="1"/>
    <col min="4363" max="4607" width="9.140625" style="216"/>
    <col min="4608" max="4608" width="2.7109375" style="216" customWidth="1"/>
    <col min="4609" max="4609" width="9.140625" style="216"/>
    <col min="4610" max="4610" width="40.28515625" style="216" bestFit="1" customWidth="1"/>
    <col min="4611" max="4611" width="10" style="216" customWidth="1"/>
    <col min="4612" max="4612" width="10.140625" style="216" customWidth="1"/>
    <col min="4613" max="4613" width="12.28515625" style="216" customWidth="1"/>
    <col min="4614" max="4614" width="15.7109375" style="216" customWidth="1"/>
    <col min="4615" max="4615" width="12.85546875" style="216" customWidth="1"/>
    <col min="4616" max="4616" width="12.7109375" style="216" customWidth="1"/>
    <col min="4617" max="4617" width="12.85546875" style="216" customWidth="1"/>
    <col min="4618" max="4618" width="14.42578125" style="216" customWidth="1"/>
    <col min="4619" max="4863" width="9.140625" style="216"/>
    <col min="4864" max="4864" width="2.7109375" style="216" customWidth="1"/>
    <col min="4865" max="4865" width="9.140625" style="216"/>
    <col min="4866" max="4866" width="40.28515625" style="216" bestFit="1" customWidth="1"/>
    <col min="4867" max="4867" width="10" style="216" customWidth="1"/>
    <col min="4868" max="4868" width="10.140625" style="216" customWidth="1"/>
    <col min="4869" max="4869" width="12.28515625" style="216" customWidth="1"/>
    <col min="4870" max="4870" width="15.7109375" style="216" customWidth="1"/>
    <col min="4871" max="4871" width="12.85546875" style="216" customWidth="1"/>
    <col min="4872" max="4872" width="12.7109375" style="216" customWidth="1"/>
    <col min="4873" max="4873" width="12.85546875" style="216" customWidth="1"/>
    <col min="4874" max="4874" width="14.42578125" style="216" customWidth="1"/>
    <col min="4875" max="5119" width="9.140625" style="216"/>
    <col min="5120" max="5120" width="2.7109375" style="216" customWidth="1"/>
    <col min="5121" max="5121" width="9.140625" style="216"/>
    <col min="5122" max="5122" width="40.28515625" style="216" bestFit="1" customWidth="1"/>
    <col min="5123" max="5123" width="10" style="216" customWidth="1"/>
    <col min="5124" max="5124" width="10.140625" style="216" customWidth="1"/>
    <col min="5125" max="5125" width="12.28515625" style="216" customWidth="1"/>
    <col min="5126" max="5126" width="15.7109375" style="216" customWidth="1"/>
    <col min="5127" max="5127" width="12.85546875" style="216" customWidth="1"/>
    <col min="5128" max="5128" width="12.7109375" style="216" customWidth="1"/>
    <col min="5129" max="5129" width="12.85546875" style="216" customWidth="1"/>
    <col min="5130" max="5130" width="14.42578125" style="216" customWidth="1"/>
    <col min="5131" max="5375" width="9.140625" style="216"/>
    <col min="5376" max="5376" width="2.7109375" style="216" customWidth="1"/>
    <col min="5377" max="5377" width="9.140625" style="216"/>
    <col min="5378" max="5378" width="40.28515625" style="216" bestFit="1" customWidth="1"/>
    <col min="5379" max="5379" width="10" style="216" customWidth="1"/>
    <col min="5380" max="5380" width="10.140625" style="216" customWidth="1"/>
    <col min="5381" max="5381" width="12.28515625" style="216" customWidth="1"/>
    <col min="5382" max="5382" width="15.7109375" style="216" customWidth="1"/>
    <col min="5383" max="5383" width="12.85546875" style="216" customWidth="1"/>
    <col min="5384" max="5384" width="12.7109375" style="216" customWidth="1"/>
    <col min="5385" max="5385" width="12.85546875" style="216" customWidth="1"/>
    <col min="5386" max="5386" width="14.42578125" style="216" customWidth="1"/>
    <col min="5387" max="5631" width="9.140625" style="216"/>
    <col min="5632" max="5632" width="2.7109375" style="216" customWidth="1"/>
    <col min="5633" max="5633" width="9.140625" style="216"/>
    <col min="5634" max="5634" width="40.28515625" style="216" bestFit="1" customWidth="1"/>
    <col min="5635" max="5635" width="10" style="216" customWidth="1"/>
    <col min="5636" max="5636" width="10.140625" style="216" customWidth="1"/>
    <col min="5637" max="5637" width="12.28515625" style="216" customWidth="1"/>
    <col min="5638" max="5638" width="15.7109375" style="216" customWidth="1"/>
    <col min="5639" max="5639" width="12.85546875" style="216" customWidth="1"/>
    <col min="5640" max="5640" width="12.7109375" style="216" customWidth="1"/>
    <col min="5641" max="5641" width="12.85546875" style="216" customWidth="1"/>
    <col min="5642" max="5642" width="14.42578125" style="216" customWidth="1"/>
    <col min="5643" max="5887" width="9.140625" style="216"/>
    <col min="5888" max="5888" width="2.7109375" style="216" customWidth="1"/>
    <col min="5889" max="5889" width="9.140625" style="216"/>
    <col min="5890" max="5890" width="40.28515625" style="216" bestFit="1" customWidth="1"/>
    <col min="5891" max="5891" width="10" style="216" customWidth="1"/>
    <col min="5892" max="5892" width="10.140625" style="216" customWidth="1"/>
    <col min="5893" max="5893" width="12.28515625" style="216" customWidth="1"/>
    <col min="5894" max="5894" width="15.7109375" style="216" customWidth="1"/>
    <col min="5895" max="5895" width="12.85546875" style="216" customWidth="1"/>
    <col min="5896" max="5896" width="12.7109375" style="216" customWidth="1"/>
    <col min="5897" max="5897" width="12.85546875" style="216" customWidth="1"/>
    <col min="5898" max="5898" width="14.42578125" style="216" customWidth="1"/>
    <col min="5899" max="6143" width="9.140625" style="216"/>
    <col min="6144" max="6144" width="2.7109375" style="216" customWidth="1"/>
    <col min="6145" max="6145" width="9.140625" style="216"/>
    <col min="6146" max="6146" width="40.28515625" style="216" bestFit="1" customWidth="1"/>
    <col min="6147" max="6147" width="10" style="216" customWidth="1"/>
    <col min="6148" max="6148" width="10.140625" style="216" customWidth="1"/>
    <col min="6149" max="6149" width="12.28515625" style="216" customWidth="1"/>
    <col min="6150" max="6150" width="15.7109375" style="216" customWidth="1"/>
    <col min="6151" max="6151" width="12.85546875" style="216" customWidth="1"/>
    <col min="6152" max="6152" width="12.7109375" style="216" customWidth="1"/>
    <col min="6153" max="6153" width="12.85546875" style="216" customWidth="1"/>
    <col min="6154" max="6154" width="14.42578125" style="216" customWidth="1"/>
    <col min="6155" max="6399" width="9.140625" style="216"/>
    <col min="6400" max="6400" width="2.7109375" style="216" customWidth="1"/>
    <col min="6401" max="6401" width="9.140625" style="216"/>
    <col min="6402" max="6402" width="40.28515625" style="216" bestFit="1" customWidth="1"/>
    <col min="6403" max="6403" width="10" style="216" customWidth="1"/>
    <col min="6404" max="6404" width="10.140625" style="216" customWidth="1"/>
    <col min="6405" max="6405" width="12.28515625" style="216" customWidth="1"/>
    <col min="6406" max="6406" width="15.7109375" style="216" customWidth="1"/>
    <col min="6407" max="6407" width="12.85546875" style="216" customWidth="1"/>
    <col min="6408" max="6408" width="12.7109375" style="216" customWidth="1"/>
    <col min="6409" max="6409" width="12.85546875" style="216" customWidth="1"/>
    <col min="6410" max="6410" width="14.42578125" style="216" customWidth="1"/>
    <col min="6411" max="6655" width="9.140625" style="216"/>
    <col min="6656" max="6656" width="2.7109375" style="216" customWidth="1"/>
    <col min="6657" max="6657" width="9.140625" style="216"/>
    <col min="6658" max="6658" width="40.28515625" style="216" bestFit="1" customWidth="1"/>
    <col min="6659" max="6659" width="10" style="216" customWidth="1"/>
    <col min="6660" max="6660" width="10.140625" style="216" customWidth="1"/>
    <col min="6661" max="6661" width="12.28515625" style="216" customWidth="1"/>
    <col min="6662" max="6662" width="15.7109375" style="216" customWidth="1"/>
    <col min="6663" max="6663" width="12.85546875" style="216" customWidth="1"/>
    <col min="6664" max="6664" width="12.7109375" style="216" customWidth="1"/>
    <col min="6665" max="6665" width="12.85546875" style="216" customWidth="1"/>
    <col min="6666" max="6666" width="14.42578125" style="216" customWidth="1"/>
    <col min="6667" max="6911" width="9.140625" style="216"/>
    <col min="6912" max="6912" width="2.7109375" style="216" customWidth="1"/>
    <col min="6913" max="6913" width="9.140625" style="216"/>
    <col min="6914" max="6914" width="40.28515625" style="216" bestFit="1" customWidth="1"/>
    <col min="6915" max="6915" width="10" style="216" customWidth="1"/>
    <col min="6916" max="6916" width="10.140625" style="216" customWidth="1"/>
    <col min="6917" max="6917" width="12.28515625" style="216" customWidth="1"/>
    <col min="6918" max="6918" width="15.7109375" style="216" customWidth="1"/>
    <col min="6919" max="6919" width="12.85546875" style="216" customWidth="1"/>
    <col min="6920" max="6920" width="12.7109375" style="216" customWidth="1"/>
    <col min="6921" max="6921" width="12.85546875" style="216" customWidth="1"/>
    <col min="6922" max="6922" width="14.42578125" style="216" customWidth="1"/>
    <col min="6923" max="7167" width="9.140625" style="216"/>
    <col min="7168" max="7168" width="2.7109375" style="216" customWidth="1"/>
    <col min="7169" max="7169" width="9.140625" style="216"/>
    <col min="7170" max="7170" width="40.28515625" style="216" bestFit="1" customWidth="1"/>
    <col min="7171" max="7171" width="10" style="216" customWidth="1"/>
    <col min="7172" max="7172" width="10.140625" style="216" customWidth="1"/>
    <col min="7173" max="7173" width="12.28515625" style="216" customWidth="1"/>
    <col min="7174" max="7174" width="15.7109375" style="216" customWidth="1"/>
    <col min="7175" max="7175" width="12.85546875" style="216" customWidth="1"/>
    <col min="7176" max="7176" width="12.7109375" style="216" customWidth="1"/>
    <col min="7177" max="7177" width="12.85546875" style="216" customWidth="1"/>
    <col min="7178" max="7178" width="14.42578125" style="216" customWidth="1"/>
    <col min="7179" max="7423" width="9.140625" style="216"/>
    <col min="7424" max="7424" width="2.7109375" style="216" customWidth="1"/>
    <col min="7425" max="7425" width="9.140625" style="216"/>
    <col min="7426" max="7426" width="40.28515625" style="216" bestFit="1" customWidth="1"/>
    <col min="7427" max="7427" width="10" style="216" customWidth="1"/>
    <col min="7428" max="7428" width="10.140625" style="216" customWidth="1"/>
    <col min="7429" max="7429" width="12.28515625" style="216" customWidth="1"/>
    <col min="7430" max="7430" width="15.7109375" style="216" customWidth="1"/>
    <col min="7431" max="7431" width="12.85546875" style="216" customWidth="1"/>
    <col min="7432" max="7432" width="12.7109375" style="216" customWidth="1"/>
    <col min="7433" max="7433" width="12.85546875" style="216" customWidth="1"/>
    <col min="7434" max="7434" width="14.42578125" style="216" customWidth="1"/>
    <col min="7435" max="7679" width="9.140625" style="216"/>
    <col min="7680" max="7680" width="2.7109375" style="216" customWidth="1"/>
    <col min="7681" max="7681" width="9.140625" style="216"/>
    <col min="7682" max="7682" width="40.28515625" style="216" bestFit="1" customWidth="1"/>
    <col min="7683" max="7683" width="10" style="216" customWidth="1"/>
    <col min="7684" max="7684" width="10.140625" style="216" customWidth="1"/>
    <col min="7685" max="7685" width="12.28515625" style="216" customWidth="1"/>
    <col min="7686" max="7686" width="15.7109375" style="216" customWidth="1"/>
    <col min="7687" max="7687" width="12.85546875" style="216" customWidth="1"/>
    <col min="7688" max="7688" width="12.7109375" style="216" customWidth="1"/>
    <col min="7689" max="7689" width="12.85546875" style="216" customWidth="1"/>
    <col min="7690" max="7690" width="14.42578125" style="216" customWidth="1"/>
    <col min="7691" max="7935" width="9.140625" style="216"/>
    <col min="7936" max="7936" width="2.7109375" style="216" customWidth="1"/>
    <col min="7937" max="7937" width="9.140625" style="216"/>
    <col min="7938" max="7938" width="40.28515625" style="216" bestFit="1" customWidth="1"/>
    <col min="7939" max="7939" width="10" style="216" customWidth="1"/>
    <col min="7940" max="7940" width="10.140625" style="216" customWidth="1"/>
    <col min="7941" max="7941" width="12.28515625" style="216" customWidth="1"/>
    <col min="7942" max="7942" width="15.7109375" style="216" customWidth="1"/>
    <col min="7943" max="7943" width="12.85546875" style="216" customWidth="1"/>
    <col min="7944" max="7944" width="12.7109375" style="216" customWidth="1"/>
    <col min="7945" max="7945" width="12.85546875" style="216" customWidth="1"/>
    <col min="7946" max="7946" width="14.42578125" style="216" customWidth="1"/>
    <col min="7947" max="8191" width="9.140625" style="216"/>
    <col min="8192" max="8192" width="2.7109375" style="216" customWidth="1"/>
    <col min="8193" max="8193" width="9.140625" style="216"/>
    <col min="8194" max="8194" width="40.28515625" style="216" bestFit="1" customWidth="1"/>
    <col min="8195" max="8195" width="10" style="216" customWidth="1"/>
    <col min="8196" max="8196" width="10.140625" style="216" customWidth="1"/>
    <col min="8197" max="8197" width="12.28515625" style="216" customWidth="1"/>
    <col min="8198" max="8198" width="15.7109375" style="216" customWidth="1"/>
    <col min="8199" max="8199" width="12.85546875" style="216" customWidth="1"/>
    <col min="8200" max="8200" width="12.7109375" style="216" customWidth="1"/>
    <col min="8201" max="8201" width="12.85546875" style="216" customWidth="1"/>
    <col min="8202" max="8202" width="14.42578125" style="216" customWidth="1"/>
    <col min="8203" max="8447" width="9.140625" style="216"/>
    <col min="8448" max="8448" width="2.7109375" style="216" customWidth="1"/>
    <col min="8449" max="8449" width="9.140625" style="216"/>
    <col min="8450" max="8450" width="40.28515625" style="216" bestFit="1" customWidth="1"/>
    <col min="8451" max="8451" width="10" style="216" customWidth="1"/>
    <col min="8452" max="8452" width="10.140625" style="216" customWidth="1"/>
    <col min="8453" max="8453" width="12.28515625" style="216" customWidth="1"/>
    <col min="8454" max="8454" width="15.7109375" style="216" customWidth="1"/>
    <col min="8455" max="8455" width="12.85546875" style="216" customWidth="1"/>
    <col min="8456" max="8456" width="12.7109375" style="216" customWidth="1"/>
    <col min="8457" max="8457" width="12.85546875" style="216" customWidth="1"/>
    <col min="8458" max="8458" width="14.42578125" style="216" customWidth="1"/>
    <col min="8459" max="8703" width="9.140625" style="216"/>
    <col min="8704" max="8704" width="2.7109375" style="216" customWidth="1"/>
    <col min="8705" max="8705" width="9.140625" style="216"/>
    <col min="8706" max="8706" width="40.28515625" style="216" bestFit="1" customWidth="1"/>
    <col min="8707" max="8707" width="10" style="216" customWidth="1"/>
    <col min="8708" max="8708" width="10.140625" style="216" customWidth="1"/>
    <col min="8709" max="8709" width="12.28515625" style="216" customWidth="1"/>
    <col min="8710" max="8710" width="15.7109375" style="216" customWidth="1"/>
    <col min="8711" max="8711" width="12.85546875" style="216" customWidth="1"/>
    <col min="8712" max="8712" width="12.7109375" style="216" customWidth="1"/>
    <col min="8713" max="8713" width="12.85546875" style="216" customWidth="1"/>
    <col min="8714" max="8714" width="14.42578125" style="216" customWidth="1"/>
    <col min="8715" max="8959" width="9.140625" style="216"/>
    <col min="8960" max="8960" width="2.7109375" style="216" customWidth="1"/>
    <col min="8961" max="8961" width="9.140625" style="216"/>
    <col min="8962" max="8962" width="40.28515625" style="216" bestFit="1" customWidth="1"/>
    <col min="8963" max="8963" width="10" style="216" customWidth="1"/>
    <col min="8964" max="8964" width="10.140625" style="216" customWidth="1"/>
    <col min="8965" max="8965" width="12.28515625" style="216" customWidth="1"/>
    <col min="8966" max="8966" width="15.7109375" style="216" customWidth="1"/>
    <col min="8967" max="8967" width="12.85546875" style="216" customWidth="1"/>
    <col min="8968" max="8968" width="12.7109375" style="216" customWidth="1"/>
    <col min="8969" max="8969" width="12.85546875" style="216" customWidth="1"/>
    <col min="8970" max="8970" width="14.42578125" style="216" customWidth="1"/>
    <col min="8971" max="9215" width="9.140625" style="216"/>
    <col min="9216" max="9216" width="2.7109375" style="216" customWidth="1"/>
    <col min="9217" max="9217" width="9.140625" style="216"/>
    <col min="9218" max="9218" width="40.28515625" style="216" bestFit="1" customWidth="1"/>
    <col min="9219" max="9219" width="10" style="216" customWidth="1"/>
    <col min="9220" max="9220" width="10.140625" style="216" customWidth="1"/>
    <col min="9221" max="9221" width="12.28515625" style="216" customWidth="1"/>
    <col min="9222" max="9222" width="15.7109375" style="216" customWidth="1"/>
    <col min="9223" max="9223" width="12.85546875" style="216" customWidth="1"/>
    <col min="9224" max="9224" width="12.7109375" style="216" customWidth="1"/>
    <col min="9225" max="9225" width="12.85546875" style="216" customWidth="1"/>
    <col min="9226" max="9226" width="14.42578125" style="216" customWidth="1"/>
    <col min="9227" max="9471" width="9.140625" style="216"/>
    <col min="9472" max="9472" width="2.7109375" style="216" customWidth="1"/>
    <col min="9473" max="9473" width="9.140625" style="216"/>
    <col min="9474" max="9474" width="40.28515625" style="216" bestFit="1" customWidth="1"/>
    <col min="9475" max="9475" width="10" style="216" customWidth="1"/>
    <col min="9476" max="9476" width="10.140625" style="216" customWidth="1"/>
    <col min="9477" max="9477" width="12.28515625" style="216" customWidth="1"/>
    <col min="9478" max="9478" width="15.7109375" style="216" customWidth="1"/>
    <col min="9479" max="9479" width="12.85546875" style="216" customWidth="1"/>
    <col min="9480" max="9480" width="12.7109375" style="216" customWidth="1"/>
    <col min="9481" max="9481" width="12.85546875" style="216" customWidth="1"/>
    <col min="9482" max="9482" width="14.42578125" style="216" customWidth="1"/>
    <col min="9483" max="9727" width="9.140625" style="216"/>
    <col min="9728" max="9728" width="2.7109375" style="216" customWidth="1"/>
    <col min="9729" max="9729" width="9.140625" style="216"/>
    <col min="9730" max="9730" width="40.28515625" style="216" bestFit="1" customWidth="1"/>
    <col min="9731" max="9731" width="10" style="216" customWidth="1"/>
    <col min="9732" max="9732" width="10.140625" style="216" customWidth="1"/>
    <col min="9733" max="9733" width="12.28515625" style="216" customWidth="1"/>
    <col min="9734" max="9734" width="15.7109375" style="216" customWidth="1"/>
    <col min="9735" max="9735" width="12.85546875" style="216" customWidth="1"/>
    <col min="9736" max="9736" width="12.7109375" style="216" customWidth="1"/>
    <col min="9737" max="9737" width="12.85546875" style="216" customWidth="1"/>
    <col min="9738" max="9738" width="14.42578125" style="216" customWidth="1"/>
    <col min="9739" max="9983" width="9.140625" style="216"/>
    <col min="9984" max="9984" width="2.7109375" style="216" customWidth="1"/>
    <col min="9985" max="9985" width="9.140625" style="216"/>
    <col min="9986" max="9986" width="40.28515625" style="216" bestFit="1" customWidth="1"/>
    <col min="9987" max="9987" width="10" style="216" customWidth="1"/>
    <col min="9988" max="9988" width="10.140625" style="216" customWidth="1"/>
    <col min="9989" max="9989" width="12.28515625" style="216" customWidth="1"/>
    <col min="9990" max="9990" width="15.7109375" style="216" customWidth="1"/>
    <col min="9991" max="9991" width="12.85546875" style="216" customWidth="1"/>
    <col min="9992" max="9992" width="12.7109375" style="216" customWidth="1"/>
    <col min="9993" max="9993" width="12.85546875" style="216" customWidth="1"/>
    <col min="9994" max="9994" width="14.42578125" style="216" customWidth="1"/>
    <col min="9995" max="10239" width="9.140625" style="216"/>
    <col min="10240" max="10240" width="2.7109375" style="216" customWidth="1"/>
    <col min="10241" max="10241" width="9.140625" style="216"/>
    <col min="10242" max="10242" width="40.28515625" style="216" bestFit="1" customWidth="1"/>
    <col min="10243" max="10243" width="10" style="216" customWidth="1"/>
    <col min="10244" max="10244" width="10.140625" style="216" customWidth="1"/>
    <col min="10245" max="10245" width="12.28515625" style="216" customWidth="1"/>
    <col min="10246" max="10246" width="15.7109375" style="216" customWidth="1"/>
    <col min="10247" max="10247" width="12.85546875" style="216" customWidth="1"/>
    <col min="10248" max="10248" width="12.7109375" style="216" customWidth="1"/>
    <col min="10249" max="10249" width="12.85546875" style="216" customWidth="1"/>
    <col min="10250" max="10250" width="14.42578125" style="216" customWidth="1"/>
    <col min="10251" max="10495" width="9.140625" style="216"/>
    <col min="10496" max="10496" width="2.7109375" style="216" customWidth="1"/>
    <col min="10497" max="10497" width="9.140625" style="216"/>
    <col min="10498" max="10498" width="40.28515625" style="216" bestFit="1" customWidth="1"/>
    <col min="10499" max="10499" width="10" style="216" customWidth="1"/>
    <col min="10500" max="10500" width="10.140625" style="216" customWidth="1"/>
    <col min="10501" max="10501" width="12.28515625" style="216" customWidth="1"/>
    <col min="10502" max="10502" width="15.7109375" style="216" customWidth="1"/>
    <col min="10503" max="10503" width="12.85546875" style="216" customWidth="1"/>
    <col min="10504" max="10504" width="12.7109375" style="216" customWidth="1"/>
    <col min="10505" max="10505" width="12.85546875" style="216" customWidth="1"/>
    <col min="10506" max="10506" width="14.42578125" style="216" customWidth="1"/>
    <col min="10507" max="10751" width="9.140625" style="216"/>
    <col min="10752" max="10752" width="2.7109375" style="216" customWidth="1"/>
    <col min="10753" max="10753" width="9.140625" style="216"/>
    <col min="10754" max="10754" width="40.28515625" style="216" bestFit="1" customWidth="1"/>
    <col min="10755" max="10755" width="10" style="216" customWidth="1"/>
    <col min="10756" max="10756" width="10.140625" style="216" customWidth="1"/>
    <col min="10757" max="10757" width="12.28515625" style="216" customWidth="1"/>
    <col min="10758" max="10758" width="15.7109375" style="216" customWidth="1"/>
    <col min="10759" max="10759" width="12.85546875" style="216" customWidth="1"/>
    <col min="10760" max="10760" width="12.7109375" style="216" customWidth="1"/>
    <col min="10761" max="10761" width="12.85546875" style="216" customWidth="1"/>
    <col min="10762" max="10762" width="14.42578125" style="216" customWidth="1"/>
    <col min="10763" max="11007" width="9.140625" style="216"/>
    <col min="11008" max="11008" width="2.7109375" style="216" customWidth="1"/>
    <col min="11009" max="11009" width="9.140625" style="216"/>
    <col min="11010" max="11010" width="40.28515625" style="216" bestFit="1" customWidth="1"/>
    <col min="11011" max="11011" width="10" style="216" customWidth="1"/>
    <col min="11012" max="11012" width="10.140625" style="216" customWidth="1"/>
    <col min="11013" max="11013" width="12.28515625" style="216" customWidth="1"/>
    <col min="11014" max="11014" width="15.7109375" style="216" customWidth="1"/>
    <col min="11015" max="11015" width="12.85546875" style="216" customWidth="1"/>
    <col min="11016" max="11016" width="12.7109375" style="216" customWidth="1"/>
    <col min="11017" max="11017" width="12.85546875" style="216" customWidth="1"/>
    <col min="11018" max="11018" width="14.42578125" style="216" customWidth="1"/>
    <col min="11019" max="11263" width="9.140625" style="216"/>
    <col min="11264" max="11264" width="2.7109375" style="216" customWidth="1"/>
    <col min="11265" max="11265" width="9.140625" style="216"/>
    <col min="11266" max="11266" width="40.28515625" style="216" bestFit="1" customWidth="1"/>
    <col min="11267" max="11267" width="10" style="216" customWidth="1"/>
    <col min="11268" max="11268" width="10.140625" style="216" customWidth="1"/>
    <col min="11269" max="11269" width="12.28515625" style="216" customWidth="1"/>
    <col min="11270" max="11270" width="15.7109375" style="216" customWidth="1"/>
    <col min="11271" max="11271" width="12.85546875" style="216" customWidth="1"/>
    <col min="11272" max="11272" width="12.7109375" style="216" customWidth="1"/>
    <col min="11273" max="11273" width="12.85546875" style="216" customWidth="1"/>
    <col min="11274" max="11274" width="14.42578125" style="216" customWidth="1"/>
    <col min="11275" max="11519" width="9.140625" style="216"/>
    <col min="11520" max="11520" width="2.7109375" style="216" customWidth="1"/>
    <col min="11521" max="11521" width="9.140625" style="216"/>
    <col min="11522" max="11522" width="40.28515625" style="216" bestFit="1" customWidth="1"/>
    <col min="11523" max="11523" width="10" style="216" customWidth="1"/>
    <col min="11524" max="11524" width="10.140625" style="216" customWidth="1"/>
    <col min="11525" max="11525" width="12.28515625" style="216" customWidth="1"/>
    <col min="11526" max="11526" width="15.7109375" style="216" customWidth="1"/>
    <col min="11527" max="11527" width="12.85546875" style="216" customWidth="1"/>
    <col min="11528" max="11528" width="12.7109375" style="216" customWidth="1"/>
    <col min="11529" max="11529" width="12.85546875" style="216" customWidth="1"/>
    <col min="11530" max="11530" width="14.42578125" style="216" customWidth="1"/>
    <col min="11531" max="11775" width="9.140625" style="216"/>
    <col min="11776" max="11776" width="2.7109375" style="216" customWidth="1"/>
    <col min="11777" max="11777" width="9.140625" style="216"/>
    <col min="11778" max="11778" width="40.28515625" style="216" bestFit="1" customWidth="1"/>
    <col min="11779" max="11779" width="10" style="216" customWidth="1"/>
    <col min="11780" max="11780" width="10.140625" style="216" customWidth="1"/>
    <col min="11781" max="11781" width="12.28515625" style="216" customWidth="1"/>
    <col min="11782" max="11782" width="15.7109375" style="216" customWidth="1"/>
    <col min="11783" max="11783" width="12.85546875" style="216" customWidth="1"/>
    <col min="11784" max="11784" width="12.7109375" style="216" customWidth="1"/>
    <col min="11785" max="11785" width="12.85546875" style="216" customWidth="1"/>
    <col min="11786" max="11786" width="14.42578125" style="216" customWidth="1"/>
    <col min="11787" max="12031" width="9.140625" style="216"/>
    <col min="12032" max="12032" width="2.7109375" style="216" customWidth="1"/>
    <col min="12033" max="12033" width="9.140625" style="216"/>
    <col min="12034" max="12034" width="40.28515625" style="216" bestFit="1" customWidth="1"/>
    <col min="12035" max="12035" width="10" style="216" customWidth="1"/>
    <col min="12036" max="12036" width="10.140625" style="216" customWidth="1"/>
    <col min="12037" max="12037" width="12.28515625" style="216" customWidth="1"/>
    <col min="12038" max="12038" width="15.7109375" style="216" customWidth="1"/>
    <col min="12039" max="12039" width="12.85546875" style="216" customWidth="1"/>
    <col min="12040" max="12040" width="12.7109375" style="216" customWidth="1"/>
    <col min="12041" max="12041" width="12.85546875" style="216" customWidth="1"/>
    <col min="12042" max="12042" width="14.42578125" style="216" customWidth="1"/>
    <col min="12043" max="12287" width="9.140625" style="216"/>
    <col min="12288" max="12288" width="2.7109375" style="216" customWidth="1"/>
    <col min="12289" max="12289" width="9.140625" style="216"/>
    <col min="12290" max="12290" width="40.28515625" style="216" bestFit="1" customWidth="1"/>
    <col min="12291" max="12291" width="10" style="216" customWidth="1"/>
    <col min="12292" max="12292" width="10.140625" style="216" customWidth="1"/>
    <col min="12293" max="12293" width="12.28515625" style="216" customWidth="1"/>
    <col min="12294" max="12294" width="15.7109375" style="216" customWidth="1"/>
    <col min="12295" max="12295" width="12.85546875" style="216" customWidth="1"/>
    <col min="12296" max="12296" width="12.7109375" style="216" customWidth="1"/>
    <col min="12297" max="12297" width="12.85546875" style="216" customWidth="1"/>
    <col min="12298" max="12298" width="14.42578125" style="216" customWidth="1"/>
    <col min="12299" max="12543" width="9.140625" style="216"/>
    <col min="12544" max="12544" width="2.7109375" style="216" customWidth="1"/>
    <col min="12545" max="12545" width="9.140625" style="216"/>
    <col min="12546" max="12546" width="40.28515625" style="216" bestFit="1" customWidth="1"/>
    <col min="12547" max="12547" width="10" style="216" customWidth="1"/>
    <col min="12548" max="12548" width="10.140625" style="216" customWidth="1"/>
    <col min="12549" max="12549" width="12.28515625" style="216" customWidth="1"/>
    <col min="12550" max="12550" width="15.7109375" style="216" customWidth="1"/>
    <col min="12551" max="12551" width="12.85546875" style="216" customWidth="1"/>
    <col min="12552" max="12552" width="12.7109375" style="216" customWidth="1"/>
    <col min="12553" max="12553" width="12.85546875" style="216" customWidth="1"/>
    <col min="12554" max="12554" width="14.42578125" style="216" customWidth="1"/>
    <col min="12555" max="12799" width="9.140625" style="216"/>
    <col min="12800" max="12800" width="2.7109375" style="216" customWidth="1"/>
    <col min="12801" max="12801" width="9.140625" style="216"/>
    <col min="12802" max="12802" width="40.28515625" style="216" bestFit="1" customWidth="1"/>
    <col min="12803" max="12803" width="10" style="216" customWidth="1"/>
    <col min="12804" max="12804" width="10.140625" style="216" customWidth="1"/>
    <col min="12805" max="12805" width="12.28515625" style="216" customWidth="1"/>
    <col min="12806" max="12806" width="15.7109375" style="216" customWidth="1"/>
    <col min="12807" max="12807" width="12.85546875" style="216" customWidth="1"/>
    <col min="12808" max="12808" width="12.7109375" style="216" customWidth="1"/>
    <col min="12809" max="12809" width="12.85546875" style="216" customWidth="1"/>
    <col min="12810" max="12810" width="14.42578125" style="216" customWidth="1"/>
    <col min="12811" max="13055" width="9.140625" style="216"/>
    <col min="13056" max="13056" width="2.7109375" style="216" customWidth="1"/>
    <col min="13057" max="13057" width="9.140625" style="216"/>
    <col min="13058" max="13058" width="40.28515625" style="216" bestFit="1" customWidth="1"/>
    <col min="13059" max="13059" width="10" style="216" customWidth="1"/>
    <col min="13060" max="13060" width="10.140625" style="216" customWidth="1"/>
    <col min="13061" max="13061" width="12.28515625" style="216" customWidth="1"/>
    <col min="13062" max="13062" width="15.7109375" style="216" customWidth="1"/>
    <col min="13063" max="13063" width="12.85546875" style="216" customWidth="1"/>
    <col min="13064" max="13064" width="12.7109375" style="216" customWidth="1"/>
    <col min="13065" max="13065" width="12.85546875" style="216" customWidth="1"/>
    <col min="13066" max="13066" width="14.42578125" style="216" customWidth="1"/>
    <col min="13067" max="13311" width="9.140625" style="216"/>
    <col min="13312" max="13312" width="2.7109375" style="216" customWidth="1"/>
    <col min="13313" max="13313" width="9.140625" style="216"/>
    <col min="13314" max="13314" width="40.28515625" style="216" bestFit="1" customWidth="1"/>
    <col min="13315" max="13315" width="10" style="216" customWidth="1"/>
    <col min="13316" max="13316" width="10.140625" style="216" customWidth="1"/>
    <col min="13317" max="13317" width="12.28515625" style="216" customWidth="1"/>
    <col min="13318" max="13318" width="15.7109375" style="216" customWidth="1"/>
    <col min="13319" max="13319" width="12.85546875" style="216" customWidth="1"/>
    <col min="13320" max="13320" width="12.7109375" style="216" customWidth="1"/>
    <col min="13321" max="13321" width="12.85546875" style="216" customWidth="1"/>
    <col min="13322" max="13322" width="14.42578125" style="216" customWidth="1"/>
    <col min="13323" max="13567" width="9.140625" style="216"/>
    <col min="13568" max="13568" width="2.7109375" style="216" customWidth="1"/>
    <col min="13569" max="13569" width="9.140625" style="216"/>
    <col min="13570" max="13570" width="40.28515625" style="216" bestFit="1" customWidth="1"/>
    <col min="13571" max="13571" width="10" style="216" customWidth="1"/>
    <col min="13572" max="13572" width="10.140625" style="216" customWidth="1"/>
    <col min="13573" max="13573" width="12.28515625" style="216" customWidth="1"/>
    <col min="13574" max="13574" width="15.7109375" style="216" customWidth="1"/>
    <col min="13575" max="13575" width="12.85546875" style="216" customWidth="1"/>
    <col min="13576" max="13576" width="12.7109375" style="216" customWidth="1"/>
    <col min="13577" max="13577" width="12.85546875" style="216" customWidth="1"/>
    <col min="13578" max="13578" width="14.42578125" style="216" customWidth="1"/>
    <col min="13579" max="13823" width="9.140625" style="216"/>
    <col min="13824" max="13824" width="2.7109375" style="216" customWidth="1"/>
    <col min="13825" max="13825" width="9.140625" style="216"/>
    <col min="13826" max="13826" width="40.28515625" style="216" bestFit="1" customWidth="1"/>
    <col min="13827" max="13827" width="10" style="216" customWidth="1"/>
    <col min="13828" max="13828" width="10.140625" style="216" customWidth="1"/>
    <col min="13829" max="13829" width="12.28515625" style="216" customWidth="1"/>
    <col min="13830" max="13830" width="15.7109375" style="216" customWidth="1"/>
    <col min="13831" max="13831" width="12.85546875" style="216" customWidth="1"/>
    <col min="13832" max="13832" width="12.7109375" style="216" customWidth="1"/>
    <col min="13833" max="13833" width="12.85546875" style="216" customWidth="1"/>
    <col min="13834" max="13834" width="14.42578125" style="216" customWidth="1"/>
    <col min="13835" max="14079" width="9.140625" style="216"/>
    <col min="14080" max="14080" width="2.7109375" style="216" customWidth="1"/>
    <col min="14081" max="14081" width="9.140625" style="216"/>
    <col min="14082" max="14082" width="40.28515625" style="216" bestFit="1" customWidth="1"/>
    <col min="14083" max="14083" width="10" style="216" customWidth="1"/>
    <col min="14084" max="14084" width="10.140625" style="216" customWidth="1"/>
    <col min="14085" max="14085" width="12.28515625" style="216" customWidth="1"/>
    <col min="14086" max="14086" width="15.7109375" style="216" customWidth="1"/>
    <col min="14087" max="14087" width="12.85546875" style="216" customWidth="1"/>
    <col min="14088" max="14088" width="12.7109375" style="216" customWidth="1"/>
    <col min="14089" max="14089" width="12.85546875" style="216" customWidth="1"/>
    <col min="14090" max="14090" width="14.42578125" style="216" customWidth="1"/>
    <col min="14091" max="14335" width="9.140625" style="216"/>
    <col min="14336" max="14336" width="2.7109375" style="216" customWidth="1"/>
    <col min="14337" max="14337" width="9.140625" style="216"/>
    <col min="14338" max="14338" width="40.28515625" style="216" bestFit="1" customWidth="1"/>
    <col min="14339" max="14339" width="10" style="216" customWidth="1"/>
    <col min="14340" max="14340" width="10.140625" style="216" customWidth="1"/>
    <col min="14341" max="14341" width="12.28515625" style="216" customWidth="1"/>
    <col min="14342" max="14342" width="15.7109375" style="216" customWidth="1"/>
    <col min="14343" max="14343" width="12.85546875" style="216" customWidth="1"/>
    <col min="14344" max="14344" width="12.7109375" style="216" customWidth="1"/>
    <col min="14345" max="14345" width="12.85546875" style="216" customWidth="1"/>
    <col min="14346" max="14346" width="14.42578125" style="216" customWidth="1"/>
    <col min="14347" max="14591" width="9.140625" style="216"/>
    <col min="14592" max="14592" width="2.7109375" style="216" customWidth="1"/>
    <col min="14593" max="14593" width="9.140625" style="216"/>
    <col min="14594" max="14594" width="40.28515625" style="216" bestFit="1" customWidth="1"/>
    <col min="14595" max="14595" width="10" style="216" customWidth="1"/>
    <col min="14596" max="14596" width="10.140625" style="216" customWidth="1"/>
    <col min="14597" max="14597" width="12.28515625" style="216" customWidth="1"/>
    <col min="14598" max="14598" width="15.7109375" style="216" customWidth="1"/>
    <col min="14599" max="14599" width="12.85546875" style="216" customWidth="1"/>
    <col min="14600" max="14600" width="12.7109375" style="216" customWidth="1"/>
    <col min="14601" max="14601" width="12.85546875" style="216" customWidth="1"/>
    <col min="14602" max="14602" width="14.42578125" style="216" customWidth="1"/>
    <col min="14603" max="14847" width="9.140625" style="216"/>
    <col min="14848" max="14848" width="2.7109375" style="216" customWidth="1"/>
    <col min="14849" max="14849" width="9.140625" style="216"/>
    <col min="14850" max="14850" width="40.28515625" style="216" bestFit="1" customWidth="1"/>
    <col min="14851" max="14851" width="10" style="216" customWidth="1"/>
    <col min="14852" max="14852" width="10.140625" style="216" customWidth="1"/>
    <col min="14853" max="14853" width="12.28515625" style="216" customWidth="1"/>
    <col min="14854" max="14854" width="15.7109375" style="216" customWidth="1"/>
    <col min="14855" max="14855" width="12.85546875" style="216" customWidth="1"/>
    <col min="14856" max="14856" width="12.7109375" style="216" customWidth="1"/>
    <col min="14857" max="14857" width="12.85546875" style="216" customWidth="1"/>
    <col min="14858" max="14858" width="14.42578125" style="216" customWidth="1"/>
    <col min="14859" max="15103" width="9.140625" style="216"/>
    <col min="15104" max="15104" width="2.7109375" style="216" customWidth="1"/>
    <col min="15105" max="15105" width="9.140625" style="216"/>
    <col min="15106" max="15106" width="40.28515625" style="216" bestFit="1" customWidth="1"/>
    <col min="15107" max="15107" width="10" style="216" customWidth="1"/>
    <col min="15108" max="15108" width="10.140625" style="216" customWidth="1"/>
    <col min="15109" max="15109" width="12.28515625" style="216" customWidth="1"/>
    <col min="15110" max="15110" width="15.7109375" style="216" customWidth="1"/>
    <col min="15111" max="15111" width="12.85546875" style="216" customWidth="1"/>
    <col min="15112" max="15112" width="12.7109375" style="216" customWidth="1"/>
    <col min="15113" max="15113" width="12.85546875" style="216" customWidth="1"/>
    <col min="15114" max="15114" width="14.42578125" style="216" customWidth="1"/>
    <col min="15115" max="15359" width="9.140625" style="216"/>
    <col min="15360" max="15360" width="2.7109375" style="216" customWidth="1"/>
    <col min="15361" max="15361" width="9.140625" style="216"/>
    <col min="15362" max="15362" width="40.28515625" style="216" bestFit="1" customWidth="1"/>
    <col min="15363" max="15363" width="10" style="216" customWidth="1"/>
    <col min="15364" max="15364" width="10.140625" style="216" customWidth="1"/>
    <col min="15365" max="15365" width="12.28515625" style="216" customWidth="1"/>
    <col min="15366" max="15366" width="15.7109375" style="216" customWidth="1"/>
    <col min="15367" max="15367" width="12.85546875" style="216" customWidth="1"/>
    <col min="15368" max="15368" width="12.7109375" style="216" customWidth="1"/>
    <col min="15369" max="15369" width="12.85546875" style="216" customWidth="1"/>
    <col min="15370" max="15370" width="14.42578125" style="216" customWidth="1"/>
    <col min="15371" max="15615" width="9.140625" style="216"/>
    <col min="15616" max="15616" width="2.7109375" style="216" customWidth="1"/>
    <col min="15617" max="15617" width="9.140625" style="216"/>
    <col min="15618" max="15618" width="40.28515625" style="216" bestFit="1" customWidth="1"/>
    <col min="15619" max="15619" width="10" style="216" customWidth="1"/>
    <col min="15620" max="15620" width="10.140625" style="216" customWidth="1"/>
    <col min="15621" max="15621" width="12.28515625" style="216" customWidth="1"/>
    <col min="15622" max="15622" width="15.7109375" style="216" customWidth="1"/>
    <col min="15623" max="15623" width="12.85546875" style="216" customWidth="1"/>
    <col min="15624" max="15624" width="12.7109375" style="216" customWidth="1"/>
    <col min="15625" max="15625" width="12.85546875" style="216" customWidth="1"/>
    <col min="15626" max="15626" width="14.42578125" style="216" customWidth="1"/>
    <col min="15627" max="15871" width="9.140625" style="216"/>
    <col min="15872" max="15872" width="2.7109375" style="216" customWidth="1"/>
    <col min="15873" max="15873" width="9.140625" style="216"/>
    <col min="15874" max="15874" width="40.28515625" style="216" bestFit="1" customWidth="1"/>
    <col min="15875" max="15875" width="10" style="216" customWidth="1"/>
    <col min="15876" max="15876" width="10.140625" style="216" customWidth="1"/>
    <col min="15877" max="15877" width="12.28515625" style="216" customWidth="1"/>
    <col min="15878" max="15878" width="15.7109375" style="216" customWidth="1"/>
    <col min="15879" max="15879" width="12.85546875" style="216" customWidth="1"/>
    <col min="15880" max="15880" width="12.7109375" style="216" customWidth="1"/>
    <col min="15881" max="15881" width="12.85546875" style="216" customWidth="1"/>
    <col min="15882" max="15882" width="14.42578125" style="216" customWidth="1"/>
    <col min="15883" max="16127" width="9.140625" style="216"/>
    <col min="16128" max="16128" width="2.7109375" style="216" customWidth="1"/>
    <col min="16129" max="16129" width="9.140625" style="216"/>
    <col min="16130" max="16130" width="40.28515625" style="216" bestFit="1" customWidth="1"/>
    <col min="16131" max="16131" width="10" style="216" customWidth="1"/>
    <col min="16132" max="16132" width="10.140625" style="216" customWidth="1"/>
    <col min="16133" max="16133" width="12.28515625" style="216" customWidth="1"/>
    <col min="16134" max="16134" width="15.7109375" style="216" customWidth="1"/>
    <col min="16135" max="16135" width="12.85546875" style="216" customWidth="1"/>
    <col min="16136" max="16136" width="12.7109375" style="216" customWidth="1"/>
    <col min="16137" max="16137" width="12.85546875" style="216" customWidth="1"/>
    <col min="16138" max="16138" width="14.42578125" style="216" customWidth="1"/>
    <col min="16139" max="16384" width="9.140625" style="216"/>
  </cols>
  <sheetData>
    <row r="1" spans="1:12" x14ac:dyDescent="0.2">
      <c r="C1" s="219"/>
      <c r="D1" s="218"/>
      <c r="E1" s="219"/>
      <c r="F1" s="219"/>
      <c r="G1" s="217" t="s">
        <v>419</v>
      </c>
      <c r="H1" s="208" t="str">
        <f>EBNUMBER</f>
        <v>EB-2014-0113</v>
      </c>
      <c r="K1" s="219"/>
    </row>
    <row r="2" spans="1:12" x14ac:dyDescent="0.2">
      <c r="C2" s="219"/>
      <c r="D2" s="218"/>
      <c r="E2" s="219"/>
      <c r="F2" s="219"/>
      <c r="G2" s="217" t="s">
        <v>420</v>
      </c>
      <c r="H2" s="767"/>
      <c r="K2" s="219"/>
    </row>
    <row r="3" spans="1:12" x14ac:dyDescent="0.2">
      <c r="C3" s="219"/>
      <c r="D3" s="218"/>
      <c r="E3" s="219"/>
      <c r="F3" s="219"/>
      <c r="G3" s="217" t="s">
        <v>421</v>
      </c>
      <c r="H3" s="767"/>
      <c r="K3" s="219"/>
    </row>
    <row r="4" spans="1:12" x14ac:dyDescent="0.2">
      <c r="C4" s="219"/>
      <c r="D4" s="218"/>
      <c r="E4" s="219"/>
      <c r="F4" s="219"/>
      <c r="G4" s="217" t="s">
        <v>422</v>
      </c>
      <c r="H4" s="767"/>
      <c r="K4" s="219"/>
    </row>
    <row r="5" spans="1:12" x14ac:dyDescent="0.2">
      <c r="C5" s="219"/>
      <c r="D5" s="218"/>
      <c r="E5" s="219"/>
      <c r="F5" s="219"/>
      <c r="G5" s="217" t="s">
        <v>423</v>
      </c>
      <c r="H5" s="768"/>
      <c r="K5" s="219"/>
    </row>
    <row r="6" spans="1:12" x14ac:dyDescent="0.2">
      <c r="C6" s="219"/>
      <c r="D6" s="218"/>
      <c r="E6" s="219"/>
      <c r="F6" s="219"/>
      <c r="G6" s="217"/>
      <c r="H6" s="766"/>
      <c r="K6" s="219"/>
    </row>
    <row r="7" spans="1:12" x14ac:dyDescent="0.2">
      <c r="C7" s="219"/>
      <c r="D7" s="218"/>
      <c r="E7" s="219"/>
      <c r="F7" s="219"/>
      <c r="G7" s="217" t="s">
        <v>424</v>
      </c>
      <c r="H7" s="768"/>
      <c r="K7" s="220"/>
    </row>
    <row r="9" spans="1:12" ht="18" x14ac:dyDescent="0.2">
      <c r="A9" s="1810" t="s">
        <v>935</v>
      </c>
      <c r="B9" s="1810"/>
      <c r="C9" s="1810"/>
      <c r="D9" s="1810"/>
      <c r="E9" s="1810"/>
      <c r="F9" s="1810"/>
      <c r="G9" s="1810"/>
      <c r="H9" s="1810"/>
      <c r="I9" s="1810"/>
      <c r="J9" s="1810"/>
    </row>
    <row r="10" spans="1:12" ht="18" x14ac:dyDescent="0.2">
      <c r="A10" s="1810" t="s">
        <v>3</v>
      </c>
      <c r="B10" s="1810"/>
      <c r="C10" s="1810"/>
      <c r="D10" s="1810"/>
      <c r="E10" s="1810"/>
      <c r="F10" s="1810"/>
      <c r="G10" s="1810"/>
      <c r="H10" s="1810"/>
      <c r="I10" s="1810"/>
      <c r="J10" s="1810"/>
    </row>
    <row r="11" spans="1:12" ht="24" customHeight="1" x14ac:dyDescent="0.2">
      <c r="A11" s="1877" t="s">
        <v>814</v>
      </c>
      <c r="B11" s="1877"/>
      <c r="C11" s="1877"/>
      <c r="D11" s="1877"/>
      <c r="E11" s="1877"/>
      <c r="F11" s="1877"/>
      <c r="G11" s="1877"/>
      <c r="H11" s="1877"/>
      <c r="I11" s="922"/>
      <c r="J11" s="922"/>
      <c r="K11" s="922"/>
      <c r="L11" s="922"/>
    </row>
    <row r="12" spans="1:12" ht="15.75" customHeight="1" x14ac:dyDescent="0.25">
      <c r="A12" s="1005"/>
      <c r="B12" s="1008">
        <v>2014</v>
      </c>
      <c r="C12" s="1891" t="s">
        <v>931</v>
      </c>
      <c r="D12" s="1891"/>
      <c r="E12" s="1891"/>
      <c r="F12" s="1891"/>
      <c r="G12" s="1891"/>
      <c r="H12" s="1891"/>
    </row>
    <row r="13" spans="1:12" ht="13.5" thickBot="1" x14ac:dyDescent="0.25"/>
    <row r="14" spans="1:12" ht="62.25" customHeight="1" x14ac:dyDescent="0.2">
      <c r="A14" s="303" t="s">
        <v>4</v>
      </c>
      <c r="B14" s="1873" t="s">
        <v>346</v>
      </c>
      <c r="C14" s="221" t="s">
        <v>348</v>
      </c>
      <c r="D14" s="221" t="s">
        <v>530</v>
      </c>
      <c r="E14" s="221" t="s">
        <v>520</v>
      </c>
      <c r="F14" s="222" t="s">
        <v>791</v>
      </c>
      <c r="G14" s="1880" t="s">
        <v>792</v>
      </c>
      <c r="H14" s="222" t="s">
        <v>523</v>
      </c>
    </row>
    <row r="15" spans="1:12" ht="52.5" customHeight="1" thickBot="1" x14ac:dyDescent="0.25">
      <c r="A15" s="302"/>
      <c r="B15" s="1879"/>
      <c r="C15" s="294" t="s">
        <v>6</v>
      </c>
      <c r="D15" s="294" t="s">
        <v>9</v>
      </c>
      <c r="E15" s="294" t="s">
        <v>10</v>
      </c>
      <c r="F15" s="295" t="s">
        <v>793</v>
      </c>
      <c r="G15" s="1881"/>
      <c r="H15" s="296" t="s">
        <v>517</v>
      </c>
    </row>
    <row r="16" spans="1:12" ht="25.5" x14ac:dyDescent="0.2">
      <c r="A16" s="841">
        <v>1611</v>
      </c>
      <c r="B16" s="842" t="s">
        <v>515</v>
      </c>
      <c r="C16" s="204"/>
      <c r="D16" s="306"/>
      <c r="E16" s="592">
        <f t="shared" ref="E16:E55" si="0">IF(D16=0,0,1/D16)</f>
        <v>0</v>
      </c>
      <c r="F16" s="796">
        <f>IF(D16=0,'App.2-CP_NewCGAAP_DepExp_2013'!K16,+'App.2-CP_NewCGAAP_DepExp_2013'!K16+((C16*0.5)/D16))</f>
        <v>0</v>
      </c>
      <c r="G16" s="204"/>
      <c r="H16" s="796">
        <f t="shared" ref="H16:H55" si="1">IF(ISERROR(+F16-G16), 0, +F16-G16)</f>
        <v>0</v>
      </c>
    </row>
    <row r="17" spans="1:8" x14ac:dyDescent="0.2">
      <c r="A17" s="828">
        <v>1612</v>
      </c>
      <c r="B17" s="783" t="s">
        <v>650</v>
      </c>
      <c r="C17" s="204"/>
      <c r="D17" s="282"/>
      <c r="E17" s="586">
        <f t="shared" si="0"/>
        <v>0</v>
      </c>
      <c r="F17" s="796">
        <f>IF(D17=0,'App.2-CP_NewCGAAP_DepExp_2013'!K17,+'App.2-CP_NewCGAAP_DepExp_2013'!K17+((C17*0.5)/D17))</f>
        <v>0</v>
      </c>
      <c r="G17" s="204"/>
      <c r="H17" s="796">
        <f t="shared" si="1"/>
        <v>0</v>
      </c>
    </row>
    <row r="18" spans="1:8" x14ac:dyDescent="0.2">
      <c r="A18" s="829">
        <v>1805</v>
      </c>
      <c r="B18" s="786" t="s">
        <v>383</v>
      </c>
      <c r="C18" s="204"/>
      <c r="D18" s="282"/>
      <c r="E18" s="586">
        <f t="shared" si="0"/>
        <v>0</v>
      </c>
      <c r="F18" s="796">
        <f>IF(D18=0,'App.2-CP_NewCGAAP_DepExp_2013'!K18,+'App.2-CP_NewCGAAP_DepExp_2013'!K18+((C18*0.5)/D18))</f>
        <v>0</v>
      </c>
      <c r="G18" s="204"/>
      <c r="H18" s="796">
        <f t="shared" si="1"/>
        <v>0</v>
      </c>
    </row>
    <row r="19" spans="1:8" x14ac:dyDescent="0.2">
      <c r="A19" s="828">
        <v>1808</v>
      </c>
      <c r="B19" s="787" t="s">
        <v>384</v>
      </c>
      <c r="C19" s="204"/>
      <c r="D19" s="282"/>
      <c r="E19" s="586">
        <f t="shared" si="0"/>
        <v>0</v>
      </c>
      <c r="F19" s="796">
        <f>IF(D19=0,'App.2-CP_NewCGAAP_DepExp_2013'!K19,+'App.2-CP_NewCGAAP_DepExp_2013'!K19+((C19*0.5)/D19))</f>
        <v>0</v>
      </c>
      <c r="G19" s="204"/>
      <c r="H19" s="796">
        <f t="shared" si="1"/>
        <v>0</v>
      </c>
    </row>
    <row r="20" spans="1:8" x14ac:dyDescent="0.2">
      <c r="A20" s="828">
        <v>1810</v>
      </c>
      <c r="B20" s="787" t="s">
        <v>417</v>
      </c>
      <c r="C20" s="204"/>
      <c r="D20" s="282"/>
      <c r="E20" s="586">
        <f t="shared" si="0"/>
        <v>0</v>
      </c>
      <c r="F20" s="796">
        <f>IF(D20=0,'App.2-CP_NewCGAAP_DepExp_2013'!K20,+'App.2-CP_NewCGAAP_DepExp_2013'!K20+((C20*0.5)/D20))</f>
        <v>0</v>
      </c>
      <c r="G20" s="204"/>
      <c r="H20" s="796">
        <f t="shared" si="1"/>
        <v>0</v>
      </c>
    </row>
    <row r="21" spans="1:8" x14ac:dyDescent="0.2">
      <c r="A21" s="828">
        <v>1815</v>
      </c>
      <c r="B21" s="787" t="s">
        <v>385</v>
      </c>
      <c r="C21" s="204"/>
      <c r="D21" s="282"/>
      <c r="E21" s="586">
        <f t="shared" si="0"/>
        <v>0</v>
      </c>
      <c r="F21" s="796">
        <f>IF(D21=0,'App.2-CP_NewCGAAP_DepExp_2013'!K21,+'App.2-CP_NewCGAAP_DepExp_2013'!K21+((C21*0.5)/D21))</f>
        <v>0</v>
      </c>
      <c r="G21" s="204"/>
      <c r="H21" s="796">
        <f t="shared" si="1"/>
        <v>0</v>
      </c>
    </row>
    <row r="22" spans="1:8" x14ac:dyDescent="0.2">
      <c r="A22" s="828">
        <v>1820</v>
      </c>
      <c r="B22" s="783" t="s">
        <v>306</v>
      </c>
      <c r="C22" s="204"/>
      <c r="D22" s="282"/>
      <c r="E22" s="586">
        <f t="shared" si="0"/>
        <v>0</v>
      </c>
      <c r="F22" s="796">
        <f>IF(D22=0,'App.2-CP_NewCGAAP_DepExp_2013'!K22,+'App.2-CP_NewCGAAP_DepExp_2013'!K22+((C22*0.5)/D22))</f>
        <v>0</v>
      </c>
      <c r="G22" s="204"/>
      <c r="H22" s="796">
        <f t="shared" si="1"/>
        <v>0</v>
      </c>
    </row>
    <row r="23" spans="1:8" x14ac:dyDescent="0.2">
      <c r="A23" s="828">
        <v>1825</v>
      </c>
      <c r="B23" s="787" t="s">
        <v>386</v>
      </c>
      <c r="C23" s="204"/>
      <c r="D23" s="282"/>
      <c r="E23" s="586">
        <f t="shared" si="0"/>
        <v>0</v>
      </c>
      <c r="F23" s="796">
        <f>IF(D23=0,'App.2-CP_NewCGAAP_DepExp_2013'!K23,+'App.2-CP_NewCGAAP_DepExp_2013'!K23+((C23*0.5)/D23))</f>
        <v>0</v>
      </c>
      <c r="G23" s="204"/>
      <c r="H23" s="796">
        <f t="shared" si="1"/>
        <v>0</v>
      </c>
    </row>
    <row r="24" spans="1:8" x14ac:dyDescent="0.2">
      <c r="A24" s="828">
        <v>1830</v>
      </c>
      <c r="B24" s="787" t="s">
        <v>387</v>
      </c>
      <c r="C24" s="204"/>
      <c r="D24" s="282"/>
      <c r="E24" s="586">
        <f t="shared" si="0"/>
        <v>0</v>
      </c>
      <c r="F24" s="796">
        <f>IF(D24=0,'App.2-CP_NewCGAAP_DepExp_2013'!K24,+'App.2-CP_NewCGAAP_DepExp_2013'!K24+((C24*0.5)/D24))</f>
        <v>0</v>
      </c>
      <c r="G24" s="204"/>
      <c r="H24" s="796">
        <f t="shared" si="1"/>
        <v>0</v>
      </c>
    </row>
    <row r="25" spans="1:8" x14ac:dyDescent="0.2">
      <c r="A25" s="828">
        <v>1835</v>
      </c>
      <c r="B25" s="787" t="s">
        <v>307</v>
      </c>
      <c r="C25" s="204"/>
      <c r="D25" s="282"/>
      <c r="E25" s="586">
        <f t="shared" si="0"/>
        <v>0</v>
      </c>
      <c r="F25" s="796">
        <f>IF(D25=0,'App.2-CP_NewCGAAP_DepExp_2013'!K25,+'App.2-CP_NewCGAAP_DepExp_2013'!K25+((C25*0.5)/D25))</f>
        <v>0</v>
      </c>
      <c r="G25" s="204"/>
      <c r="H25" s="796">
        <f t="shared" si="1"/>
        <v>0</v>
      </c>
    </row>
    <row r="26" spans="1:8" x14ac:dyDescent="0.2">
      <c r="A26" s="828">
        <v>1840</v>
      </c>
      <c r="B26" s="787" t="s">
        <v>308</v>
      </c>
      <c r="C26" s="204"/>
      <c r="D26" s="282"/>
      <c r="E26" s="586">
        <f t="shared" si="0"/>
        <v>0</v>
      </c>
      <c r="F26" s="796">
        <f>IF(D26=0,'App.2-CP_NewCGAAP_DepExp_2013'!K26,+'App.2-CP_NewCGAAP_DepExp_2013'!K26+((C26*0.5)/D26))</f>
        <v>0</v>
      </c>
      <c r="G26" s="204"/>
      <c r="H26" s="796">
        <f t="shared" si="1"/>
        <v>0</v>
      </c>
    </row>
    <row r="27" spans="1:8" x14ac:dyDescent="0.2">
      <c r="A27" s="828">
        <v>1845</v>
      </c>
      <c r="B27" s="787" t="s">
        <v>309</v>
      </c>
      <c r="C27" s="204"/>
      <c r="D27" s="282"/>
      <c r="E27" s="586">
        <f t="shared" si="0"/>
        <v>0</v>
      </c>
      <c r="F27" s="796">
        <f>IF(D27=0,'App.2-CP_NewCGAAP_DepExp_2013'!K27,+'App.2-CP_NewCGAAP_DepExp_2013'!K27+((C27*0.5)/D27))</f>
        <v>0</v>
      </c>
      <c r="G27" s="204"/>
      <c r="H27" s="796">
        <f t="shared" si="1"/>
        <v>0</v>
      </c>
    </row>
    <row r="28" spans="1:8" x14ac:dyDescent="0.2">
      <c r="A28" s="828">
        <v>1850</v>
      </c>
      <c r="B28" s="787" t="s">
        <v>388</v>
      </c>
      <c r="C28" s="204"/>
      <c r="D28" s="282"/>
      <c r="E28" s="586">
        <f t="shared" si="0"/>
        <v>0</v>
      </c>
      <c r="F28" s="796">
        <f>IF(D28=0,'App.2-CP_NewCGAAP_DepExp_2013'!K28,+'App.2-CP_NewCGAAP_DepExp_2013'!K28+((C28*0.5)/D28))</f>
        <v>0</v>
      </c>
      <c r="G28" s="204"/>
      <c r="H28" s="796">
        <f t="shared" si="1"/>
        <v>0</v>
      </c>
    </row>
    <row r="29" spans="1:8" x14ac:dyDescent="0.2">
      <c r="A29" s="828">
        <v>1855</v>
      </c>
      <c r="B29" s="787" t="s">
        <v>310</v>
      </c>
      <c r="C29" s="204"/>
      <c r="D29" s="282"/>
      <c r="E29" s="586">
        <f t="shared" si="0"/>
        <v>0</v>
      </c>
      <c r="F29" s="796">
        <f>IF(D29=0,'App.2-CP_NewCGAAP_DepExp_2013'!K29,+'App.2-CP_NewCGAAP_DepExp_2013'!K29+((C29*0.5)/D29))</f>
        <v>0</v>
      </c>
      <c r="G29" s="204"/>
      <c r="H29" s="796">
        <f t="shared" si="1"/>
        <v>0</v>
      </c>
    </row>
    <row r="30" spans="1:8" x14ac:dyDescent="0.2">
      <c r="A30" s="828">
        <v>1860</v>
      </c>
      <c r="B30" s="787" t="s">
        <v>389</v>
      </c>
      <c r="C30" s="204"/>
      <c r="D30" s="282"/>
      <c r="E30" s="586">
        <f t="shared" si="0"/>
        <v>0</v>
      </c>
      <c r="F30" s="796">
        <f>IF(D30=0,'App.2-CP_NewCGAAP_DepExp_2013'!K30,+'App.2-CP_NewCGAAP_DepExp_2013'!K30+((C30*0.5)/D30))</f>
        <v>0</v>
      </c>
      <c r="G30" s="204"/>
      <c r="H30" s="796">
        <f t="shared" si="1"/>
        <v>0</v>
      </c>
    </row>
    <row r="31" spans="1:8" x14ac:dyDescent="0.2">
      <c r="A31" s="829">
        <v>1860</v>
      </c>
      <c r="B31" s="786" t="s">
        <v>311</v>
      </c>
      <c r="C31" s="204"/>
      <c r="D31" s="282"/>
      <c r="E31" s="586">
        <f t="shared" si="0"/>
        <v>0</v>
      </c>
      <c r="F31" s="796">
        <f>IF(D31=0,'App.2-CP_NewCGAAP_DepExp_2013'!K31,+'App.2-CP_NewCGAAP_DepExp_2013'!K31+((C31*0.5)/D31))</f>
        <v>0</v>
      </c>
      <c r="G31" s="204"/>
      <c r="H31" s="796">
        <f t="shared" si="1"/>
        <v>0</v>
      </c>
    </row>
    <row r="32" spans="1:8" x14ac:dyDescent="0.2">
      <c r="A32" s="829">
        <v>1905</v>
      </c>
      <c r="B32" s="786" t="s">
        <v>383</v>
      </c>
      <c r="C32" s="204"/>
      <c r="D32" s="282"/>
      <c r="E32" s="586">
        <f t="shared" si="0"/>
        <v>0</v>
      </c>
      <c r="F32" s="796">
        <f>IF(D32=0,'App.2-CP_NewCGAAP_DepExp_2013'!K32,+'App.2-CP_NewCGAAP_DepExp_2013'!K32+((C32*0.5)/D32))</f>
        <v>0</v>
      </c>
      <c r="G32" s="204"/>
      <c r="H32" s="796">
        <f t="shared" si="1"/>
        <v>0</v>
      </c>
    </row>
    <row r="33" spans="1:8" x14ac:dyDescent="0.2">
      <c r="A33" s="828">
        <v>1908</v>
      </c>
      <c r="B33" s="787" t="s">
        <v>391</v>
      </c>
      <c r="C33" s="204"/>
      <c r="D33" s="282"/>
      <c r="E33" s="586">
        <f t="shared" si="0"/>
        <v>0</v>
      </c>
      <c r="F33" s="796">
        <f>IF(D33=0,'App.2-CP_NewCGAAP_DepExp_2013'!K33,+'App.2-CP_NewCGAAP_DepExp_2013'!K33+((C33*0.5)/D33))</f>
        <v>0</v>
      </c>
      <c r="G33" s="204"/>
      <c r="H33" s="796">
        <f t="shared" si="1"/>
        <v>0</v>
      </c>
    </row>
    <row r="34" spans="1:8" x14ac:dyDescent="0.2">
      <c r="A34" s="828">
        <v>1910</v>
      </c>
      <c r="B34" s="787" t="s">
        <v>417</v>
      </c>
      <c r="C34" s="204"/>
      <c r="D34" s="282"/>
      <c r="E34" s="586">
        <f t="shared" si="0"/>
        <v>0</v>
      </c>
      <c r="F34" s="796">
        <f>IF(D34=0,'App.2-CP_NewCGAAP_DepExp_2013'!K34,+'App.2-CP_NewCGAAP_DepExp_2013'!K34+((C34*0.5)/D34))</f>
        <v>0</v>
      </c>
      <c r="G34" s="204"/>
      <c r="H34" s="796">
        <f t="shared" si="1"/>
        <v>0</v>
      </c>
    </row>
    <row r="35" spans="1:8" x14ac:dyDescent="0.2">
      <c r="A35" s="828">
        <v>1915</v>
      </c>
      <c r="B35" s="787" t="s">
        <v>312</v>
      </c>
      <c r="C35" s="204"/>
      <c r="D35" s="282"/>
      <c r="E35" s="586">
        <f t="shared" si="0"/>
        <v>0</v>
      </c>
      <c r="F35" s="796">
        <f>IF(D35=0,'App.2-CP_NewCGAAP_DepExp_2013'!K35,+'App.2-CP_NewCGAAP_DepExp_2013'!K35+((C35*0.5)/D35))</f>
        <v>0</v>
      </c>
      <c r="G35" s="204"/>
      <c r="H35" s="796">
        <f t="shared" si="1"/>
        <v>0</v>
      </c>
    </row>
    <row r="36" spans="1:8" x14ac:dyDescent="0.2">
      <c r="A36" s="828">
        <v>1915</v>
      </c>
      <c r="B36" s="787" t="s">
        <v>313</v>
      </c>
      <c r="C36" s="204"/>
      <c r="D36" s="282"/>
      <c r="E36" s="586">
        <f t="shared" si="0"/>
        <v>0</v>
      </c>
      <c r="F36" s="796">
        <f>IF(D36=0,'App.2-CP_NewCGAAP_DepExp_2013'!K36,+'App.2-CP_NewCGAAP_DepExp_2013'!K36+((C36*0.5)/D36))</f>
        <v>0</v>
      </c>
      <c r="G36" s="204"/>
      <c r="H36" s="796">
        <f t="shared" si="1"/>
        <v>0</v>
      </c>
    </row>
    <row r="37" spans="1:8" x14ac:dyDescent="0.2">
      <c r="A37" s="828">
        <v>1920</v>
      </c>
      <c r="B37" s="787" t="s">
        <v>314</v>
      </c>
      <c r="C37" s="204"/>
      <c r="D37" s="282"/>
      <c r="E37" s="586">
        <f t="shared" si="0"/>
        <v>0</v>
      </c>
      <c r="F37" s="796">
        <f>IF(D37=0,'App.2-CP_NewCGAAP_DepExp_2013'!K37,+'App.2-CP_NewCGAAP_DepExp_2013'!K37+((C37*0.5)/D37))</f>
        <v>0</v>
      </c>
      <c r="G37" s="204"/>
      <c r="H37" s="796">
        <f t="shared" si="1"/>
        <v>0</v>
      </c>
    </row>
    <row r="38" spans="1:8" x14ac:dyDescent="0.2">
      <c r="A38" s="830">
        <v>1920</v>
      </c>
      <c r="B38" s="783" t="s">
        <v>316</v>
      </c>
      <c r="C38" s="204"/>
      <c r="D38" s="282"/>
      <c r="E38" s="586">
        <f t="shared" si="0"/>
        <v>0</v>
      </c>
      <c r="F38" s="796">
        <f>IF(D38=0,'App.2-CP_NewCGAAP_DepExp_2013'!K38,+'App.2-CP_NewCGAAP_DepExp_2013'!K38+((C38*0.5)/D38))</f>
        <v>0</v>
      </c>
      <c r="G38" s="204"/>
      <c r="H38" s="796">
        <f t="shared" si="1"/>
        <v>0</v>
      </c>
    </row>
    <row r="39" spans="1:8" x14ac:dyDescent="0.2">
      <c r="A39" s="830">
        <v>1920</v>
      </c>
      <c r="B39" s="783" t="s">
        <v>315</v>
      </c>
      <c r="C39" s="204"/>
      <c r="D39" s="282"/>
      <c r="E39" s="586">
        <f t="shared" si="0"/>
        <v>0</v>
      </c>
      <c r="F39" s="796">
        <f>IF(D39=0,'App.2-CP_NewCGAAP_DepExp_2013'!K39,+'App.2-CP_NewCGAAP_DepExp_2013'!K39+((C39*0.5)/D39))</f>
        <v>0</v>
      </c>
      <c r="G39" s="204"/>
      <c r="H39" s="796">
        <f t="shared" si="1"/>
        <v>0</v>
      </c>
    </row>
    <row r="40" spans="1:8" x14ac:dyDescent="0.2">
      <c r="A40" s="828">
        <v>1930</v>
      </c>
      <c r="B40" s="787" t="s">
        <v>404</v>
      </c>
      <c r="C40" s="204"/>
      <c r="D40" s="282"/>
      <c r="E40" s="586">
        <f t="shared" si="0"/>
        <v>0</v>
      </c>
      <c r="F40" s="796">
        <f>IF(D40=0,'App.2-CP_NewCGAAP_DepExp_2013'!K40,+'App.2-CP_NewCGAAP_DepExp_2013'!K40+((C40*0.5)/D40))</f>
        <v>0</v>
      </c>
      <c r="G40" s="204"/>
      <c r="H40" s="796">
        <f t="shared" si="1"/>
        <v>0</v>
      </c>
    </row>
    <row r="41" spans="1:8" x14ac:dyDescent="0.2">
      <c r="A41" s="828">
        <v>1935</v>
      </c>
      <c r="B41" s="787" t="s">
        <v>405</v>
      </c>
      <c r="C41" s="204"/>
      <c r="D41" s="282"/>
      <c r="E41" s="586">
        <f t="shared" si="0"/>
        <v>0</v>
      </c>
      <c r="F41" s="796">
        <f>IF(D41=0,'App.2-CP_NewCGAAP_DepExp_2013'!K41,+'App.2-CP_NewCGAAP_DepExp_2013'!K41+((C41*0.5)/D41))</f>
        <v>0</v>
      </c>
      <c r="G41" s="204"/>
      <c r="H41" s="796">
        <f t="shared" si="1"/>
        <v>0</v>
      </c>
    </row>
    <row r="42" spans="1:8" x14ac:dyDescent="0.2">
      <c r="A42" s="828">
        <v>1940</v>
      </c>
      <c r="B42" s="787" t="s">
        <v>406</v>
      </c>
      <c r="C42" s="204"/>
      <c r="D42" s="282"/>
      <c r="E42" s="586">
        <f t="shared" si="0"/>
        <v>0</v>
      </c>
      <c r="F42" s="796">
        <f>IF(D42=0,'App.2-CP_NewCGAAP_DepExp_2013'!K42,+'App.2-CP_NewCGAAP_DepExp_2013'!K42+((C42*0.5)/D42))</f>
        <v>0</v>
      </c>
      <c r="G42" s="204"/>
      <c r="H42" s="796">
        <f t="shared" si="1"/>
        <v>0</v>
      </c>
    </row>
    <row r="43" spans="1:8" x14ac:dyDescent="0.2">
      <c r="A43" s="828">
        <v>1945</v>
      </c>
      <c r="B43" s="787" t="s">
        <v>407</v>
      </c>
      <c r="C43" s="204"/>
      <c r="D43" s="282"/>
      <c r="E43" s="586">
        <f t="shared" si="0"/>
        <v>0</v>
      </c>
      <c r="F43" s="796">
        <f>IF(D43=0,'App.2-CP_NewCGAAP_DepExp_2013'!K43,+'App.2-CP_NewCGAAP_DepExp_2013'!K43+((C43*0.5)/D43))</f>
        <v>0</v>
      </c>
      <c r="G43" s="204"/>
      <c r="H43" s="796">
        <f t="shared" si="1"/>
        <v>0</v>
      </c>
    </row>
    <row r="44" spans="1:8" x14ac:dyDescent="0.2">
      <c r="A44" s="828">
        <v>1950</v>
      </c>
      <c r="B44" s="787" t="s">
        <v>317</v>
      </c>
      <c r="C44" s="204"/>
      <c r="D44" s="282"/>
      <c r="E44" s="586">
        <f t="shared" si="0"/>
        <v>0</v>
      </c>
      <c r="F44" s="796">
        <f>IF(D44=0,'App.2-CP_NewCGAAP_DepExp_2013'!K44,+'App.2-CP_NewCGAAP_DepExp_2013'!K44+((C44*0.5)/D44))</f>
        <v>0</v>
      </c>
      <c r="G44" s="204"/>
      <c r="H44" s="796">
        <f t="shared" si="1"/>
        <v>0</v>
      </c>
    </row>
    <row r="45" spans="1:8" x14ac:dyDescent="0.2">
      <c r="A45" s="828">
        <v>1955</v>
      </c>
      <c r="B45" s="787" t="s">
        <v>408</v>
      </c>
      <c r="C45" s="204"/>
      <c r="D45" s="282"/>
      <c r="E45" s="586">
        <f t="shared" si="0"/>
        <v>0</v>
      </c>
      <c r="F45" s="796">
        <f>IF(D45=0,'App.2-CP_NewCGAAP_DepExp_2013'!K45,+'App.2-CP_NewCGAAP_DepExp_2013'!K45+((C45*0.5)/D45))</f>
        <v>0</v>
      </c>
      <c r="G45" s="204"/>
      <c r="H45" s="796">
        <f t="shared" si="1"/>
        <v>0</v>
      </c>
    </row>
    <row r="46" spans="1:8" x14ac:dyDescent="0.2">
      <c r="A46" s="831">
        <v>1955</v>
      </c>
      <c r="B46" s="790" t="s">
        <v>318</v>
      </c>
      <c r="C46" s="204"/>
      <c r="D46" s="282"/>
      <c r="E46" s="586">
        <f t="shared" si="0"/>
        <v>0</v>
      </c>
      <c r="F46" s="796">
        <f>IF(D46=0,'App.2-CP_NewCGAAP_DepExp_2013'!K46,+'App.2-CP_NewCGAAP_DepExp_2013'!K46+((C46*0.5)/D46))</f>
        <v>0</v>
      </c>
      <c r="G46" s="204"/>
      <c r="H46" s="796">
        <f t="shared" si="1"/>
        <v>0</v>
      </c>
    </row>
    <row r="47" spans="1:8" x14ac:dyDescent="0.2">
      <c r="A47" s="830">
        <v>1960</v>
      </c>
      <c r="B47" s="783" t="s">
        <v>319</v>
      </c>
      <c r="C47" s="204"/>
      <c r="D47" s="282"/>
      <c r="E47" s="586">
        <f t="shared" si="0"/>
        <v>0</v>
      </c>
      <c r="F47" s="796">
        <f>IF(D47=0,'App.2-CP_NewCGAAP_DepExp_2013'!K47,+'App.2-CP_NewCGAAP_DepExp_2013'!K47+((C47*0.5)/D47))</f>
        <v>0</v>
      </c>
      <c r="G47" s="204"/>
      <c r="H47" s="796">
        <f t="shared" si="1"/>
        <v>0</v>
      </c>
    </row>
    <row r="48" spans="1:8" x14ac:dyDescent="0.2">
      <c r="A48" s="830">
        <v>1970</v>
      </c>
      <c r="B48" s="900" t="s">
        <v>929</v>
      </c>
      <c r="C48" s="204"/>
      <c r="D48" s="282"/>
      <c r="E48" s="586">
        <f t="shared" si="0"/>
        <v>0</v>
      </c>
      <c r="F48" s="796">
        <f>IF(D48=0,'App.2-CP_NewCGAAP_DepExp_2013'!K48,+'App.2-CP_NewCGAAP_DepExp_2013'!K48+((C48*0.5)/D48))</f>
        <v>0</v>
      </c>
      <c r="G48" s="204"/>
      <c r="H48" s="796">
        <f t="shared" si="1"/>
        <v>0</v>
      </c>
    </row>
    <row r="49" spans="1:10" x14ac:dyDescent="0.2">
      <c r="A49" s="828">
        <v>1975</v>
      </c>
      <c r="B49" s="787" t="s">
        <v>409</v>
      </c>
      <c r="C49" s="204"/>
      <c r="D49" s="282"/>
      <c r="E49" s="586">
        <f t="shared" si="0"/>
        <v>0</v>
      </c>
      <c r="F49" s="796">
        <f>IF(D49=0,'App.2-CP_NewCGAAP_DepExp_2013'!K49,+'App.2-CP_NewCGAAP_DepExp_2013'!K49+((C49*0.5)/D49))</f>
        <v>0</v>
      </c>
      <c r="G49" s="204"/>
      <c r="H49" s="796">
        <f t="shared" si="1"/>
        <v>0</v>
      </c>
    </row>
    <row r="50" spans="1:10" x14ac:dyDescent="0.2">
      <c r="A50" s="828">
        <v>1980</v>
      </c>
      <c r="B50" s="787" t="s">
        <v>410</v>
      </c>
      <c r="C50" s="204"/>
      <c r="D50" s="282"/>
      <c r="E50" s="586">
        <f t="shared" si="0"/>
        <v>0</v>
      </c>
      <c r="F50" s="796">
        <f>IF(D50=0,'App.2-CP_NewCGAAP_DepExp_2013'!K50,+'App.2-CP_NewCGAAP_DepExp_2013'!K50+((C50*0.5)/D50))</f>
        <v>0</v>
      </c>
      <c r="G50" s="204"/>
      <c r="H50" s="796">
        <f t="shared" si="1"/>
        <v>0</v>
      </c>
    </row>
    <row r="51" spans="1:10" x14ac:dyDescent="0.2">
      <c r="A51" s="828">
        <v>1985</v>
      </c>
      <c r="B51" s="787" t="s">
        <v>411</v>
      </c>
      <c r="C51" s="204"/>
      <c r="D51" s="282"/>
      <c r="E51" s="586">
        <f t="shared" si="0"/>
        <v>0</v>
      </c>
      <c r="F51" s="796">
        <f>IF(D51=0,'App.2-CP_NewCGAAP_DepExp_2013'!K51,+'App.2-CP_NewCGAAP_DepExp_2013'!K51+((C51*0.5)/D51))</f>
        <v>0</v>
      </c>
      <c r="G51" s="204"/>
      <c r="H51" s="796">
        <f t="shared" si="1"/>
        <v>0</v>
      </c>
    </row>
    <row r="52" spans="1:10" x14ac:dyDescent="0.2">
      <c r="A52" s="828">
        <v>1990</v>
      </c>
      <c r="B52" s="791" t="s">
        <v>774</v>
      </c>
      <c r="C52" s="204"/>
      <c r="D52" s="282"/>
      <c r="E52" s="586">
        <f t="shared" si="0"/>
        <v>0</v>
      </c>
      <c r="F52" s="796">
        <f>IF(D52=0,'App.2-CP_NewCGAAP_DepExp_2013'!K52,+'App.2-CP_NewCGAAP_DepExp_2013'!K52+((C52*0.5)/D52))</f>
        <v>0</v>
      </c>
      <c r="G52" s="204"/>
      <c r="H52" s="796">
        <f t="shared" si="1"/>
        <v>0</v>
      </c>
    </row>
    <row r="53" spans="1:10" x14ac:dyDescent="0.2">
      <c r="A53" s="828">
        <v>1995</v>
      </c>
      <c r="B53" s="787" t="s">
        <v>412</v>
      </c>
      <c r="C53" s="204"/>
      <c r="D53" s="282"/>
      <c r="E53" s="586">
        <f t="shared" si="0"/>
        <v>0</v>
      </c>
      <c r="F53" s="796">
        <f>IF(D53=0,'App.2-CP_NewCGAAP_DepExp_2013'!K53,+'App.2-CP_NewCGAAP_DepExp_2013'!K53+((C53*0.5)/D53))</f>
        <v>0</v>
      </c>
      <c r="G53" s="204"/>
      <c r="H53" s="796">
        <f t="shared" si="1"/>
        <v>0</v>
      </c>
    </row>
    <row r="54" spans="1:10" x14ac:dyDescent="0.2">
      <c r="A54" s="227" t="s">
        <v>13</v>
      </c>
      <c r="B54" s="228"/>
      <c r="C54" s="204"/>
      <c r="D54" s="282"/>
      <c r="E54" s="586">
        <f t="shared" si="0"/>
        <v>0</v>
      </c>
      <c r="F54" s="796">
        <f>IF(D54=0,'App.2-CP_NewCGAAP_DepExp_2013'!K54,+'App.2-CP_NewCGAAP_DepExp_2013'!K54+((C54*0.5)/D54))</f>
        <v>0</v>
      </c>
      <c r="G54" s="204"/>
      <c r="H54" s="796">
        <f t="shared" si="1"/>
        <v>0</v>
      </c>
    </row>
    <row r="55" spans="1:10" ht="13.5" thickBot="1" x14ac:dyDescent="0.25">
      <c r="A55" s="229"/>
      <c r="B55" s="230"/>
      <c r="C55" s="204"/>
      <c r="D55" s="283"/>
      <c r="E55" s="593">
        <f t="shared" si="0"/>
        <v>0</v>
      </c>
      <c r="F55" s="796">
        <f>IF(D55=0,'App.2-CP_NewCGAAP_DepExp_2013'!K55,+'App.2-CP_NewCGAAP_DepExp_2013'!K55+((C55*0.5)/D55))</f>
        <v>0</v>
      </c>
      <c r="G55" s="204"/>
      <c r="H55" s="796">
        <f t="shared" si="1"/>
        <v>0</v>
      </c>
    </row>
    <row r="56" spans="1:10" ht="14.25" thickTop="1" thickBot="1" x14ac:dyDescent="0.25">
      <c r="A56" s="231"/>
      <c r="B56" s="232" t="s">
        <v>413</v>
      </c>
      <c r="C56" s="796">
        <f>SUM(C16:C55)</f>
        <v>0</v>
      </c>
      <c r="D56" s="234"/>
      <c r="E56" s="233"/>
      <c r="F56" s="796">
        <f>SUM(F16:F55)</f>
        <v>0</v>
      </c>
      <c r="G56" s="796">
        <f>SUM(G16:G55)</f>
        <v>0</v>
      </c>
      <c r="H56" s="796">
        <f>SUM(H16:H55)</f>
        <v>0</v>
      </c>
    </row>
    <row r="57" spans="1:10" ht="27" customHeight="1" x14ac:dyDescent="0.2">
      <c r="B57" s="1869" t="s">
        <v>534</v>
      </c>
      <c r="C57" s="1869"/>
      <c r="D57" s="1869"/>
      <c r="E57" s="1884"/>
      <c r="F57" s="796">
        <f>+F56</f>
        <v>0</v>
      </c>
    </row>
    <row r="58" spans="1:10" x14ac:dyDescent="0.2">
      <c r="A58" s="217" t="s">
        <v>15</v>
      </c>
      <c r="B58" s="236"/>
      <c r="C58" s="236"/>
      <c r="D58" s="236"/>
      <c r="E58" s="236"/>
      <c r="F58" s="236"/>
      <c r="G58" s="236"/>
      <c r="H58" s="236"/>
    </row>
    <row r="59" spans="1:10" ht="27" customHeight="1" x14ac:dyDescent="0.2">
      <c r="A59" s="301">
        <v>1</v>
      </c>
      <c r="B59" s="1790" t="s">
        <v>607</v>
      </c>
      <c r="C59" s="1790"/>
      <c r="D59" s="1790"/>
      <c r="E59" s="1790"/>
      <c r="F59" s="1790"/>
      <c r="G59" s="1790"/>
      <c r="H59" s="1790"/>
      <c r="I59" s="1006"/>
      <c r="J59" s="1006"/>
    </row>
    <row r="60" spans="1:10" ht="12.75" customHeight="1" x14ac:dyDescent="0.2">
      <c r="A60" s="284">
        <v>2</v>
      </c>
      <c r="B60" s="1790" t="s">
        <v>1934</v>
      </c>
      <c r="C60" s="1790"/>
      <c r="D60" s="1790"/>
      <c r="E60" s="1790"/>
      <c r="F60" s="1790"/>
      <c r="G60" s="1790"/>
      <c r="H60" s="1790"/>
      <c r="I60" s="1790"/>
      <c r="J60" s="1790"/>
    </row>
    <row r="61" spans="1:10" ht="27.75" customHeight="1" x14ac:dyDescent="0.2">
      <c r="A61" s="284"/>
      <c r="B61" s="1790"/>
      <c r="C61" s="1790"/>
      <c r="D61" s="1790"/>
      <c r="E61" s="1790"/>
      <c r="F61" s="1790"/>
      <c r="G61" s="1790"/>
      <c r="H61" s="1790"/>
      <c r="I61" s="1790"/>
      <c r="J61" s="1790"/>
    </row>
    <row r="62" spans="1:10" ht="12.75" customHeight="1" x14ac:dyDescent="0.2">
      <c r="A62" s="217" t="s">
        <v>325</v>
      </c>
      <c r="B62" s="1869" t="s">
        <v>270</v>
      </c>
      <c r="C62" s="1869"/>
      <c r="D62" s="1869"/>
      <c r="E62" s="1869"/>
      <c r="F62" s="1869"/>
      <c r="G62" s="1869"/>
      <c r="H62" s="1869"/>
      <c r="I62" s="1007"/>
      <c r="J62" s="1007"/>
    </row>
    <row r="63" spans="1:10" ht="27" customHeight="1" x14ac:dyDescent="0.2">
      <c r="A63" s="236"/>
      <c r="B63" s="1869"/>
      <c r="C63" s="1869"/>
      <c r="D63" s="1869"/>
      <c r="E63" s="1869"/>
      <c r="F63" s="1869"/>
      <c r="G63" s="1869"/>
      <c r="H63" s="1869"/>
      <c r="I63" s="1007"/>
      <c r="J63" s="1007"/>
    </row>
    <row r="64" spans="1:10" ht="27" customHeight="1" x14ac:dyDescent="0.2">
      <c r="A64" s="236"/>
      <c r="I64" s="686"/>
      <c r="J64" s="686"/>
    </row>
    <row r="65" spans="1:12" x14ac:dyDescent="0.2">
      <c r="K65" s="304"/>
      <c r="L65" s="304"/>
    </row>
    <row r="66" spans="1:12" ht="23.25" customHeight="1" x14ac:dyDescent="0.2">
      <c r="K66" s="304"/>
      <c r="L66" s="304"/>
    </row>
    <row r="67" spans="1:12" x14ac:dyDescent="0.2">
      <c r="A67" s="236"/>
      <c r="I67" s="304"/>
      <c r="J67" s="304"/>
      <c r="K67" s="304"/>
      <c r="L67" s="304"/>
    </row>
    <row r="68" spans="1:12" x14ac:dyDescent="0.2">
      <c r="A68" s="684"/>
      <c r="B68" s="684"/>
      <c r="C68" s="684"/>
      <c r="D68" s="684"/>
      <c r="E68" s="684"/>
      <c r="F68" s="236"/>
      <c r="G68" s="236"/>
      <c r="H68" s="236"/>
    </row>
  </sheetData>
  <mergeCells count="11">
    <mergeCell ref="A11:H11"/>
    <mergeCell ref="C12:H12"/>
    <mergeCell ref="A9:J9"/>
    <mergeCell ref="A10:J10"/>
    <mergeCell ref="B14:B15"/>
    <mergeCell ref="G14:G15"/>
    <mergeCell ref="B61:J61"/>
    <mergeCell ref="B62:H63"/>
    <mergeCell ref="B59:H59"/>
    <mergeCell ref="B60:J60"/>
    <mergeCell ref="B57:E57"/>
  </mergeCells>
  <dataValidations count="1">
    <dataValidation allowBlank="1" showInputMessage="1" showErrorMessage="1" promptTitle="Date Format" prompt="E.g:  &quot;August 1, 2011&quot;" sqref="WVP983050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dataValidations>
  <printOptions horizontalCentered="1"/>
  <pageMargins left="0.74803149606299213" right="0.74803149606299213" top="0.70866141732283472" bottom="0.39370078740157483" header="0.39370078740157483" footer="0.27559055118110237"/>
  <pageSetup scale="5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N79"/>
  <sheetViews>
    <sheetView showGridLines="0" zoomScaleNormal="100" workbookViewId="0">
      <selection activeCell="K2" sqref="K2"/>
    </sheetView>
  </sheetViews>
  <sheetFormatPr defaultRowHeight="12.75" x14ac:dyDescent="0.2"/>
  <cols>
    <col min="1" max="1" width="9.140625" style="216"/>
    <col min="2" max="2" width="40.28515625" style="216" bestFit="1" customWidth="1"/>
    <col min="3" max="5" width="13" style="216" customWidth="1"/>
    <col min="6" max="6" width="10" style="216" customWidth="1"/>
    <col min="7" max="7" width="17.85546875" style="216" customWidth="1"/>
    <col min="8" max="8" width="7.7109375" style="216" customWidth="1"/>
    <col min="9" max="9" width="12.28515625" style="216" customWidth="1"/>
    <col min="10" max="10" width="12.7109375" style="216" customWidth="1"/>
    <col min="11" max="11" width="16.85546875" style="216" customWidth="1"/>
    <col min="12" max="12" width="13" style="216" customWidth="1"/>
    <col min="13" max="257" width="9.140625" style="216"/>
    <col min="258" max="258" width="2.7109375" style="216" customWidth="1"/>
    <col min="259" max="259" width="9.140625" style="216"/>
    <col min="260" max="260" width="40.28515625" style="216" bestFit="1" customWidth="1"/>
    <col min="261" max="261" width="10.7109375" style="216" customWidth="1"/>
    <col min="262" max="262" width="10" style="216" customWidth="1"/>
    <col min="263" max="263" width="17.85546875" style="216" customWidth="1"/>
    <col min="264" max="264" width="7.7109375" style="216" customWidth="1"/>
    <col min="265" max="265" width="12.28515625" style="216" customWidth="1"/>
    <col min="266" max="266" width="12.7109375" style="216" customWidth="1"/>
    <col min="267" max="267" width="13.5703125" style="216" customWidth="1"/>
    <col min="268" max="268" width="13" style="216" customWidth="1"/>
    <col min="269" max="513" width="9.140625" style="216"/>
    <col min="514" max="514" width="2.7109375" style="216" customWidth="1"/>
    <col min="515" max="515" width="9.140625" style="216"/>
    <col min="516" max="516" width="40.28515625" style="216" bestFit="1" customWidth="1"/>
    <col min="517" max="517" width="10.7109375" style="216" customWidth="1"/>
    <col min="518" max="518" width="10" style="216" customWidth="1"/>
    <col min="519" max="519" width="17.85546875" style="216" customWidth="1"/>
    <col min="520" max="520" width="7.7109375" style="216" customWidth="1"/>
    <col min="521" max="521" width="12.28515625" style="216" customWidth="1"/>
    <col min="522" max="522" width="12.7109375" style="216" customWidth="1"/>
    <col min="523" max="523" width="13.5703125" style="216" customWidth="1"/>
    <col min="524" max="524" width="13" style="216" customWidth="1"/>
    <col min="525" max="769" width="9.140625" style="216"/>
    <col min="770" max="770" width="2.7109375" style="216" customWidth="1"/>
    <col min="771" max="771" width="9.140625" style="216"/>
    <col min="772" max="772" width="40.28515625" style="216" bestFit="1" customWidth="1"/>
    <col min="773" max="773" width="10.7109375" style="216" customWidth="1"/>
    <col min="774" max="774" width="10" style="216" customWidth="1"/>
    <col min="775" max="775" width="17.85546875" style="216" customWidth="1"/>
    <col min="776" max="776" width="7.7109375" style="216" customWidth="1"/>
    <col min="777" max="777" width="12.28515625" style="216" customWidth="1"/>
    <col min="778" max="778" width="12.7109375" style="216" customWidth="1"/>
    <col min="779" max="779" width="13.5703125" style="216" customWidth="1"/>
    <col min="780" max="780" width="13" style="216" customWidth="1"/>
    <col min="781" max="1025" width="9.140625" style="216"/>
    <col min="1026" max="1026" width="2.7109375" style="216" customWidth="1"/>
    <col min="1027" max="1027" width="9.140625" style="216"/>
    <col min="1028" max="1028" width="40.28515625" style="216" bestFit="1" customWidth="1"/>
    <col min="1029" max="1029" width="10.7109375" style="216" customWidth="1"/>
    <col min="1030" max="1030" width="10" style="216" customWidth="1"/>
    <col min="1031" max="1031" width="17.85546875" style="216" customWidth="1"/>
    <col min="1032" max="1032" width="7.7109375" style="216" customWidth="1"/>
    <col min="1033" max="1033" width="12.28515625" style="216" customWidth="1"/>
    <col min="1034" max="1034" width="12.7109375" style="216" customWidth="1"/>
    <col min="1035" max="1035" width="13.5703125" style="216" customWidth="1"/>
    <col min="1036" max="1036" width="13" style="216" customWidth="1"/>
    <col min="1037" max="1281" width="9.140625" style="216"/>
    <col min="1282" max="1282" width="2.7109375" style="216" customWidth="1"/>
    <col min="1283" max="1283" width="9.140625" style="216"/>
    <col min="1284" max="1284" width="40.28515625" style="216" bestFit="1" customWidth="1"/>
    <col min="1285" max="1285" width="10.7109375" style="216" customWidth="1"/>
    <col min="1286" max="1286" width="10" style="216" customWidth="1"/>
    <col min="1287" max="1287" width="17.85546875" style="216" customWidth="1"/>
    <col min="1288" max="1288" width="7.7109375" style="216" customWidth="1"/>
    <col min="1289" max="1289" width="12.28515625" style="216" customWidth="1"/>
    <col min="1290" max="1290" width="12.7109375" style="216" customWidth="1"/>
    <col min="1291" max="1291" width="13.5703125" style="216" customWidth="1"/>
    <col min="1292" max="1292" width="13" style="216" customWidth="1"/>
    <col min="1293" max="1537" width="9.140625" style="216"/>
    <col min="1538" max="1538" width="2.7109375" style="216" customWidth="1"/>
    <col min="1539" max="1539" width="9.140625" style="216"/>
    <col min="1540" max="1540" width="40.28515625" style="216" bestFit="1" customWidth="1"/>
    <col min="1541" max="1541" width="10.7109375" style="216" customWidth="1"/>
    <col min="1542" max="1542" width="10" style="216" customWidth="1"/>
    <col min="1543" max="1543" width="17.85546875" style="216" customWidth="1"/>
    <col min="1544" max="1544" width="7.7109375" style="216" customWidth="1"/>
    <col min="1545" max="1545" width="12.28515625" style="216" customWidth="1"/>
    <col min="1546" max="1546" width="12.7109375" style="216" customWidth="1"/>
    <col min="1547" max="1547" width="13.5703125" style="216" customWidth="1"/>
    <col min="1548" max="1548" width="13" style="216" customWidth="1"/>
    <col min="1549" max="1793" width="9.140625" style="216"/>
    <col min="1794" max="1794" width="2.7109375" style="216" customWidth="1"/>
    <col min="1795" max="1795" width="9.140625" style="216"/>
    <col min="1796" max="1796" width="40.28515625" style="216" bestFit="1" customWidth="1"/>
    <col min="1797" max="1797" width="10.7109375" style="216" customWidth="1"/>
    <col min="1798" max="1798" width="10" style="216" customWidth="1"/>
    <col min="1799" max="1799" width="17.85546875" style="216" customWidth="1"/>
    <col min="1800" max="1800" width="7.7109375" style="216" customWidth="1"/>
    <col min="1801" max="1801" width="12.28515625" style="216" customWidth="1"/>
    <col min="1802" max="1802" width="12.7109375" style="216" customWidth="1"/>
    <col min="1803" max="1803" width="13.5703125" style="216" customWidth="1"/>
    <col min="1804" max="1804" width="13" style="216" customWidth="1"/>
    <col min="1805" max="2049" width="9.140625" style="216"/>
    <col min="2050" max="2050" width="2.7109375" style="216" customWidth="1"/>
    <col min="2051" max="2051" width="9.140625" style="216"/>
    <col min="2052" max="2052" width="40.28515625" style="216" bestFit="1" customWidth="1"/>
    <col min="2053" max="2053" width="10.7109375" style="216" customWidth="1"/>
    <col min="2054" max="2054" width="10" style="216" customWidth="1"/>
    <col min="2055" max="2055" width="17.85546875" style="216" customWidth="1"/>
    <col min="2056" max="2056" width="7.7109375" style="216" customWidth="1"/>
    <col min="2057" max="2057" width="12.28515625" style="216" customWidth="1"/>
    <col min="2058" max="2058" width="12.7109375" style="216" customWidth="1"/>
    <col min="2059" max="2059" width="13.5703125" style="216" customWidth="1"/>
    <col min="2060" max="2060" width="13" style="216" customWidth="1"/>
    <col min="2061" max="2305" width="9.140625" style="216"/>
    <col min="2306" max="2306" width="2.7109375" style="216" customWidth="1"/>
    <col min="2307" max="2307" width="9.140625" style="216"/>
    <col min="2308" max="2308" width="40.28515625" style="216" bestFit="1" customWidth="1"/>
    <col min="2309" max="2309" width="10.7109375" style="216" customWidth="1"/>
    <col min="2310" max="2310" width="10" style="216" customWidth="1"/>
    <col min="2311" max="2311" width="17.85546875" style="216" customWidth="1"/>
    <col min="2312" max="2312" width="7.7109375" style="216" customWidth="1"/>
    <col min="2313" max="2313" width="12.28515625" style="216" customWidth="1"/>
    <col min="2314" max="2314" width="12.7109375" style="216" customWidth="1"/>
    <col min="2315" max="2315" width="13.5703125" style="216" customWidth="1"/>
    <col min="2316" max="2316" width="13" style="216" customWidth="1"/>
    <col min="2317" max="2561" width="9.140625" style="216"/>
    <col min="2562" max="2562" width="2.7109375" style="216" customWidth="1"/>
    <col min="2563" max="2563" width="9.140625" style="216"/>
    <col min="2564" max="2564" width="40.28515625" style="216" bestFit="1" customWidth="1"/>
    <col min="2565" max="2565" width="10.7109375" style="216" customWidth="1"/>
    <col min="2566" max="2566" width="10" style="216" customWidth="1"/>
    <col min="2567" max="2567" width="17.85546875" style="216" customWidth="1"/>
    <col min="2568" max="2568" width="7.7109375" style="216" customWidth="1"/>
    <col min="2569" max="2569" width="12.28515625" style="216" customWidth="1"/>
    <col min="2570" max="2570" width="12.7109375" style="216" customWidth="1"/>
    <col min="2571" max="2571" width="13.5703125" style="216" customWidth="1"/>
    <col min="2572" max="2572" width="13" style="216" customWidth="1"/>
    <col min="2573" max="2817" width="9.140625" style="216"/>
    <col min="2818" max="2818" width="2.7109375" style="216" customWidth="1"/>
    <col min="2819" max="2819" width="9.140625" style="216"/>
    <col min="2820" max="2820" width="40.28515625" style="216" bestFit="1" customWidth="1"/>
    <col min="2821" max="2821" width="10.7109375" style="216" customWidth="1"/>
    <col min="2822" max="2822" width="10" style="216" customWidth="1"/>
    <col min="2823" max="2823" width="17.85546875" style="216" customWidth="1"/>
    <col min="2824" max="2824" width="7.7109375" style="216" customWidth="1"/>
    <col min="2825" max="2825" width="12.28515625" style="216" customWidth="1"/>
    <col min="2826" max="2826" width="12.7109375" style="216" customWidth="1"/>
    <col min="2827" max="2827" width="13.5703125" style="216" customWidth="1"/>
    <col min="2828" max="2828" width="13" style="216" customWidth="1"/>
    <col min="2829" max="3073" width="9.140625" style="216"/>
    <col min="3074" max="3074" width="2.7109375" style="216" customWidth="1"/>
    <col min="3075" max="3075" width="9.140625" style="216"/>
    <col min="3076" max="3076" width="40.28515625" style="216" bestFit="1" customWidth="1"/>
    <col min="3077" max="3077" width="10.7109375" style="216" customWidth="1"/>
    <col min="3078" max="3078" width="10" style="216" customWidth="1"/>
    <col min="3079" max="3079" width="17.85546875" style="216" customWidth="1"/>
    <col min="3080" max="3080" width="7.7109375" style="216" customWidth="1"/>
    <col min="3081" max="3081" width="12.28515625" style="216" customWidth="1"/>
    <col min="3082" max="3082" width="12.7109375" style="216" customWidth="1"/>
    <col min="3083" max="3083" width="13.5703125" style="216" customWidth="1"/>
    <col min="3084" max="3084" width="13" style="216" customWidth="1"/>
    <col min="3085" max="3329" width="9.140625" style="216"/>
    <col min="3330" max="3330" width="2.7109375" style="216" customWidth="1"/>
    <col min="3331" max="3331" width="9.140625" style="216"/>
    <col min="3332" max="3332" width="40.28515625" style="216" bestFit="1" customWidth="1"/>
    <col min="3333" max="3333" width="10.7109375" style="216" customWidth="1"/>
    <col min="3334" max="3334" width="10" style="216" customWidth="1"/>
    <col min="3335" max="3335" width="17.85546875" style="216" customWidth="1"/>
    <col min="3336" max="3336" width="7.7109375" style="216" customWidth="1"/>
    <col min="3337" max="3337" width="12.28515625" style="216" customWidth="1"/>
    <col min="3338" max="3338" width="12.7109375" style="216" customWidth="1"/>
    <col min="3339" max="3339" width="13.5703125" style="216" customWidth="1"/>
    <col min="3340" max="3340" width="13" style="216" customWidth="1"/>
    <col min="3341" max="3585" width="9.140625" style="216"/>
    <col min="3586" max="3586" width="2.7109375" style="216" customWidth="1"/>
    <col min="3587" max="3587" width="9.140625" style="216"/>
    <col min="3588" max="3588" width="40.28515625" style="216" bestFit="1" customWidth="1"/>
    <col min="3589" max="3589" width="10.7109375" style="216" customWidth="1"/>
    <col min="3590" max="3590" width="10" style="216" customWidth="1"/>
    <col min="3591" max="3591" width="17.85546875" style="216" customWidth="1"/>
    <col min="3592" max="3592" width="7.7109375" style="216" customWidth="1"/>
    <col min="3593" max="3593" width="12.28515625" style="216" customWidth="1"/>
    <col min="3594" max="3594" width="12.7109375" style="216" customWidth="1"/>
    <col min="3595" max="3595" width="13.5703125" style="216" customWidth="1"/>
    <col min="3596" max="3596" width="13" style="216" customWidth="1"/>
    <col min="3597" max="3841" width="9.140625" style="216"/>
    <col min="3842" max="3842" width="2.7109375" style="216" customWidth="1"/>
    <col min="3843" max="3843" width="9.140625" style="216"/>
    <col min="3844" max="3844" width="40.28515625" style="216" bestFit="1" customWidth="1"/>
    <col min="3845" max="3845" width="10.7109375" style="216" customWidth="1"/>
    <col min="3846" max="3846" width="10" style="216" customWidth="1"/>
    <col min="3847" max="3847" width="17.85546875" style="216" customWidth="1"/>
    <col min="3848" max="3848" width="7.7109375" style="216" customWidth="1"/>
    <col min="3849" max="3849" width="12.28515625" style="216" customWidth="1"/>
    <col min="3850" max="3850" width="12.7109375" style="216" customWidth="1"/>
    <col min="3851" max="3851" width="13.5703125" style="216" customWidth="1"/>
    <col min="3852" max="3852" width="13" style="216" customWidth="1"/>
    <col min="3853" max="4097" width="9.140625" style="216"/>
    <col min="4098" max="4098" width="2.7109375" style="216" customWidth="1"/>
    <col min="4099" max="4099" width="9.140625" style="216"/>
    <col min="4100" max="4100" width="40.28515625" style="216" bestFit="1" customWidth="1"/>
    <col min="4101" max="4101" width="10.7109375" style="216" customWidth="1"/>
    <col min="4102" max="4102" width="10" style="216" customWidth="1"/>
    <col min="4103" max="4103" width="17.85546875" style="216" customWidth="1"/>
    <col min="4104" max="4104" width="7.7109375" style="216" customWidth="1"/>
    <col min="4105" max="4105" width="12.28515625" style="216" customWidth="1"/>
    <col min="4106" max="4106" width="12.7109375" style="216" customWidth="1"/>
    <col min="4107" max="4107" width="13.5703125" style="216" customWidth="1"/>
    <col min="4108" max="4108" width="13" style="216" customWidth="1"/>
    <col min="4109" max="4353" width="9.140625" style="216"/>
    <col min="4354" max="4354" width="2.7109375" style="216" customWidth="1"/>
    <col min="4355" max="4355" width="9.140625" style="216"/>
    <col min="4356" max="4356" width="40.28515625" style="216" bestFit="1" customWidth="1"/>
    <col min="4357" max="4357" width="10.7109375" style="216" customWidth="1"/>
    <col min="4358" max="4358" width="10" style="216" customWidth="1"/>
    <col min="4359" max="4359" width="17.85546875" style="216" customWidth="1"/>
    <col min="4360" max="4360" width="7.7109375" style="216" customWidth="1"/>
    <col min="4361" max="4361" width="12.28515625" style="216" customWidth="1"/>
    <col min="4362" max="4362" width="12.7109375" style="216" customWidth="1"/>
    <col min="4363" max="4363" width="13.5703125" style="216" customWidth="1"/>
    <col min="4364" max="4364" width="13" style="216" customWidth="1"/>
    <col min="4365" max="4609" width="9.140625" style="216"/>
    <col min="4610" max="4610" width="2.7109375" style="216" customWidth="1"/>
    <col min="4611" max="4611" width="9.140625" style="216"/>
    <col min="4612" max="4612" width="40.28515625" style="216" bestFit="1" customWidth="1"/>
    <col min="4613" max="4613" width="10.7109375" style="216" customWidth="1"/>
    <col min="4614" max="4614" width="10" style="216" customWidth="1"/>
    <col min="4615" max="4615" width="17.85546875" style="216" customWidth="1"/>
    <col min="4616" max="4616" width="7.7109375" style="216" customWidth="1"/>
    <col min="4617" max="4617" width="12.28515625" style="216" customWidth="1"/>
    <col min="4618" max="4618" width="12.7109375" style="216" customWidth="1"/>
    <col min="4619" max="4619" width="13.5703125" style="216" customWidth="1"/>
    <col min="4620" max="4620" width="13" style="216" customWidth="1"/>
    <col min="4621" max="4865" width="9.140625" style="216"/>
    <col min="4866" max="4866" width="2.7109375" style="216" customWidth="1"/>
    <col min="4867" max="4867" width="9.140625" style="216"/>
    <col min="4868" max="4868" width="40.28515625" style="216" bestFit="1" customWidth="1"/>
    <col min="4869" max="4869" width="10.7109375" style="216" customWidth="1"/>
    <col min="4870" max="4870" width="10" style="216" customWidth="1"/>
    <col min="4871" max="4871" width="17.85546875" style="216" customWidth="1"/>
    <col min="4872" max="4872" width="7.7109375" style="216" customWidth="1"/>
    <col min="4873" max="4873" width="12.28515625" style="216" customWidth="1"/>
    <col min="4874" max="4874" width="12.7109375" style="216" customWidth="1"/>
    <col min="4875" max="4875" width="13.5703125" style="216" customWidth="1"/>
    <col min="4876" max="4876" width="13" style="216" customWidth="1"/>
    <col min="4877" max="5121" width="9.140625" style="216"/>
    <col min="5122" max="5122" width="2.7109375" style="216" customWidth="1"/>
    <col min="5123" max="5123" width="9.140625" style="216"/>
    <col min="5124" max="5124" width="40.28515625" style="216" bestFit="1" customWidth="1"/>
    <col min="5125" max="5125" width="10.7109375" style="216" customWidth="1"/>
    <col min="5126" max="5126" width="10" style="216" customWidth="1"/>
    <col min="5127" max="5127" width="17.85546875" style="216" customWidth="1"/>
    <col min="5128" max="5128" width="7.7109375" style="216" customWidth="1"/>
    <col min="5129" max="5129" width="12.28515625" style="216" customWidth="1"/>
    <col min="5130" max="5130" width="12.7109375" style="216" customWidth="1"/>
    <col min="5131" max="5131" width="13.5703125" style="216" customWidth="1"/>
    <col min="5132" max="5132" width="13" style="216" customWidth="1"/>
    <col min="5133" max="5377" width="9.140625" style="216"/>
    <col min="5378" max="5378" width="2.7109375" style="216" customWidth="1"/>
    <col min="5379" max="5379" width="9.140625" style="216"/>
    <col min="5380" max="5380" width="40.28515625" style="216" bestFit="1" customWidth="1"/>
    <col min="5381" max="5381" width="10.7109375" style="216" customWidth="1"/>
    <col min="5382" max="5382" width="10" style="216" customWidth="1"/>
    <col min="5383" max="5383" width="17.85546875" style="216" customWidth="1"/>
    <col min="5384" max="5384" width="7.7109375" style="216" customWidth="1"/>
    <col min="5385" max="5385" width="12.28515625" style="216" customWidth="1"/>
    <col min="5386" max="5386" width="12.7109375" style="216" customWidth="1"/>
    <col min="5387" max="5387" width="13.5703125" style="216" customWidth="1"/>
    <col min="5388" max="5388" width="13" style="216" customWidth="1"/>
    <col min="5389" max="5633" width="9.140625" style="216"/>
    <col min="5634" max="5634" width="2.7109375" style="216" customWidth="1"/>
    <col min="5635" max="5635" width="9.140625" style="216"/>
    <col min="5636" max="5636" width="40.28515625" style="216" bestFit="1" customWidth="1"/>
    <col min="5637" max="5637" width="10.7109375" style="216" customWidth="1"/>
    <col min="5638" max="5638" width="10" style="216" customWidth="1"/>
    <col min="5639" max="5639" width="17.85546875" style="216" customWidth="1"/>
    <col min="5640" max="5640" width="7.7109375" style="216" customWidth="1"/>
    <col min="5641" max="5641" width="12.28515625" style="216" customWidth="1"/>
    <col min="5642" max="5642" width="12.7109375" style="216" customWidth="1"/>
    <col min="5643" max="5643" width="13.5703125" style="216" customWidth="1"/>
    <col min="5644" max="5644" width="13" style="216" customWidth="1"/>
    <col min="5645" max="5889" width="9.140625" style="216"/>
    <col min="5890" max="5890" width="2.7109375" style="216" customWidth="1"/>
    <col min="5891" max="5891" width="9.140625" style="216"/>
    <col min="5892" max="5892" width="40.28515625" style="216" bestFit="1" customWidth="1"/>
    <col min="5893" max="5893" width="10.7109375" style="216" customWidth="1"/>
    <col min="5894" max="5894" width="10" style="216" customWidth="1"/>
    <col min="5895" max="5895" width="17.85546875" style="216" customWidth="1"/>
    <col min="5896" max="5896" width="7.7109375" style="216" customWidth="1"/>
    <col min="5897" max="5897" width="12.28515625" style="216" customWidth="1"/>
    <col min="5898" max="5898" width="12.7109375" style="216" customWidth="1"/>
    <col min="5899" max="5899" width="13.5703125" style="216" customWidth="1"/>
    <col min="5900" max="5900" width="13" style="216" customWidth="1"/>
    <col min="5901" max="6145" width="9.140625" style="216"/>
    <col min="6146" max="6146" width="2.7109375" style="216" customWidth="1"/>
    <col min="6147" max="6147" width="9.140625" style="216"/>
    <col min="6148" max="6148" width="40.28515625" style="216" bestFit="1" customWidth="1"/>
    <col min="6149" max="6149" width="10.7109375" style="216" customWidth="1"/>
    <col min="6150" max="6150" width="10" style="216" customWidth="1"/>
    <col min="6151" max="6151" width="17.85546875" style="216" customWidth="1"/>
    <col min="6152" max="6152" width="7.7109375" style="216" customWidth="1"/>
    <col min="6153" max="6153" width="12.28515625" style="216" customWidth="1"/>
    <col min="6154" max="6154" width="12.7109375" style="216" customWidth="1"/>
    <col min="6155" max="6155" width="13.5703125" style="216" customWidth="1"/>
    <col min="6156" max="6156" width="13" style="216" customWidth="1"/>
    <col min="6157" max="6401" width="9.140625" style="216"/>
    <col min="6402" max="6402" width="2.7109375" style="216" customWidth="1"/>
    <col min="6403" max="6403" width="9.140625" style="216"/>
    <col min="6404" max="6404" width="40.28515625" style="216" bestFit="1" customWidth="1"/>
    <col min="6405" max="6405" width="10.7109375" style="216" customWidth="1"/>
    <col min="6406" max="6406" width="10" style="216" customWidth="1"/>
    <col min="6407" max="6407" width="17.85546875" style="216" customWidth="1"/>
    <col min="6408" max="6408" width="7.7109375" style="216" customWidth="1"/>
    <col min="6409" max="6409" width="12.28515625" style="216" customWidth="1"/>
    <col min="6410" max="6410" width="12.7109375" style="216" customWidth="1"/>
    <col min="6411" max="6411" width="13.5703125" style="216" customWidth="1"/>
    <col min="6412" max="6412" width="13" style="216" customWidth="1"/>
    <col min="6413" max="6657" width="9.140625" style="216"/>
    <col min="6658" max="6658" width="2.7109375" style="216" customWidth="1"/>
    <col min="6659" max="6659" width="9.140625" style="216"/>
    <col min="6660" max="6660" width="40.28515625" style="216" bestFit="1" customWidth="1"/>
    <col min="6661" max="6661" width="10.7109375" style="216" customWidth="1"/>
    <col min="6662" max="6662" width="10" style="216" customWidth="1"/>
    <col min="6663" max="6663" width="17.85546875" style="216" customWidth="1"/>
    <col min="6664" max="6664" width="7.7109375" style="216" customWidth="1"/>
    <col min="6665" max="6665" width="12.28515625" style="216" customWidth="1"/>
    <col min="6666" max="6666" width="12.7109375" style="216" customWidth="1"/>
    <col min="6667" max="6667" width="13.5703125" style="216" customWidth="1"/>
    <col min="6668" max="6668" width="13" style="216" customWidth="1"/>
    <col min="6669" max="6913" width="9.140625" style="216"/>
    <col min="6914" max="6914" width="2.7109375" style="216" customWidth="1"/>
    <col min="6915" max="6915" width="9.140625" style="216"/>
    <col min="6916" max="6916" width="40.28515625" style="216" bestFit="1" customWidth="1"/>
    <col min="6917" max="6917" width="10.7109375" style="216" customWidth="1"/>
    <col min="6918" max="6918" width="10" style="216" customWidth="1"/>
    <col min="6919" max="6919" width="17.85546875" style="216" customWidth="1"/>
    <col min="6920" max="6920" width="7.7109375" style="216" customWidth="1"/>
    <col min="6921" max="6921" width="12.28515625" style="216" customWidth="1"/>
    <col min="6922" max="6922" width="12.7109375" style="216" customWidth="1"/>
    <col min="6923" max="6923" width="13.5703125" style="216" customWidth="1"/>
    <col min="6924" max="6924" width="13" style="216" customWidth="1"/>
    <col min="6925" max="7169" width="9.140625" style="216"/>
    <col min="7170" max="7170" width="2.7109375" style="216" customWidth="1"/>
    <col min="7171" max="7171" width="9.140625" style="216"/>
    <col min="7172" max="7172" width="40.28515625" style="216" bestFit="1" customWidth="1"/>
    <col min="7173" max="7173" width="10.7109375" style="216" customWidth="1"/>
    <col min="7174" max="7174" width="10" style="216" customWidth="1"/>
    <col min="7175" max="7175" width="17.85546875" style="216" customWidth="1"/>
    <col min="7176" max="7176" width="7.7109375" style="216" customWidth="1"/>
    <col min="7177" max="7177" width="12.28515625" style="216" customWidth="1"/>
    <col min="7178" max="7178" width="12.7109375" style="216" customWidth="1"/>
    <col min="7179" max="7179" width="13.5703125" style="216" customWidth="1"/>
    <col min="7180" max="7180" width="13" style="216" customWidth="1"/>
    <col min="7181" max="7425" width="9.140625" style="216"/>
    <col min="7426" max="7426" width="2.7109375" style="216" customWidth="1"/>
    <col min="7427" max="7427" width="9.140625" style="216"/>
    <col min="7428" max="7428" width="40.28515625" style="216" bestFit="1" customWidth="1"/>
    <col min="7429" max="7429" width="10.7109375" style="216" customWidth="1"/>
    <col min="7430" max="7430" width="10" style="216" customWidth="1"/>
    <col min="7431" max="7431" width="17.85546875" style="216" customWidth="1"/>
    <col min="7432" max="7432" width="7.7109375" style="216" customWidth="1"/>
    <col min="7433" max="7433" width="12.28515625" style="216" customWidth="1"/>
    <col min="7434" max="7434" width="12.7109375" style="216" customWidth="1"/>
    <col min="7435" max="7435" width="13.5703125" style="216" customWidth="1"/>
    <col min="7436" max="7436" width="13" style="216" customWidth="1"/>
    <col min="7437" max="7681" width="9.140625" style="216"/>
    <col min="7682" max="7682" width="2.7109375" style="216" customWidth="1"/>
    <col min="7683" max="7683" width="9.140625" style="216"/>
    <col min="7684" max="7684" width="40.28515625" style="216" bestFit="1" customWidth="1"/>
    <col min="7685" max="7685" width="10.7109375" style="216" customWidth="1"/>
    <col min="7686" max="7686" width="10" style="216" customWidth="1"/>
    <col min="7687" max="7687" width="17.85546875" style="216" customWidth="1"/>
    <col min="7688" max="7688" width="7.7109375" style="216" customWidth="1"/>
    <col min="7689" max="7689" width="12.28515625" style="216" customWidth="1"/>
    <col min="7690" max="7690" width="12.7109375" style="216" customWidth="1"/>
    <col min="7691" max="7691" width="13.5703125" style="216" customWidth="1"/>
    <col min="7692" max="7692" width="13" style="216" customWidth="1"/>
    <col min="7693" max="7937" width="9.140625" style="216"/>
    <col min="7938" max="7938" width="2.7109375" style="216" customWidth="1"/>
    <col min="7939" max="7939" width="9.140625" style="216"/>
    <col min="7940" max="7940" width="40.28515625" style="216" bestFit="1" customWidth="1"/>
    <col min="7941" max="7941" width="10.7109375" style="216" customWidth="1"/>
    <col min="7942" max="7942" width="10" style="216" customWidth="1"/>
    <col min="7943" max="7943" width="17.85546875" style="216" customWidth="1"/>
    <col min="7944" max="7944" width="7.7109375" style="216" customWidth="1"/>
    <col min="7945" max="7945" width="12.28515625" style="216" customWidth="1"/>
    <col min="7946" max="7946" width="12.7109375" style="216" customWidth="1"/>
    <col min="7947" max="7947" width="13.5703125" style="216" customWidth="1"/>
    <col min="7948" max="7948" width="13" style="216" customWidth="1"/>
    <col min="7949" max="8193" width="9.140625" style="216"/>
    <col min="8194" max="8194" width="2.7109375" style="216" customWidth="1"/>
    <col min="8195" max="8195" width="9.140625" style="216"/>
    <col min="8196" max="8196" width="40.28515625" style="216" bestFit="1" customWidth="1"/>
    <col min="8197" max="8197" width="10.7109375" style="216" customWidth="1"/>
    <col min="8198" max="8198" width="10" style="216" customWidth="1"/>
    <col min="8199" max="8199" width="17.85546875" style="216" customWidth="1"/>
    <col min="8200" max="8200" width="7.7109375" style="216" customWidth="1"/>
    <col min="8201" max="8201" width="12.28515625" style="216" customWidth="1"/>
    <col min="8202" max="8202" width="12.7109375" style="216" customWidth="1"/>
    <col min="8203" max="8203" width="13.5703125" style="216" customWidth="1"/>
    <col min="8204" max="8204" width="13" style="216" customWidth="1"/>
    <col min="8205" max="8449" width="9.140625" style="216"/>
    <col min="8450" max="8450" width="2.7109375" style="216" customWidth="1"/>
    <col min="8451" max="8451" width="9.140625" style="216"/>
    <col min="8452" max="8452" width="40.28515625" style="216" bestFit="1" customWidth="1"/>
    <col min="8453" max="8453" width="10.7109375" style="216" customWidth="1"/>
    <col min="8454" max="8454" width="10" style="216" customWidth="1"/>
    <col min="8455" max="8455" width="17.85546875" style="216" customWidth="1"/>
    <col min="8456" max="8456" width="7.7109375" style="216" customWidth="1"/>
    <col min="8457" max="8457" width="12.28515625" style="216" customWidth="1"/>
    <col min="8458" max="8458" width="12.7109375" style="216" customWidth="1"/>
    <col min="8459" max="8459" width="13.5703125" style="216" customWidth="1"/>
    <col min="8460" max="8460" width="13" style="216" customWidth="1"/>
    <col min="8461" max="8705" width="9.140625" style="216"/>
    <col min="8706" max="8706" width="2.7109375" style="216" customWidth="1"/>
    <col min="8707" max="8707" width="9.140625" style="216"/>
    <col min="8708" max="8708" width="40.28515625" style="216" bestFit="1" customWidth="1"/>
    <col min="8709" max="8709" width="10.7109375" style="216" customWidth="1"/>
    <col min="8710" max="8710" width="10" style="216" customWidth="1"/>
    <col min="8711" max="8711" width="17.85546875" style="216" customWidth="1"/>
    <col min="8712" max="8712" width="7.7109375" style="216" customWidth="1"/>
    <col min="8713" max="8713" width="12.28515625" style="216" customWidth="1"/>
    <col min="8714" max="8714" width="12.7109375" style="216" customWidth="1"/>
    <col min="8715" max="8715" width="13.5703125" style="216" customWidth="1"/>
    <col min="8716" max="8716" width="13" style="216" customWidth="1"/>
    <col min="8717" max="8961" width="9.140625" style="216"/>
    <col min="8962" max="8962" width="2.7109375" style="216" customWidth="1"/>
    <col min="8963" max="8963" width="9.140625" style="216"/>
    <col min="8964" max="8964" width="40.28515625" style="216" bestFit="1" customWidth="1"/>
    <col min="8965" max="8965" width="10.7109375" style="216" customWidth="1"/>
    <col min="8966" max="8966" width="10" style="216" customWidth="1"/>
    <col min="8967" max="8967" width="17.85546875" style="216" customWidth="1"/>
    <col min="8968" max="8968" width="7.7109375" style="216" customWidth="1"/>
    <col min="8969" max="8969" width="12.28515625" style="216" customWidth="1"/>
    <col min="8970" max="8970" width="12.7109375" style="216" customWidth="1"/>
    <col min="8971" max="8971" width="13.5703125" style="216" customWidth="1"/>
    <col min="8972" max="8972" width="13" style="216" customWidth="1"/>
    <col min="8973" max="9217" width="9.140625" style="216"/>
    <col min="9218" max="9218" width="2.7109375" style="216" customWidth="1"/>
    <col min="9219" max="9219" width="9.140625" style="216"/>
    <col min="9220" max="9220" width="40.28515625" style="216" bestFit="1" customWidth="1"/>
    <col min="9221" max="9221" width="10.7109375" style="216" customWidth="1"/>
    <col min="9222" max="9222" width="10" style="216" customWidth="1"/>
    <col min="9223" max="9223" width="17.85546875" style="216" customWidth="1"/>
    <col min="9224" max="9224" width="7.7109375" style="216" customWidth="1"/>
    <col min="9225" max="9225" width="12.28515625" style="216" customWidth="1"/>
    <col min="9226" max="9226" width="12.7109375" style="216" customWidth="1"/>
    <col min="9227" max="9227" width="13.5703125" style="216" customWidth="1"/>
    <col min="9228" max="9228" width="13" style="216" customWidth="1"/>
    <col min="9229" max="9473" width="9.140625" style="216"/>
    <col min="9474" max="9474" width="2.7109375" style="216" customWidth="1"/>
    <col min="9475" max="9475" width="9.140625" style="216"/>
    <col min="9476" max="9476" width="40.28515625" style="216" bestFit="1" customWidth="1"/>
    <col min="9477" max="9477" width="10.7109375" style="216" customWidth="1"/>
    <col min="9478" max="9478" width="10" style="216" customWidth="1"/>
    <col min="9479" max="9479" width="17.85546875" style="216" customWidth="1"/>
    <col min="9480" max="9480" width="7.7109375" style="216" customWidth="1"/>
    <col min="9481" max="9481" width="12.28515625" style="216" customWidth="1"/>
    <col min="9482" max="9482" width="12.7109375" style="216" customWidth="1"/>
    <col min="9483" max="9483" width="13.5703125" style="216" customWidth="1"/>
    <col min="9484" max="9484" width="13" style="216" customWidth="1"/>
    <col min="9485" max="9729" width="9.140625" style="216"/>
    <col min="9730" max="9730" width="2.7109375" style="216" customWidth="1"/>
    <col min="9731" max="9731" width="9.140625" style="216"/>
    <col min="9732" max="9732" width="40.28515625" style="216" bestFit="1" customWidth="1"/>
    <col min="9733" max="9733" width="10.7109375" style="216" customWidth="1"/>
    <col min="9734" max="9734" width="10" style="216" customWidth="1"/>
    <col min="9735" max="9735" width="17.85546875" style="216" customWidth="1"/>
    <col min="9736" max="9736" width="7.7109375" style="216" customWidth="1"/>
    <col min="9737" max="9737" width="12.28515625" style="216" customWidth="1"/>
    <col min="9738" max="9738" width="12.7109375" style="216" customWidth="1"/>
    <col min="9739" max="9739" width="13.5703125" style="216" customWidth="1"/>
    <col min="9740" max="9740" width="13" style="216" customWidth="1"/>
    <col min="9741" max="9985" width="9.140625" style="216"/>
    <col min="9986" max="9986" width="2.7109375" style="216" customWidth="1"/>
    <col min="9987" max="9987" width="9.140625" style="216"/>
    <col min="9988" max="9988" width="40.28515625" style="216" bestFit="1" customWidth="1"/>
    <col min="9989" max="9989" width="10.7109375" style="216" customWidth="1"/>
    <col min="9990" max="9990" width="10" style="216" customWidth="1"/>
    <col min="9991" max="9991" width="17.85546875" style="216" customWidth="1"/>
    <col min="9992" max="9992" width="7.7109375" style="216" customWidth="1"/>
    <col min="9993" max="9993" width="12.28515625" style="216" customWidth="1"/>
    <col min="9994" max="9994" width="12.7109375" style="216" customWidth="1"/>
    <col min="9995" max="9995" width="13.5703125" style="216" customWidth="1"/>
    <col min="9996" max="9996" width="13" style="216" customWidth="1"/>
    <col min="9997" max="10241" width="9.140625" style="216"/>
    <col min="10242" max="10242" width="2.7109375" style="216" customWidth="1"/>
    <col min="10243" max="10243" width="9.140625" style="216"/>
    <col min="10244" max="10244" width="40.28515625" style="216" bestFit="1" customWidth="1"/>
    <col min="10245" max="10245" width="10.7109375" style="216" customWidth="1"/>
    <col min="10246" max="10246" width="10" style="216" customWidth="1"/>
    <col min="10247" max="10247" width="17.85546875" style="216" customWidth="1"/>
    <col min="10248" max="10248" width="7.7109375" style="216" customWidth="1"/>
    <col min="10249" max="10249" width="12.28515625" style="216" customWidth="1"/>
    <col min="10250" max="10250" width="12.7109375" style="216" customWidth="1"/>
    <col min="10251" max="10251" width="13.5703125" style="216" customWidth="1"/>
    <col min="10252" max="10252" width="13" style="216" customWidth="1"/>
    <col min="10253" max="10497" width="9.140625" style="216"/>
    <col min="10498" max="10498" width="2.7109375" style="216" customWidth="1"/>
    <col min="10499" max="10499" width="9.140625" style="216"/>
    <col min="10500" max="10500" width="40.28515625" style="216" bestFit="1" customWidth="1"/>
    <col min="10501" max="10501" width="10.7109375" style="216" customWidth="1"/>
    <col min="10502" max="10502" width="10" style="216" customWidth="1"/>
    <col min="10503" max="10503" width="17.85546875" style="216" customWidth="1"/>
    <col min="10504" max="10504" width="7.7109375" style="216" customWidth="1"/>
    <col min="10505" max="10505" width="12.28515625" style="216" customWidth="1"/>
    <col min="10506" max="10506" width="12.7109375" style="216" customWidth="1"/>
    <col min="10507" max="10507" width="13.5703125" style="216" customWidth="1"/>
    <col min="10508" max="10508" width="13" style="216" customWidth="1"/>
    <col min="10509" max="10753" width="9.140625" style="216"/>
    <col min="10754" max="10754" width="2.7109375" style="216" customWidth="1"/>
    <col min="10755" max="10755" width="9.140625" style="216"/>
    <col min="10756" max="10756" width="40.28515625" style="216" bestFit="1" customWidth="1"/>
    <col min="10757" max="10757" width="10.7109375" style="216" customWidth="1"/>
    <col min="10758" max="10758" width="10" style="216" customWidth="1"/>
    <col min="10759" max="10759" width="17.85546875" style="216" customWidth="1"/>
    <col min="10760" max="10760" width="7.7109375" style="216" customWidth="1"/>
    <col min="10761" max="10761" width="12.28515625" style="216" customWidth="1"/>
    <col min="10762" max="10762" width="12.7109375" style="216" customWidth="1"/>
    <col min="10763" max="10763" width="13.5703125" style="216" customWidth="1"/>
    <col min="10764" max="10764" width="13" style="216" customWidth="1"/>
    <col min="10765" max="11009" width="9.140625" style="216"/>
    <col min="11010" max="11010" width="2.7109375" style="216" customWidth="1"/>
    <col min="11011" max="11011" width="9.140625" style="216"/>
    <col min="11012" max="11012" width="40.28515625" style="216" bestFit="1" customWidth="1"/>
    <col min="11013" max="11013" width="10.7109375" style="216" customWidth="1"/>
    <col min="11014" max="11014" width="10" style="216" customWidth="1"/>
    <col min="11015" max="11015" width="17.85546875" style="216" customWidth="1"/>
    <col min="11016" max="11016" width="7.7109375" style="216" customWidth="1"/>
    <col min="11017" max="11017" width="12.28515625" style="216" customWidth="1"/>
    <col min="11018" max="11018" width="12.7109375" style="216" customWidth="1"/>
    <col min="11019" max="11019" width="13.5703125" style="216" customWidth="1"/>
    <col min="11020" max="11020" width="13" style="216" customWidth="1"/>
    <col min="11021" max="11265" width="9.140625" style="216"/>
    <col min="11266" max="11266" width="2.7109375" style="216" customWidth="1"/>
    <col min="11267" max="11267" width="9.140625" style="216"/>
    <col min="11268" max="11268" width="40.28515625" style="216" bestFit="1" customWidth="1"/>
    <col min="11269" max="11269" width="10.7109375" style="216" customWidth="1"/>
    <col min="11270" max="11270" width="10" style="216" customWidth="1"/>
    <col min="11271" max="11271" width="17.85546875" style="216" customWidth="1"/>
    <col min="11272" max="11272" width="7.7109375" style="216" customWidth="1"/>
    <col min="11273" max="11273" width="12.28515625" style="216" customWidth="1"/>
    <col min="11274" max="11274" width="12.7109375" style="216" customWidth="1"/>
    <col min="11275" max="11275" width="13.5703125" style="216" customWidth="1"/>
    <col min="11276" max="11276" width="13" style="216" customWidth="1"/>
    <col min="11277" max="11521" width="9.140625" style="216"/>
    <col min="11522" max="11522" width="2.7109375" style="216" customWidth="1"/>
    <col min="11523" max="11523" width="9.140625" style="216"/>
    <col min="11524" max="11524" width="40.28515625" style="216" bestFit="1" customWidth="1"/>
    <col min="11525" max="11525" width="10.7109375" style="216" customWidth="1"/>
    <col min="11526" max="11526" width="10" style="216" customWidth="1"/>
    <col min="11527" max="11527" width="17.85546875" style="216" customWidth="1"/>
    <col min="11528" max="11528" width="7.7109375" style="216" customWidth="1"/>
    <col min="11529" max="11529" width="12.28515625" style="216" customWidth="1"/>
    <col min="11530" max="11530" width="12.7109375" style="216" customWidth="1"/>
    <col min="11531" max="11531" width="13.5703125" style="216" customWidth="1"/>
    <col min="11532" max="11532" width="13" style="216" customWidth="1"/>
    <col min="11533" max="11777" width="9.140625" style="216"/>
    <col min="11778" max="11778" width="2.7109375" style="216" customWidth="1"/>
    <col min="11779" max="11779" width="9.140625" style="216"/>
    <col min="11780" max="11780" width="40.28515625" style="216" bestFit="1" customWidth="1"/>
    <col min="11781" max="11781" width="10.7109375" style="216" customWidth="1"/>
    <col min="11782" max="11782" width="10" style="216" customWidth="1"/>
    <col min="11783" max="11783" width="17.85546875" style="216" customWidth="1"/>
    <col min="11784" max="11784" width="7.7109375" style="216" customWidth="1"/>
    <col min="11785" max="11785" width="12.28515625" style="216" customWidth="1"/>
    <col min="11786" max="11786" width="12.7109375" style="216" customWidth="1"/>
    <col min="11787" max="11787" width="13.5703125" style="216" customWidth="1"/>
    <col min="11788" max="11788" width="13" style="216" customWidth="1"/>
    <col min="11789" max="12033" width="9.140625" style="216"/>
    <col min="12034" max="12034" width="2.7109375" style="216" customWidth="1"/>
    <col min="12035" max="12035" width="9.140625" style="216"/>
    <col min="12036" max="12036" width="40.28515625" style="216" bestFit="1" customWidth="1"/>
    <col min="12037" max="12037" width="10.7109375" style="216" customWidth="1"/>
    <col min="12038" max="12038" width="10" style="216" customWidth="1"/>
    <col min="12039" max="12039" width="17.85546875" style="216" customWidth="1"/>
    <col min="12040" max="12040" width="7.7109375" style="216" customWidth="1"/>
    <col min="12041" max="12041" width="12.28515625" style="216" customWidth="1"/>
    <col min="12042" max="12042" width="12.7109375" style="216" customWidth="1"/>
    <col min="12043" max="12043" width="13.5703125" style="216" customWidth="1"/>
    <col min="12044" max="12044" width="13" style="216" customWidth="1"/>
    <col min="12045" max="12289" width="9.140625" style="216"/>
    <col min="12290" max="12290" width="2.7109375" style="216" customWidth="1"/>
    <col min="12291" max="12291" width="9.140625" style="216"/>
    <col min="12292" max="12292" width="40.28515625" style="216" bestFit="1" customWidth="1"/>
    <col min="12293" max="12293" width="10.7109375" style="216" customWidth="1"/>
    <col min="12294" max="12294" width="10" style="216" customWidth="1"/>
    <col min="12295" max="12295" width="17.85546875" style="216" customWidth="1"/>
    <col min="12296" max="12296" width="7.7109375" style="216" customWidth="1"/>
    <col min="12297" max="12297" width="12.28515625" style="216" customWidth="1"/>
    <col min="12298" max="12298" width="12.7109375" style="216" customWidth="1"/>
    <col min="12299" max="12299" width="13.5703125" style="216" customWidth="1"/>
    <col min="12300" max="12300" width="13" style="216" customWidth="1"/>
    <col min="12301" max="12545" width="9.140625" style="216"/>
    <col min="12546" max="12546" width="2.7109375" style="216" customWidth="1"/>
    <col min="12547" max="12547" width="9.140625" style="216"/>
    <col min="12548" max="12548" width="40.28515625" style="216" bestFit="1" customWidth="1"/>
    <col min="12549" max="12549" width="10.7109375" style="216" customWidth="1"/>
    <col min="12550" max="12550" width="10" style="216" customWidth="1"/>
    <col min="12551" max="12551" width="17.85546875" style="216" customWidth="1"/>
    <col min="12552" max="12552" width="7.7109375" style="216" customWidth="1"/>
    <col min="12553" max="12553" width="12.28515625" style="216" customWidth="1"/>
    <col min="12554" max="12554" width="12.7109375" style="216" customWidth="1"/>
    <col min="12555" max="12555" width="13.5703125" style="216" customWidth="1"/>
    <col min="12556" max="12556" width="13" style="216" customWidth="1"/>
    <col min="12557" max="12801" width="9.140625" style="216"/>
    <col min="12802" max="12802" width="2.7109375" style="216" customWidth="1"/>
    <col min="12803" max="12803" width="9.140625" style="216"/>
    <col min="12804" max="12804" width="40.28515625" style="216" bestFit="1" customWidth="1"/>
    <col min="12805" max="12805" width="10.7109375" style="216" customWidth="1"/>
    <col min="12806" max="12806" width="10" style="216" customWidth="1"/>
    <col min="12807" max="12807" width="17.85546875" style="216" customWidth="1"/>
    <col min="12808" max="12808" width="7.7109375" style="216" customWidth="1"/>
    <col min="12809" max="12809" width="12.28515625" style="216" customWidth="1"/>
    <col min="12810" max="12810" width="12.7109375" style="216" customWidth="1"/>
    <col min="12811" max="12811" width="13.5703125" style="216" customWidth="1"/>
    <col min="12812" max="12812" width="13" style="216" customWidth="1"/>
    <col min="12813" max="13057" width="9.140625" style="216"/>
    <col min="13058" max="13058" width="2.7109375" style="216" customWidth="1"/>
    <col min="13059" max="13059" width="9.140625" style="216"/>
    <col min="13060" max="13060" width="40.28515625" style="216" bestFit="1" customWidth="1"/>
    <col min="13061" max="13061" width="10.7109375" style="216" customWidth="1"/>
    <col min="13062" max="13062" width="10" style="216" customWidth="1"/>
    <col min="13063" max="13063" width="17.85546875" style="216" customWidth="1"/>
    <col min="13064" max="13064" width="7.7109375" style="216" customWidth="1"/>
    <col min="13065" max="13065" width="12.28515625" style="216" customWidth="1"/>
    <col min="13066" max="13066" width="12.7109375" style="216" customWidth="1"/>
    <col min="13067" max="13067" width="13.5703125" style="216" customWidth="1"/>
    <col min="13068" max="13068" width="13" style="216" customWidth="1"/>
    <col min="13069" max="13313" width="9.140625" style="216"/>
    <col min="13314" max="13314" width="2.7109375" style="216" customWidth="1"/>
    <col min="13315" max="13315" width="9.140625" style="216"/>
    <col min="13316" max="13316" width="40.28515625" style="216" bestFit="1" customWidth="1"/>
    <col min="13317" max="13317" width="10.7109375" style="216" customWidth="1"/>
    <col min="13318" max="13318" width="10" style="216" customWidth="1"/>
    <col min="13319" max="13319" width="17.85546875" style="216" customWidth="1"/>
    <col min="13320" max="13320" width="7.7109375" style="216" customWidth="1"/>
    <col min="13321" max="13321" width="12.28515625" style="216" customWidth="1"/>
    <col min="13322" max="13322" width="12.7109375" style="216" customWidth="1"/>
    <col min="13323" max="13323" width="13.5703125" style="216" customWidth="1"/>
    <col min="13324" max="13324" width="13" style="216" customWidth="1"/>
    <col min="13325" max="13569" width="9.140625" style="216"/>
    <col min="13570" max="13570" width="2.7109375" style="216" customWidth="1"/>
    <col min="13571" max="13571" width="9.140625" style="216"/>
    <col min="13572" max="13572" width="40.28515625" style="216" bestFit="1" customWidth="1"/>
    <col min="13573" max="13573" width="10.7109375" style="216" customWidth="1"/>
    <col min="13574" max="13574" width="10" style="216" customWidth="1"/>
    <col min="13575" max="13575" width="17.85546875" style="216" customWidth="1"/>
    <col min="13576" max="13576" width="7.7109375" style="216" customWidth="1"/>
    <col min="13577" max="13577" width="12.28515625" style="216" customWidth="1"/>
    <col min="13578" max="13578" width="12.7109375" style="216" customWidth="1"/>
    <col min="13579" max="13579" width="13.5703125" style="216" customWidth="1"/>
    <col min="13580" max="13580" width="13" style="216" customWidth="1"/>
    <col min="13581" max="13825" width="9.140625" style="216"/>
    <col min="13826" max="13826" width="2.7109375" style="216" customWidth="1"/>
    <col min="13827" max="13827" width="9.140625" style="216"/>
    <col min="13828" max="13828" width="40.28515625" style="216" bestFit="1" customWidth="1"/>
    <col min="13829" max="13829" width="10.7109375" style="216" customWidth="1"/>
    <col min="13830" max="13830" width="10" style="216" customWidth="1"/>
    <col min="13831" max="13831" width="17.85546875" style="216" customWidth="1"/>
    <col min="13832" max="13832" width="7.7109375" style="216" customWidth="1"/>
    <col min="13833" max="13833" width="12.28515625" style="216" customWidth="1"/>
    <col min="13834" max="13834" width="12.7109375" style="216" customWidth="1"/>
    <col min="13835" max="13835" width="13.5703125" style="216" customWidth="1"/>
    <col min="13836" max="13836" width="13" style="216" customWidth="1"/>
    <col min="13837" max="14081" width="9.140625" style="216"/>
    <col min="14082" max="14082" width="2.7109375" style="216" customWidth="1"/>
    <col min="14083" max="14083" width="9.140625" style="216"/>
    <col min="14084" max="14084" width="40.28515625" style="216" bestFit="1" customWidth="1"/>
    <col min="14085" max="14085" width="10.7109375" style="216" customWidth="1"/>
    <col min="14086" max="14086" width="10" style="216" customWidth="1"/>
    <col min="14087" max="14087" width="17.85546875" style="216" customWidth="1"/>
    <col min="14088" max="14088" width="7.7109375" style="216" customWidth="1"/>
    <col min="14089" max="14089" width="12.28515625" style="216" customWidth="1"/>
    <col min="14090" max="14090" width="12.7109375" style="216" customWidth="1"/>
    <col min="14091" max="14091" width="13.5703125" style="216" customWidth="1"/>
    <col min="14092" max="14092" width="13" style="216" customWidth="1"/>
    <col min="14093" max="14337" width="9.140625" style="216"/>
    <col min="14338" max="14338" width="2.7109375" style="216" customWidth="1"/>
    <col min="14339" max="14339" width="9.140625" style="216"/>
    <col min="14340" max="14340" width="40.28515625" style="216" bestFit="1" customWidth="1"/>
    <col min="14341" max="14341" width="10.7109375" style="216" customWidth="1"/>
    <col min="14342" max="14342" width="10" style="216" customWidth="1"/>
    <col min="14343" max="14343" width="17.85546875" style="216" customWidth="1"/>
    <col min="14344" max="14344" width="7.7109375" style="216" customWidth="1"/>
    <col min="14345" max="14345" width="12.28515625" style="216" customWidth="1"/>
    <col min="14346" max="14346" width="12.7109375" style="216" customWidth="1"/>
    <col min="14347" max="14347" width="13.5703125" style="216" customWidth="1"/>
    <col min="14348" max="14348" width="13" style="216" customWidth="1"/>
    <col min="14349" max="14593" width="9.140625" style="216"/>
    <col min="14594" max="14594" width="2.7109375" style="216" customWidth="1"/>
    <col min="14595" max="14595" width="9.140625" style="216"/>
    <col min="14596" max="14596" width="40.28515625" style="216" bestFit="1" customWidth="1"/>
    <col min="14597" max="14597" width="10.7109375" style="216" customWidth="1"/>
    <col min="14598" max="14598" width="10" style="216" customWidth="1"/>
    <col min="14599" max="14599" width="17.85546875" style="216" customWidth="1"/>
    <col min="14600" max="14600" width="7.7109375" style="216" customWidth="1"/>
    <col min="14601" max="14601" width="12.28515625" style="216" customWidth="1"/>
    <col min="14602" max="14602" width="12.7109375" style="216" customWidth="1"/>
    <col min="14603" max="14603" width="13.5703125" style="216" customWidth="1"/>
    <col min="14604" max="14604" width="13" style="216" customWidth="1"/>
    <col min="14605" max="14849" width="9.140625" style="216"/>
    <col min="14850" max="14850" width="2.7109375" style="216" customWidth="1"/>
    <col min="14851" max="14851" width="9.140625" style="216"/>
    <col min="14852" max="14852" width="40.28515625" style="216" bestFit="1" customWidth="1"/>
    <col min="14853" max="14853" width="10.7109375" style="216" customWidth="1"/>
    <col min="14854" max="14854" width="10" style="216" customWidth="1"/>
    <col min="14855" max="14855" width="17.85546875" style="216" customWidth="1"/>
    <col min="14856" max="14856" width="7.7109375" style="216" customWidth="1"/>
    <col min="14857" max="14857" width="12.28515625" style="216" customWidth="1"/>
    <col min="14858" max="14858" width="12.7109375" style="216" customWidth="1"/>
    <col min="14859" max="14859" width="13.5703125" style="216" customWidth="1"/>
    <col min="14860" max="14860" width="13" style="216" customWidth="1"/>
    <col min="14861" max="15105" width="9.140625" style="216"/>
    <col min="15106" max="15106" width="2.7109375" style="216" customWidth="1"/>
    <col min="15107" max="15107" width="9.140625" style="216"/>
    <col min="15108" max="15108" width="40.28515625" style="216" bestFit="1" customWidth="1"/>
    <col min="15109" max="15109" width="10.7109375" style="216" customWidth="1"/>
    <col min="15110" max="15110" width="10" style="216" customWidth="1"/>
    <col min="15111" max="15111" width="17.85546875" style="216" customWidth="1"/>
    <col min="15112" max="15112" width="7.7109375" style="216" customWidth="1"/>
    <col min="15113" max="15113" width="12.28515625" style="216" customWidth="1"/>
    <col min="15114" max="15114" width="12.7109375" style="216" customWidth="1"/>
    <col min="15115" max="15115" width="13.5703125" style="216" customWidth="1"/>
    <col min="15116" max="15116" width="13" style="216" customWidth="1"/>
    <col min="15117" max="15361" width="9.140625" style="216"/>
    <col min="15362" max="15362" width="2.7109375" style="216" customWidth="1"/>
    <col min="15363" max="15363" width="9.140625" style="216"/>
    <col min="15364" max="15364" width="40.28515625" style="216" bestFit="1" customWidth="1"/>
    <col min="15365" max="15365" width="10.7109375" style="216" customWidth="1"/>
    <col min="15366" max="15366" width="10" style="216" customWidth="1"/>
    <col min="15367" max="15367" width="17.85546875" style="216" customWidth="1"/>
    <col min="15368" max="15368" width="7.7109375" style="216" customWidth="1"/>
    <col min="15369" max="15369" width="12.28515625" style="216" customWidth="1"/>
    <col min="15370" max="15370" width="12.7109375" style="216" customWidth="1"/>
    <col min="15371" max="15371" width="13.5703125" style="216" customWidth="1"/>
    <col min="15372" max="15372" width="13" style="216" customWidth="1"/>
    <col min="15373" max="15617" width="9.140625" style="216"/>
    <col min="15618" max="15618" width="2.7109375" style="216" customWidth="1"/>
    <col min="15619" max="15619" width="9.140625" style="216"/>
    <col min="15620" max="15620" width="40.28515625" style="216" bestFit="1" customWidth="1"/>
    <col min="15621" max="15621" width="10.7109375" style="216" customWidth="1"/>
    <col min="15622" max="15622" width="10" style="216" customWidth="1"/>
    <col min="15623" max="15623" width="17.85546875" style="216" customWidth="1"/>
    <col min="15624" max="15624" width="7.7109375" style="216" customWidth="1"/>
    <col min="15625" max="15625" width="12.28515625" style="216" customWidth="1"/>
    <col min="15626" max="15626" width="12.7109375" style="216" customWidth="1"/>
    <col min="15627" max="15627" width="13.5703125" style="216" customWidth="1"/>
    <col min="15628" max="15628" width="13" style="216" customWidth="1"/>
    <col min="15629" max="15873" width="9.140625" style="216"/>
    <col min="15874" max="15874" width="2.7109375" style="216" customWidth="1"/>
    <col min="15875" max="15875" width="9.140625" style="216"/>
    <col min="15876" max="15876" width="40.28515625" style="216" bestFit="1" customWidth="1"/>
    <col min="15877" max="15877" width="10.7109375" style="216" customWidth="1"/>
    <col min="15878" max="15878" width="10" style="216" customWidth="1"/>
    <col min="15879" max="15879" width="17.85546875" style="216" customWidth="1"/>
    <col min="15880" max="15880" width="7.7109375" style="216" customWidth="1"/>
    <col min="15881" max="15881" width="12.28515625" style="216" customWidth="1"/>
    <col min="15882" max="15882" width="12.7109375" style="216" customWidth="1"/>
    <col min="15883" max="15883" width="13.5703125" style="216" customWidth="1"/>
    <col min="15884" max="15884" width="13" style="216" customWidth="1"/>
    <col min="15885" max="16129" width="9.140625" style="216"/>
    <col min="16130" max="16130" width="2.7109375" style="216" customWidth="1"/>
    <col min="16131" max="16131" width="9.140625" style="216"/>
    <col min="16132" max="16132" width="40.28515625" style="216" bestFit="1" customWidth="1"/>
    <col min="16133" max="16133" width="10.7109375" style="216" customWidth="1"/>
    <col min="16134" max="16134" width="10" style="216" customWidth="1"/>
    <col min="16135" max="16135" width="17.85546875" style="216" customWidth="1"/>
    <col min="16136" max="16136" width="7.7109375" style="216" customWidth="1"/>
    <col min="16137" max="16137" width="12.28515625" style="216" customWidth="1"/>
    <col min="16138" max="16138" width="12.7109375" style="216" customWidth="1"/>
    <col min="16139" max="16139" width="13.5703125" style="216" customWidth="1"/>
    <col min="16140" max="16140" width="13" style="216" customWidth="1"/>
    <col min="16141" max="16384" width="9.140625" style="216"/>
  </cols>
  <sheetData>
    <row r="1" spans="1:13" x14ac:dyDescent="0.2">
      <c r="H1" s="218"/>
      <c r="I1" s="219"/>
      <c r="J1" s="219"/>
      <c r="K1" s="217" t="s">
        <v>419</v>
      </c>
      <c r="L1" s="208" t="str">
        <f>EBNUMBER</f>
        <v>EB-2014-0113</v>
      </c>
      <c r="M1" s="219"/>
    </row>
    <row r="2" spans="1:13" x14ac:dyDescent="0.2">
      <c r="H2" s="218"/>
      <c r="I2" s="219"/>
      <c r="J2" s="219"/>
      <c r="K2" s="217" t="s">
        <v>420</v>
      </c>
      <c r="L2" s="767"/>
      <c r="M2" s="219"/>
    </row>
    <row r="3" spans="1:13" x14ac:dyDescent="0.2">
      <c r="H3" s="218"/>
      <c r="I3" s="219"/>
      <c r="J3" s="219"/>
      <c r="K3" s="217" t="s">
        <v>421</v>
      </c>
      <c r="L3" s="767"/>
      <c r="M3" s="219"/>
    </row>
    <row r="4" spans="1:13" x14ac:dyDescent="0.2">
      <c r="H4" s="218"/>
      <c r="I4" s="219"/>
      <c r="J4" s="219"/>
      <c r="K4" s="217" t="s">
        <v>422</v>
      </c>
      <c r="L4" s="767"/>
      <c r="M4" s="219"/>
    </row>
    <row r="5" spans="1:13" x14ac:dyDescent="0.2">
      <c r="H5" s="218"/>
      <c r="I5" s="219"/>
      <c r="J5" s="219"/>
      <c r="K5" s="217" t="s">
        <v>423</v>
      </c>
      <c r="L5" s="768"/>
      <c r="M5" s="219"/>
    </row>
    <row r="6" spans="1:13" x14ac:dyDescent="0.2">
      <c r="H6" s="218"/>
      <c r="I6" s="219"/>
      <c r="J6" s="219"/>
      <c r="K6" s="217"/>
      <c r="L6" s="766"/>
      <c r="M6" s="219"/>
    </row>
    <row r="7" spans="1:13" x14ac:dyDescent="0.2">
      <c r="H7" s="218"/>
      <c r="I7" s="219"/>
      <c r="J7" s="220"/>
      <c r="K7" s="217" t="s">
        <v>424</v>
      </c>
      <c r="L7" s="768"/>
      <c r="M7" s="220"/>
    </row>
    <row r="9" spans="1:13" ht="18" x14ac:dyDescent="0.2">
      <c r="A9" s="1810" t="s">
        <v>936</v>
      </c>
      <c r="B9" s="1810"/>
      <c r="C9" s="1810"/>
      <c r="D9" s="1810"/>
      <c r="E9" s="1810"/>
      <c r="F9" s="1810"/>
      <c r="G9" s="1810"/>
      <c r="H9" s="1810"/>
      <c r="I9" s="1810"/>
      <c r="J9" s="1810"/>
      <c r="K9" s="1810"/>
      <c r="L9" s="1810"/>
    </row>
    <row r="10" spans="1:13" ht="18" x14ac:dyDescent="0.2">
      <c r="A10" s="1810" t="s">
        <v>3</v>
      </c>
      <c r="B10" s="1810"/>
      <c r="C10" s="1810"/>
      <c r="D10" s="1810"/>
      <c r="E10" s="1810"/>
      <c r="F10" s="1810"/>
      <c r="G10" s="1810"/>
      <c r="H10" s="1810"/>
      <c r="I10" s="1810"/>
      <c r="J10" s="1810"/>
      <c r="K10" s="1810"/>
      <c r="L10" s="1810"/>
    </row>
    <row r="11" spans="1:13" ht="21.75" customHeight="1" x14ac:dyDescent="0.2">
      <c r="A11" s="1877" t="s">
        <v>820</v>
      </c>
      <c r="B11" s="1877"/>
      <c r="C11" s="1877"/>
      <c r="D11" s="1877"/>
      <c r="E11" s="1877"/>
      <c r="F11" s="1877"/>
      <c r="G11" s="1877"/>
      <c r="H11" s="1877"/>
      <c r="I11" s="1877"/>
      <c r="J11" s="1877"/>
      <c r="K11" s="1877"/>
      <c r="L11" s="1877"/>
    </row>
    <row r="12" spans="1:13" ht="13.5" customHeight="1" x14ac:dyDescent="0.25">
      <c r="A12" s="682"/>
      <c r="B12" s="682"/>
      <c r="C12" s="676" t="s">
        <v>40</v>
      </c>
      <c r="D12" s="664">
        <v>2012</v>
      </c>
      <c r="E12" s="899" t="s">
        <v>928</v>
      </c>
      <c r="H12" s="682"/>
      <c r="I12" s="682"/>
      <c r="J12" s="682"/>
    </row>
    <row r="13" spans="1:13" ht="15" customHeight="1" thickBot="1" x14ac:dyDescent="0.25"/>
    <row r="14" spans="1:13" ht="61.5" customHeight="1" x14ac:dyDescent="0.2">
      <c r="A14" s="1871" t="s">
        <v>4</v>
      </c>
      <c r="B14" s="1873" t="s">
        <v>346</v>
      </c>
      <c r="C14" s="221" t="s">
        <v>717</v>
      </c>
      <c r="D14" s="221" t="s">
        <v>710</v>
      </c>
      <c r="E14" s="221" t="s">
        <v>711</v>
      </c>
      <c r="F14" s="221" t="s">
        <v>348</v>
      </c>
      <c r="G14" s="221" t="s">
        <v>7</v>
      </c>
      <c r="H14" s="221" t="s">
        <v>8</v>
      </c>
      <c r="I14" s="221" t="s">
        <v>416</v>
      </c>
      <c r="J14" s="222" t="s">
        <v>536</v>
      </c>
      <c r="K14" s="1880" t="s">
        <v>709</v>
      </c>
      <c r="L14" s="222" t="s">
        <v>523</v>
      </c>
    </row>
    <row r="15" spans="1:13" ht="19.5" customHeight="1" thickBot="1" x14ac:dyDescent="0.25">
      <c r="A15" s="1878"/>
      <c r="B15" s="1879"/>
      <c r="C15" s="223" t="s">
        <v>5</v>
      </c>
      <c r="D15" s="223" t="s">
        <v>712</v>
      </c>
      <c r="E15" s="223" t="s">
        <v>713</v>
      </c>
      <c r="F15" s="223" t="s">
        <v>6</v>
      </c>
      <c r="G15" s="224" t="s">
        <v>716</v>
      </c>
      <c r="H15" s="294" t="s">
        <v>9</v>
      </c>
      <c r="I15" s="294" t="s">
        <v>10</v>
      </c>
      <c r="J15" s="296" t="s">
        <v>12</v>
      </c>
      <c r="K15" s="1881"/>
      <c r="L15" s="296" t="s">
        <v>517</v>
      </c>
    </row>
    <row r="16" spans="1:13" ht="25.5" x14ac:dyDescent="0.2">
      <c r="A16" s="843">
        <v>1611</v>
      </c>
      <c r="B16" s="839" t="s">
        <v>515</v>
      </c>
      <c r="C16" s="204"/>
      <c r="D16" s="204"/>
      <c r="E16" s="796">
        <f>C16-D16</f>
        <v>0</v>
      </c>
      <c r="F16" s="204"/>
      <c r="G16" s="796">
        <f>E16+0.5*F16</f>
        <v>0</v>
      </c>
      <c r="H16" s="293"/>
      <c r="I16" s="594" t="str">
        <f t="shared" ref="I16:I55" si="0">IF(H16=0,"",1/H16)</f>
        <v/>
      </c>
      <c r="J16" s="796">
        <f t="shared" ref="J16:J55" si="1">IF(H16=0,0,G16/H16)</f>
        <v>0</v>
      </c>
      <c r="K16" s="204"/>
      <c r="L16" s="796">
        <f>IF(ISERROR(+J16-K16), "", +J16-K16)</f>
        <v>0</v>
      </c>
    </row>
    <row r="17" spans="1:12" ht="25.5" x14ac:dyDescent="0.2">
      <c r="A17" s="828">
        <v>1612</v>
      </c>
      <c r="B17" s="783" t="s">
        <v>650</v>
      </c>
      <c r="C17" s="204"/>
      <c r="D17" s="204"/>
      <c r="E17" s="796">
        <f t="shared" ref="E17:E55" si="2">C17-D17</f>
        <v>0</v>
      </c>
      <c r="F17" s="204"/>
      <c r="G17" s="796">
        <f t="shared" ref="G17:G55" si="3">E17+0.5*F17</f>
        <v>0</v>
      </c>
      <c r="H17" s="282"/>
      <c r="I17" s="586" t="str">
        <f t="shared" si="0"/>
        <v/>
      </c>
      <c r="J17" s="796">
        <f t="shared" si="1"/>
        <v>0</v>
      </c>
      <c r="K17" s="204"/>
      <c r="L17" s="796">
        <f t="shared" ref="L17:L55" si="4">IF(ISERROR(+J17-K17), "", +J17-K17)</f>
        <v>0</v>
      </c>
    </row>
    <row r="18" spans="1:12" x14ac:dyDescent="0.2">
      <c r="A18" s="829">
        <v>1805</v>
      </c>
      <c r="B18" s="786" t="s">
        <v>383</v>
      </c>
      <c r="C18" s="204"/>
      <c r="D18" s="204"/>
      <c r="E18" s="796">
        <f t="shared" si="2"/>
        <v>0</v>
      </c>
      <c r="F18" s="204"/>
      <c r="G18" s="796">
        <f t="shared" si="3"/>
        <v>0</v>
      </c>
      <c r="H18" s="282"/>
      <c r="I18" s="586" t="str">
        <f t="shared" si="0"/>
        <v/>
      </c>
      <c r="J18" s="796">
        <f t="shared" si="1"/>
        <v>0</v>
      </c>
      <c r="K18" s="204"/>
      <c r="L18" s="796">
        <f t="shared" si="4"/>
        <v>0</v>
      </c>
    </row>
    <row r="19" spans="1:12" x14ac:dyDescent="0.2">
      <c r="A19" s="828">
        <v>1808</v>
      </c>
      <c r="B19" s="787" t="s">
        <v>384</v>
      </c>
      <c r="C19" s="204"/>
      <c r="D19" s="204"/>
      <c r="E19" s="796">
        <f t="shared" si="2"/>
        <v>0</v>
      </c>
      <c r="F19" s="204"/>
      <c r="G19" s="796">
        <f t="shared" si="3"/>
        <v>0</v>
      </c>
      <c r="H19" s="282"/>
      <c r="I19" s="586" t="str">
        <f t="shared" si="0"/>
        <v/>
      </c>
      <c r="J19" s="796">
        <f t="shared" si="1"/>
        <v>0</v>
      </c>
      <c r="K19" s="204"/>
      <c r="L19" s="796">
        <f t="shared" si="4"/>
        <v>0</v>
      </c>
    </row>
    <row r="20" spans="1:12" x14ac:dyDescent="0.2">
      <c r="A20" s="828">
        <v>1810</v>
      </c>
      <c r="B20" s="787" t="s">
        <v>417</v>
      </c>
      <c r="C20" s="204"/>
      <c r="D20" s="204"/>
      <c r="E20" s="796">
        <f t="shared" si="2"/>
        <v>0</v>
      </c>
      <c r="F20" s="204"/>
      <c r="G20" s="796">
        <f t="shared" si="3"/>
        <v>0</v>
      </c>
      <c r="H20" s="282"/>
      <c r="I20" s="586" t="str">
        <f t="shared" si="0"/>
        <v/>
      </c>
      <c r="J20" s="796">
        <f t="shared" si="1"/>
        <v>0</v>
      </c>
      <c r="K20" s="204"/>
      <c r="L20" s="796">
        <f t="shared" si="4"/>
        <v>0</v>
      </c>
    </row>
    <row r="21" spans="1:12" x14ac:dyDescent="0.2">
      <c r="A21" s="828">
        <v>1815</v>
      </c>
      <c r="B21" s="787" t="s">
        <v>385</v>
      </c>
      <c r="C21" s="204"/>
      <c r="D21" s="204"/>
      <c r="E21" s="796">
        <f t="shared" si="2"/>
        <v>0</v>
      </c>
      <c r="F21" s="204"/>
      <c r="G21" s="796">
        <f t="shared" si="3"/>
        <v>0</v>
      </c>
      <c r="H21" s="282"/>
      <c r="I21" s="586" t="str">
        <f t="shared" si="0"/>
        <v/>
      </c>
      <c r="J21" s="796">
        <f t="shared" si="1"/>
        <v>0</v>
      </c>
      <c r="K21" s="204"/>
      <c r="L21" s="796">
        <f t="shared" si="4"/>
        <v>0</v>
      </c>
    </row>
    <row r="22" spans="1:12" x14ac:dyDescent="0.2">
      <c r="A22" s="828">
        <v>1820</v>
      </c>
      <c r="B22" s="783" t="s">
        <v>306</v>
      </c>
      <c r="C22" s="204"/>
      <c r="D22" s="204"/>
      <c r="E22" s="796">
        <f t="shared" si="2"/>
        <v>0</v>
      </c>
      <c r="F22" s="204"/>
      <c r="G22" s="796">
        <f t="shared" si="3"/>
        <v>0</v>
      </c>
      <c r="H22" s="282"/>
      <c r="I22" s="586" t="str">
        <f t="shared" si="0"/>
        <v/>
      </c>
      <c r="J22" s="796">
        <f t="shared" si="1"/>
        <v>0</v>
      </c>
      <c r="K22" s="204"/>
      <c r="L22" s="796">
        <f t="shared" si="4"/>
        <v>0</v>
      </c>
    </row>
    <row r="23" spans="1:12" x14ac:dyDescent="0.2">
      <c r="A23" s="828">
        <v>1825</v>
      </c>
      <c r="B23" s="787" t="s">
        <v>386</v>
      </c>
      <c r="C23" s="204"/>
      <c r="D23" s="204"/>
      <c r="E23" s="796">
        <f t="shared" si="2"/>
        <v>0</v>
      </c>
      <c r="F23" s="204"/>
      <c r="G23" s="796">
        <f t="shared" si="3"/>
        <v>0</v>
      </c>
      <c r="H23" s="282"/>
      <c r="I23" s="586" t="str">
        <f t="shared" si="0"/>
        <v/>
      </c>
      <c r="J23" s="796">
        <f t="shared" si="1"/>
        <v>0</v>
      </c>
      <c r="K23" s="204"/>
      <c r="L23" s="796">
        <f t="shared" si="4"/>
        <v>0</v>
      </c>
    </row>
    <row r="24" spans="1:12" x14ac:dyDescent="0.2">
      <c r="A24" s="828">
        <v>1830</v>
      </c>
      <c r="B24" s="787" t="s">
        <v>387</v>
      </c>
      <c r="C24" s="204"/>
      <c r="D24" s="204"/>
      <c r="E24" s="796">
        <f t="shared" si="2"/>
        <v>0</v>
      </c>
      <c r="F24" s="204"/>
      <c r="G24" s="796">
        <f t="shared" si="3"/>
        <v>0</v>
      </c>
      <c r="H24" s="282"/>
      <c r="I24" s="586" t="str">
        <f t="shared" si="0"/>
        <v/>
      </c>
      <c r="J24" s="796">
        <f t="shared" si="1"/>
        <v>0</v>
      </c>
      <c r="K24" s="204"/>
      <c r="L24" s="796">
        <f t="shared" si="4"/>
        <v>0</v>
      </c>
    </row>
    <row r="25" spans="1:12" x14ac:dyDescent="0.2">
      <c r="A25" s="828">
        <v>1835</v>
      </c>
      <c r="B25" s="787" t="s">
        <v>307</v>
      </c>
      <c r="C25" s="204"/>
      <c r="D25" s="204"/>
      <c r="E25" s="796">
        <f t="shared" si="2"/>
        <v>0</v>
      </c>
      <c r="F25" s="204"/>
      <c r="G25" s="796">
        <f t="shared" si="3"/>
        <v>0</v>
      </c>
      <c r="H25" s="282"/>
      <c r="I25" s="586" t="str">
        <f t="shared" si="0"/>
        <v/>
      </c>
      <c r="J25" s="796">
        <f t="shared" si="1"/>
        <v>0</v>
      </c>
      <c r="K25" s="204"/>
      <c r="L25" s="796">
        <f t="shared" si="4"/>
        <v>0</v>
      </c>
    </row>
    <row r="26" spans="1:12" x14ac:dyDescent="0.2">
      <c r="A26" s="828">
        <v>1840</v>
      </c>
      <c r="B26" s="787" t="s">
        <v>308</v>
      </c>
      <c r="C26" s="204"/>
      <c r="D26" s="204"/>
      <c r="E26" s="796">
        <f t="shared" si="2"/>
        <v>0</v>
      </c>
      <c r="F26" s="204"/>
      <c r="G26" s="796">
        <f t="shared" si="3"/>
        <v>0</v>
      </c>
      <c r="H26" s="282"/>
      <c r="I26" s="586" t="str">
        <f t="shared" si="0"/>
        <v/>
      </c>
      <c r="J26" s="796">
        <f t="shared" si="1"/>
        <v>0</v>
      </c>
      <c r="K26" s="204"/>
      <c r="L26" s="796">
        <f t="shared" si="4"/>
        <v>0</v>
      </c>
    </row>
    <row r="27" spans="1:12" x14ac:dyDescent="0.2">
      <c r="A27" s="828">
        <v>1845</v>
      </c>
      <c r="B27" s="787" t="s">
        <v>309</v>
      </c>
      <c r="C27" s="204"/>
      <c r="D27" s="204"/>
      <c r="E27" s="796">
        <f t="shared" si="2"/>
        <v>0</v>
      </c>
      <c r="F27" s="204"/>
      <c r="G27" s="796">
        <f t="shared" si="3"/>
        <v>0</v>
      </c>
      <c r="H27" s="282"/>
      <c r="I27" s="586" t="str">
        <f t="shared" si="0"/>
        <v/>
      </c>
      <c r="J27" s="796">
        <f t="shared" si="1"/>
        <v>0</v>
      </c>
      <c r="K27" s="204"/>
      <c r="L27" s="796">
        <f t="shared" si="4"/>
        <v>0</v>
      </c>
    </row>
    <row r="28" spans="1:12" x14ac:dyDescent="0.2">
      <c r="A28" s="828">
        <v>1850</v>
      </c>
      <c r="B28" s="787" t="s">
        <v>388</v>
      </c>
      <c r="C28" s="204"/>
      <c r="D28" s="204"/>
      <c r="E28" s="796">
        <f t="shared" si="2"/>
        <v>0</v>
      </c>
      <c r="F28" s="204"/>
      <c r="G28" s="796">
        <f t="shared" si="3"/>
        <v>0</v>
      </c>
      <c r="H28" s="282"/>
      <c r="I28" s="586" t="str">
        <f t="shared" si="0"/>
        <v/>
      </c>
      <c r="J28" s="796">
        <f t="shared" si="1"/>
        <v>0</v>
      </c>
      <c r="K28" s="204"/>
      <c r="L28" s="796">
        <f t="shared" si="4"/>
        <v>0</v>
      </c>
    </row>
    <row r="29" spans="1:12" x14ac:dyDescent="0.2">
      <c r="A29" s="828">
        <v>1855</v>
      </c>
      <c r="B29" s="787" t="s">
        <v>310</v>
      </c>
      <c r="C29" s="204"/>
      <c r="D29" s="204"/>
      <c r="E29" s="796">
        <f t="shared" si="2"/>
        <v>0</v>
      </c>
      <c r="F29" s="204"/>
      <c r="G29" s="796">
        <f t="shared" si="3"/>
        <v>0</v>
      </c>
      <c r="H29" s="282"/>
      <c r="I29" s="586" t="str">
        <f t="shared" si="0"/>
        <v/>
      </c>
      <c r="J29" s="796">
        <f t="shared" si="1"/>
        <v>0</v>
      </c>
      <c r="K29" s="204"/>
      <c r="L29" s="796">
        <f t="shared" si="4"/>
        <v>0</v>
      </c>
    </row>
    <row r="30" spans="1:12" x14ac:dyDescent="0.2">
      <c r="A30" s="828">
        <v>1860</v>
      </c>
      <c r="B30" s="787" t="s">
        <v>389</v>
      </c>
      <c r="C30" s="204"/>
      <c r="D30" s="204"/>
      <c r="E30" s="796">
        <f t="shared" si="2"/>
        <v>0</v>
      </c>
      <c r="F30" s="204"/>
      <c r="G30" s="796">
        <f t="shared" si="3"/>
        <v>0</v>
      </c>
      <c r="H30" s="282"/>
      <c r="I30" s="586" t="str">
        <f t="shared" si="0"/>
        <v/>
      </c>
      <c r="J30" s="796">
        <f t="shared" si="1"/>
        <v>0</v>
      </c>
      <c r="K30" s="204"/>
      <c r="L30" s="796">
        <f t="shared" si="4"/>
        <v>0</v>
      </c>
    </row>
    <row r="31" spans="1:12" x14ac:dyDescent="0.2">
      <c r="A31" s="829">
        <v>1860</v>
      </c>
      <c r="B31" s="786" t="s">
        <v>311</v>
      </c>
      <c r="C31" s="204"/>
      <c r="D31" s="204"/>
      <c r="E31" s="796">
        <f t="shared" si="2"/>
        <v>0</v>
      </c>
      <c r="F31" s="204"/>
      <c r="G31" s="796">
        <f t="shared" si="3"/>
        <v>0</v>
      </c>
      <c r="H31" s="282"/>
      <c r="I31" s="586" t="str">
        <f t="shared" si="0"/>
        <v/>
      </c>
      <c r="J31" s="796">
        <f t="shared" si="1"/>
        <v>0</v>
      </c>
      <c r="K31" s="204"/>
      <c r="L31" s="796">
        <f t="shared" si="4"/>
        <v>0</v>
      </c>
    </row>
    <row r="32" spans="1:12" x14ac:dyDescent="0.2">
      <c r="A32" s="829">
        <v>1905</v>
      </c>
      <c r="B32" s="786" t="s">
        <v>383</v>
      </c>
      <c r="C32" s="204"/>
      <c r="D32" s="204"/>
      <c r="E32" s="796">
        <f t="shared" si="2"/>
        <v>0</v>
      </c>
      <c r="F32" s="204"/>
      <c r="G32" s="796">
        <f t="shared" si="3"/>
        <v>0</v>
      </c>
      <c r="H32" s="282"/>
      <c r="I32" s="586" t="str">
        <f t="shared" si="0"/>
        <v/>
      </c>
      <c r="J32" s="796">
        <f t="shared" si="1"/>
        <v>0</v>
      </c>
      <c r="K32" s="204"/>
      <c r="L32" s="796">
        <f t="shared" si="4"/>
        <v>0</v>
      </c>
    </row>
    <row r="33" spans="1:12" x14ac:dyDescent="0.2">
      <c r="A33" s="828">
        <v>1908</v>
      </c>
      <c r="B33" s="787" t="s">
        <v>391</v>
      </c>
      <c r="C33" s="204"/>
      <c r="D33" s="204"/>
      <c r="E33" s="796">
        <f t="shared" si="2"/>
        <v>0</v>
      </c>
      <c r="F33" s="204"/>
      <c r="G33" s="796">
        <f t="shared" si="3"/>
        <v>0</v>
      </c>
      <c r="H33" s="282"/>
      <c r="I33" s="586" t="str">
        <f t="shared" si="0"/>
        <v/>
      </c>
      <c r="J33" s="796">
        <f t="shared" si="1"/>
        <v>0</v>
      </c>
      <c r="K33" s="204"/>
      <c r="L33" s="796">
        <f t="shared" si="4"/>
        <v>0</v>
      </c>
    </row>
    <row r="34" spans="1:12" x14ac:dyDescent="0.2">
      <c r="A34" s="828">
        <v>1910</v>
      </c>
      <c r="B34" s="787" t="s">
        <v>417</v>
      </c>
      <c r="C34" s="204"/>
      <c r="D34" s="204"/>
      <c r="E34" s="796">
        <f t="shared" si="2"/>
        <v>0</v>
      </c>
      <c r="F34" s="204"/>
      <c r="G34" s="796">
        <f t="shared" si="3"/>
        <v>0</v>
      </c>
      <c r="H34" s="282"/>
      <c r="I34" s="586" t="str">
        <f t="shared" si="0"/>
        <v/>
      </c>
      <c r="J34" s="796">
        <f t="shared" si="1"/>
        <v>0</v>
      </c>
      <c r="K34" s="204"/>
      <c r="L34" s="796">
        <f t="shared" si="4"/>
        <v>0</v>
      </c>
    </row>
    <row r="35" spans="1:12" x14ac:dyDescent="0.2">
      <c r="A35" s="828">
        <v>1915</v>
      </c>
      <c r="B35" s="787" t="s">
        <v>312</v>
      </c>
      <c r="C35" s="204"/>
      <c r="D35" s="204"/>
      <c r="E35" s="796">
        <f t="shared" si="2"/>
        <v>0</v>
      </c>
      <c r="F35" s="204"/>
      <c r="G35" s="796">
        <f t="shared" si="3"/>
        <v>0</v>
      </c>
      <c r="H35" s="282"/>
      <c r="I35" s="586" t="str">
        <f t="shared" si="0"/>
        <v/>
      </c>
      <c r="J35" s="796">
        <f t="shared" si="1"/>
        <v>0</v>
      </c>
      <c r="K35" s="204"/>
      <c r="L35" s="796">
        <f t="shared" si="4"/>
        <v>0</v>
      </c>
    </row>
    <row r="36" spans="1:12" x14ac:dyDescent="0.2">
      <c r="A36" s="828">
        <v>1915</v>
      </c>
      <c r="B36" s="787" t="s">
        <v>313</v>
      </c>
      <c r="C36" s="204"/>
      <c r="D36" s="204"/>
      <c r="E36" s="796">
        <f t="shared" si="2"/>
        <v>0</v>
      </c>
      <c r="F36" s="204"/>
      <c r="G36" s="796">
        <f t="shared" si="3"/>
        <v>0</v>
      </c>
      <c r="H36" s="282"/>
      <c r="I36" s="586" t="str">
        <f t="shared" si="0"/>
        <v/>
      </c>
      <c r="J36" s="796">
        <f t="shared" si="1"/>
        <v>0</v>
      </c>
      <c r="K36" s="204"/>
      <c r="L36" s="796">
        <f t="shared" si="4"/>
        <v>0</v>
      </c>
    </row>
    <row r="37" spans="1:12" x14ac:dyDescent="0.2">
      <c r="A37" s="828">
        <v>1920</v>
      </c>
      <c r="B37" s="787" t="s">
        <v>314</v>
      </c>
      <c r="C37" s="204"/>
      <c r="D37" s="204"/>
      <c r="E37" s="796">
        <f t="shared" si="2"/>
        <v>0</v>
      </c>
      <c r="F37" s="204"/>
      <c r="G37" s="796">
        <f t="shared" si="3"/>
        <v>0</v>
      </c>
      <c r="H37" s="282"/>
      <c r="I37" s="586" t="str">
        <f t="shared" si="0"/>
        <v/>
      </c>
      <c r="J37" s="796">
        <f t="shared" si="1"/>
        <v>0</v>
      </c>
      <c r="K37" s="204"/>
      <c r="L37" s="796">
        <f t="shared" si="4"/>
        <v>0</v>
      </c>
    </row>
    <row r="38" spans="1:12" x14ac:dyDescent="0.2">
      <c r="A38" s="830">
        <v>1920</v>
      </c>
      <c r="B38" s="783" t="s">
        <v>316</v>
      </c>
      <c r="C38" s="204"/>
      <c r="D38" s="204"/>
      <c r="E38" s="796">
        <f t="shared" si="2"/>
        <v>0</v>
      </c>
      <c r="F38" s="204"/>
      <c r="G38" s="796">
        <f t="shared" si="3"/>
        <v>0</v>
      </c>
      <c r="H38" s="282"/>
      <c r="I38" s="586" t="str">
        <f t="shared" si="0"/>
        <v/>
      </c>
      <c r="J38" s="796">
        <f t="shared" si="1"/>
        <v>0</v>
      </c>
      <c r="K38" s="204"/>
      <c r="L38" s="796">
        <f t="shared" si="4"/>
        <v>0</v>
      </c>
    </row>
    <row r="39" spans="1:12" x14ac:dyDescent="0.2">
      <c r="A39" s="830">
        <v>1920</v>
      </c>
      <c r="B39" s="783" t="s">
        <v>315</v>
      </c>
      <c r="C39" s="204"/>
      <c r="D39" s="204"/>
      <c r="E39" s="796">
        <f t="shared" si="2"/>
        <v>0</v>
      </c>
      <c r="F39" s="204"/>
      <c r="G39" s="796">
        <f t="shared" si="3"/>
        <v>0</v>
      </c>
      <c r="H39" s="282"/>
      <c r="I39" s="586" t="str">
        <f t="shared" si="0"/>
        <v/>
      </c>
      <c r="J39" s="796">
        <f t="shared" si="1"/>
        <v>0</v>
      </c>
      <c r="K39" s="204"/>
      <c r="L39" s="796">
        <f t="shared" si="4"/>
        <v>0</v>
      </c>
    </row>
    <row r="40" spans="1:12" x14ac:dyDescent="0.2">
      <c r="A40" s="828">
        <v>1930</v>
      </c>
      <c r="B40" s="787" t="s">
        <v>404</v>
      </c>
      <c r="C40" s="204"/>
      <c r="D40" s="204"/>
      <c r="E40" s="796">
        <f t="shared" si="2"/>
        <v>0</v>
      </c>
      <c r="F40" s="204"/>
      <c r="G40" s="796">
        <f t="shared" si="3"/>
        <v>0</v>
      </c>
      <c r="H40" s="282"/>
      <c r="I40" s="586" t="str">
        <f t="shared" si="0"/>
        <v/>
      </c>
      <c r="J40" s="796">
        <f t="shared" si="1"/>
        <v>0</v>
      </c>
      <c r="K40" s="204"/>
      <c r="L40" s="796">
        <f t="shared" si="4"/>
        <v>0</v>
      </c>
    </row>
    <row r="41" spans="1:12" x14ac:dyDescent="0.2">
      <c r="A41" s="828">
        <v>1935</v>
      </c>
      <c r="B41" s="787" t="s">
        <v>405</v>
      </c>
      <c r="C41" s="204"/>
      <c r="D41" s="204"/>
      <c r="E41" s="796">
        <f t="shared" si="2"/>
        <v>0</v>
      </c>
      <c r="F41" s="204"/>
      <c r="G41" s="796">
        <f t="shared" si="3"/>
        <v>0</v>
      </c>
      <c r="H41" s="282"/>
      <c r="I41" s="586" t="str">
        <f t="shared" si="0"/>
        <v/>
      </c>
      <c r="J41" s="796">
        <f t="shared" si="1"/>
        <v>0</v>
      </c>
      <c r="K41" s="204"/>
      <c r="L41" s="796">
        <f t="shared" si="4"/>
        <v>0</v>
      </c>
    </row>
    <row r="42" spans="1:12" x14ac:dyDescent="0.2">
      <c r="A42" s="828">
        <v>1940</v>
      </c>
      <c r="B42" s="787" t="s">
        <v>406</v>
      </c>
      <c r="C42" s="204"/>
      <c r="D42" s="204"/>
      <c r="E42" s="796">
        <f t="shared" si="2"/>
        <v>0</v>
      </c>
      <c r="F42" s="204"/>
      <c r="G42" s="796">
        <f t="shared" si="3"/>
        <v>0</v>
      </c>
      <c r="H42" s="282"/>
      <c r="I42" s="586" t="str">
        <f t="shared" si="0"/>
        <v/>
      </c>
      <c r="J42" s="796">
        <f t="shared" si="1"/>
        <v>0</v>
      </c>
      <c r="K42" s="204"/>
      <c r="L42" s="796">
        <f t="shared" si="4"/>
        <v>0</v>
      </c>
    </row>
    <row r="43" spans="1:12" x14ac:dyDescent="0.2">
      <c r="A43" s="828">
        <v>1945</v>
      </c>
      <c r="B43" s="787" t="s">
        <v>407</v>
      </c>
      <c r="C43" s="204"/>
      <c r="D43" s="204"/>
      <c r="E43" s="796">
        <f t="shared" si="2"/>
        <v>0</v>
      </c>
      <c r="F43" s="204"/>
      <c r="G43" s="796">
        <f t="shared" si="3"/>
        <v>0</v>
      </c>
      <c r="H43" s="282"/>
      <c r="I43" s="586" t="str">
        <f t="shared" si="0"/>
        <v/>
      </c>
      <c r="J43" s="796">
        <f t="shared" si="1"/>
        <v>0</v>
      </c>
      <c r="K43" s="204"/>
      <c r="L43" s="796">
        <f t="shared" si="4"/>
        <v>0</v>
      </c>
    </row>
    <row r="44" spans="1:12" x14ac:dyDescent="0.2">
      <c r="A44" s="828">
        <v>1950</v>
      </c>
      <c r="B44" s="787" t="s">
        <v>317</v>
      </c>
      <c r="C44" s="204"/>
      <c r="D44" s="204"/>
      <c r="E44" s="796">
        <f t="shared" si="2"/>
        <v>0</v>
      </c>
      <c r="F44" s="204"/>
      <c r="G44" s="796">
        <f t="shared" si="3"/>
        <v>0</v>
      </c>
      <c r="H44" s="282"/>
      <c r="I44" s="586" t="str">
        <f t="shared" si="0"/>
        <v/>
      </c>
      <c r="J44" s="796">
        <f t="shared" si="1"/>
        <v>0</v>
      </c>
      <c r="K44" s="204"/>
      <c r="L44" s="796">
        <f t="shared" si="4"/>
        <v>0</v>
      </c>
    </row>
    <row r="45" spans="1:12" x14ac:dyDescent="0.2">
      <c r="A45" s="828">
        <v>1955</v>
      </c>
      <c r="B45" s="787" t="s">
        <v>408</v>
      </c>
      <c r="C45" s="204"/>
      <c r="D45" s="204"/>
      <c r="E45" s="796">
        <f t="shared" si="2"/>
        <v>0</v>
      </c>
      <c r="F45" s="204"/>
      <c r="G45" s="796">
        <f t="shared" si="3"/>
        <v>0</v>
      </c>
      <c r="H45" s="282"/>
      <c r="I45" s="586" t="str">
        <f t="shared" si="0"/>
        <v/>
      </c>
      <c r="J45" s="796">
        <f t="shared" si="1"/>
        <v>0</v>
      </c>
      <c r="K45" s="204"/>
      <c r="L45" s="796">
        <f t="shared" si="4"/>
        <v>0</v>
      </c>
    </row>
    <row r="46" spans="1:12" x14ac:dyDescent="0.2">
      <c r="A46" s="831">
        <v>1955</v>
      </c>
      <c r="B46" s="790" t="s">
        <v>318</v>
      </c>
      <c r="C46" s="204"/>
      <c r="D46" s="204"/>
      <c r="E46" s="796">
        <f t="shared" si="2"/>
        <v>0</v>
      </c>
      <c r="F46" s="204"/>
      <c r="G46" s="796">
        <f t="shared" si="3"/>
        <v>0</v>
      </c>
      <c r="H46" s="282"/>
      <c r="I46" s="586" t="str">
        <f t="shared" si="0"/>
        <v/>
      </c>
      <c r="J46" s="796">
        <f t="shared" si="1"/>
        <v>0</v>
      </c>
      <c r="K46" s="204"/>
      <c r="L46" s="796">
        <f t="shared" si="4"/>
        <v>0</v>
      </c>
    </row>
    <row r="47" spans="1:12" x14ac:dyDescent="0.2">
      <c r="A47" s="830">
        <v>1960</v>
      </c>
      <c r="B47" s="783" t="s">
        <v>319</v>
      </c>
      <c r="C47" s="204"/>
      <c r="D47" s="204"/>
      <c r="E47" s="796">
        <f t="shared" si="2"/>
        <v>0</v>
      </c>
      <c r="F47" s="204"/>
      <c r="G47" s="796">
        <f t="shared" si="3"/>
        <v>0</v>
      </c>
      <c r="H47" s="282"/>
      <c r="I47" s="586" t="str">
        <f t="shared" si="0"/>
        <v/>
      </c>
      <c r="J47" s="796">
        <f t="shared" si="1"/>
        <v>0</v>
      </c>
      <c r="K47" s="204"/>
      <c r="L47" s="796">
        <f t="shared" si="4"/>
        <v>0</v>
      </c>
    </row>
    <row r="48" spans="1:12" x14ac:dyDescent="0.2">
      <c r="A48" s="830">
        <v>1970</v>
      </c>
      <c r="B48" s="900" t="s">
        <v>929</v>
      </c>
      <c r="C48" s="204"/>
      <c r="D48" s="204"/>
      <c r="E48" s="796">
        <f t="shared" si="2"/>
        <v>0</v>
      </c>
      <c r="F48" s="204"/>
      <c r="G48" s="796">
        <f t="shared" si="3"/>
        <v>0</v>
      </c>
      <c r="H48" s="282"/>
      <c r="I48" s="586" t="str">
        <f t="shared" si="0"/>
        <v/>
      </c>
      <c r="J48" s="796">
        <f t="shared" si="1"/>
        <v>0</v>
      </c>
      <c r="K48" s="204"/>
      <c r="L48" s="796">
        <f t="shared" si="4"/>
        <v>0</v>
      </c>
    </row>
    <row r="49" spans="1:14" x14ac:dyDescent="0.2">
      <c r="A49" s="828">
        <v>1975</v>
      </c>
      <c r="B49" s="787" t="s">
        <v>409</v>
      </c>
      <c r="C49" s="204"/>
      <c r="D49" s="204"/>
      <c r="E49" s="796">
        <f t="shared" si="2"/>
        <v>0</v>
      </c>
      <c r="F49" s="204"/>
      <c r="G49" s="796">
        <f t="shared" si="3"/>
        <v>0</v>
      </c>
      <c r="H49" s="282"/>
      <c r="I49" s="586" t="str">
        <f t="shared" si="0"/>
        <v/>
      </c>
      <c r="J49" s="796">
        <f t="shared" si="1"/>
        <v>0</v>
      </c>
      <c r="K49" s="204"/>
      <c r="L49" s="796">
        <f t="shared" si="4"/>
        <v>0</v>
      </c>
    </row>
    <row r="50" spans="1:14" x14ac:dyDescent="0.2">
      <c r="A50" s="828">
        <v>1980</v>
      </c>
      <c r="B50" s="787" t="s">
        <v>410</v>
      </c>
      <c r="C50" s="204"/>
      <c r="D50" s="204"/>
      <c r="E50" s="796">
        <f t="shared" si="2"/>
        <v>0</v>
      </c>
      <c r="F50" s="204"/>
      <c r="G50" s="796">
        <f t="shared" si="3"/>
        <v>0</v>
      </c>
      <c r="H50" s="282"/>
      <c r="I50" s="586" t="str">
        <f t="shared" si="0"/>
        <v/>
      </c>
      <c r="J50" s="796">
        <f t="shared" si="1"/>
        <v>0</v>
      </c>
      <c r="K50" s="204"/>
      <c r="L50" s="796">
        <f t="shared" si="4"/>
        <v>0</v>
      </c>
    </row>
    <row r="51" spans="1:14" x14ac:dyDescent="0.2">
      <c r="A51" s="828">
        <v>1985</v>
      </c>
      <c r="B51" s="787" t="s">
        <v>411</v>
      </c>
      <c r="C51" s="204"/>
      <c r="D51" s="204"/>
      <c r="E51" s="796">
        <f t="shared" si="2"/>
        <v>0</v>
      </c>
      <c r="F51" s="204"/>
      <c r="G51" s="796">
        <f t="shared" si="3"/>
        <v>0</v>
      </c>
      <c r="H51" s="282"/>
      <c r="I51" s="586" t="str">
        <f t="shared" si="0"/>
        <v/>
      </c>
      <c r="J51" s="796">
        <f t="shared" si="1"/>
        <v>0</v>
      </c>
      <c r="K51" s="204"/>
      <c r="L51" s="796">
        <f t="shared" si="4"/>
        <v>0</v>
      </c>
    </row>
    <row r="52" spans="1:14" x14ac:dyDescent="0.2">
      <c r="A52" s="828">
        <v>1990</v>
      </c>
      <c r="B52" s="791" t="s">
        <v>774</v>
      </c>
      <c r="C52" s="204"/>
      <c r="D52" s="204"/>
      <c r="E52" s="796">
        <f t="shared" si="2"/>
        <v>0</v>
      </c>
      <c r="F52" s="204"/>
      <c r="G52" s="796">
        <f t="shared" si="3"/>
        <v>0</v>
      </c>
      <c r="H52" s="282"/>
      <c r="I52" s="586" t="str">
        <f t="shared" si="0"/>
        <v/>
      </c>
      <c r="J52" s="796">
        <f t="shared" si="1"/>
        <v>0</v>
      </c>
      <c r="K52" s="204"/>
      <c r="L52" s="796">
        <f t="shared" si="4"/>
        <v>0</v>
      </c>
    </row>
    <row r="53" spans="1:14" x14ac:dyDescent="0.2">
      <c r="A53" s="828">
        <v>1995</v>
      </c>
      <c r="B53" s="787" t="s">
        <v>412</v>
      </c>
      <c r="C53" s="204"/>
      <c r="D53" s="204"/>
      <c r="E53" s="796">
        <f t="shared" si="2"/>
        <v>0</v>
      </c>
      <c r="F53" s="204"/>
      <c r="G53" s="796">
        <f t="shared" si="3"/>
        <v>0</v>
      </c>
      <c r="H53" s="282"/>
      <c r="I53" s="586" t="str">
        <f t="shared" si="0"/>
        <v/>
      </c>
      <c r="J53" s="796">
        <f t="shared" si="1"/>
        <v>0</v>
      </c>
      <c r="K53" s="204"/>
      <c r="L53" s="796">
        <f t="shared" si="4"/>
        <v>0</v>
      </c>
    </row>
    <row r="54" spans="1:14" x14ac:dyDescent="0.2">
      <c r="A54" s="227" t="s">
        <v>13</v>
      </c>
      <c r="B54" s="228"/>
      <c r="C54" s="204"/>
      <c r="D54" s="204"/>
      <c r="E54" s="796">
        <f t="shared" si="2"/>
        <v>0</v>
      </c>
      <c r="F54" s="204"/>
      <c r="G54" s="796">
        <f t="shared" si="3"/>
        <v>0</v>
      </c>
      <c r="H54" s="282"/>
      <c r="I54" s="586" t="str">
        <f t="shared" si="0"/>
        <v/>
      </c>
      <c r="J54" s="796">
        <f t="shared" si="1"/>
        <v>0</v>
      </c>
      <c r="K54" s="204"/>
      <c r="L54" s="796">
        <f t="shared" si="4"/>
        <v>0</v>
      </c>
    </row>
    <row r="55" spans="1:14" ht="13.5" thickBot="1" x14ac:dyDescent="0.25">
      <c r="A55" s="229"/>
      <c r="B55" s="230"/>
      <c r="C55" s="204"/>
      <c r="D55" s="204"/>
      <c r="E55" s="796">
        <f t="shared" si="2"/>
        <v>0</v>
      </c>
      <c r="F55" s="204"/>
      <c r="G55" s="796">
        <f t="shared" si="3"/>
        <v>0</v>
      </c>
      <c r="H55" s="283"/>
      <c r="I55" s="593" t="str">
        <f t="shared" si="0"/>
        <v/>
      </c>
      <c r="J55" s="796">
        <f t="shared" si="1"/>
        <v>0</v>
      </c>
      <c r="K55" s="204"/>
      <c r="L55" s="796">
        <f t="shared" si="4"/>
        <v>0</v>
      </c>
    </row>
    <row r="56" spans="1:14" ht="14.25" thickTop="1" thickBot="1" x14ac:dyDescent="0.25">
      <c r="A56" s="231"/>
      <c r="B56" s="232" t="s">
        <v>413</v>
      </c>
      <c r="C56" s="796">
        <f>SUM(C16:C55)</f>
        <v>0</v>
      </c>
      <c r="D56" s="796">
        <f>SUM(D16:D55)</f>
        <v>0</v>
      </c>
      <c r="E56" s="796">
        <f>SUM(E16:E55)</f>
        <v>0</v>
      </c>
      <c r="F56" s="796">
        <f>SUM(F16:F55)</f>
        <v>0</v>
      </c>
      <c r="G56" s="796">
        <f>SUM(G16:G55)</f>
        <v>0</v>
      </c>
      <c r="H56" s="234"/>
      <c r="I56" s="588"/>
      <c r="J56" s="796">
        <f>SUM(J16:J55)</f>
        <v>0</v>
      </c>
      <c r="K56" s="796">
        <f>SUM(K16:K55)</f>
        <v>0</v>
      </c>
      <c r="L56" s="796">
        <f>SUM(L16:L55)</f>
        <v>0</v>
      </c>
    </row>
    <row r="58" spans="1:14" x14ac:dyDescent="0.2">
      <c r="A58" s="217" t="s">
        <v>15</v>
      </c>
      <c r="B58" s="236"/>
      <c r="C58" s="236"/>
      <c r="D58" s="236"/>
      <c r="E58" s="236"/>
      <c r="F58" s="236"/>
      <c r="G58" s="236"/>
      <c r="H58" s="236"/>
      <c r="I58" s="236"/>
      <c r="J58" s="236"/>
    </row>
    <row r="59" spans="1:14" ht="27.75" customHeight="1" x14ac:dyDescent="0.2">
      <c r="A59" s="301">
        <v>1</v>
      </c>
      <c r="B59" s="1790" t="s">
        <v>607</v>
      </c>
      <c r="C59" s="1790"/>
      <c r="D59" s="1790"/>
      <c r="E59" s="1790"/>
      <c r="F59" s="1790"/>
      <c r="G59" s="1790"/>
      <c r="H59" s="1790"/>
      <c r="I59" s="1790"/>
      <c r="J59" s="1790"/>
      <c r="K59" s="1790"/>
      <c r="L59" s="1790"/>
    </row>
    <row r="60" spans="1:14" x14ac:dyDescent="0.2">
      <c r="A60" s="284">
        <v>2</v>
      </c>
      <c r="B60" s="1857" t="s">
        <v>1934</v>
      </c>
      <c r="C60" s="1857"/>
      <c r="D60" s="1857"/>
      <c r="E60" s="1857"/>
      <c r="F60" s="1857"/>
      <c r="G60" s="1857"/>
      <c r="H60" s="1857"/>
      <c r="I60" s="1857"/>
      <c r="J60" s="1857"/>
      <c r="K60" s="1857"/>
      <c r="L60" s="1857"/>
    </row>
    <row r="61" spans="1:14" x14ac:dyDescent="0.2">
      <c r="A61" s="284"/>
      <c r="B61" s="949"/>
      <c r="C61" s="949"/>
      <c r="D61" s="949"/>
      <c r="E61" s="949"/>
      <c r="F61" s="949"/>
      <c r="G61" s="949"/>
      <c r="H61" s="949"/>
      <c r="I61" s="949"/>
      <c r="J61" s="949"/>
      <c r="K61" s="949"/>
      <c r="L61" s="949"/>
    </row>
    <row r="62" spans="1:14" ht="12.75" customHeight="1" x14ac:dyDescent="0.2">
      <c r="A62" s="217" t="s">
        <v>325</v>
      </c>
      <c r="B62" s="1869" t="s">
        <v>270</v>
      </c>
      <c r="C62" s="1869"/>
      <c r="D62" s="1869"/>
      <c r="E62" s="1869"/>
      <c r="F62" s="1869"/>
      <c r="G62" s="1869"/>
      <c r="H62" s="1869"/>
      <c r="I62" s="1869"/>
      <c r="J62" s="1869"/>
      <c r="K62" s="1869"/>
      <c r="L62" s="1869"/>
      <c r="M62" s="686"/>
      <c r="N62" s="686"/>
    </row>
    <row r="63" spans="1:14" x14ac:dyDescent="0.2">
      <c r="A63" s="236"/>
      <c r="B63" s="1869"/>
      <c r="C63" s="1869"/>
      <c r="D63" s="1869"/>
      <c r="E63" s="1869"/>
      <c r="F63" s="1869"/>
      <c r="G63" s="1869"/>
      <c r="H63" s="1869"/>
      <c r="I63" s="1869"/>
      <c r="J63" s="1869"/>
      <c r="K63" s="1869"/>
      <c r="L63" s="1869"/>
      <c r="M63" s="686"/>
      <c r="N63" s="686"/>
    </row>
    <row r="64" spans="1:14" x14ac:dyDescent="0.2">
      <c r="B64" s="1869"/>
      <c r="C64" s="1869"/>
      <c r="D64" s="1869"/>
      <c r="E64" s="1869"/>
      <c r="F64" s="1869"/>
      <c r="G64" s="1869"/>
      <c r="H64" s="1869"/>
      <c r="I64" s="1869"/>
      <c r="J64" s="1869"/>
      <c r="K64" s="1869"/>
      <c r="L64" s="1869"/>
      <c r="M64" s="686"/>
      <c r="N64" s="686"/>
    </row>
    <row r="75" spans="1:10" ht="12.75" customHeight="1" x14ac:dyDescent="0.2"/>
    <row r="76" spans="1:10" x14ac:dyDescent="0.2">
      <c r="A76" s="684"/>
      <c r="B76" s="684"/>
      <c r="C76" s="684"/>
      <c r="D76" s="684"/>
      <c r="E76" s="684"/>
      <c r="F76" s="684"/>
      <c r="G76" s="684"/>
      <c r="H76" s="684"/>
      <c r="I76" s="684"/>
      <c r="J76" s="236"/>
    </row>
    <row r="77" spans="1:10" x14ac:dyDescent="0.2">
      <c r="A77" s="217"/>
    </row>
    <row r="78" spans="1:10" x14ac:dyDescent="0.2">
      <c r="A78" s="236"/>
    </row>
    <row r="79" spans="1:10" x14ac:dyDescent="0.2">
      <c r="A79" s="236"/>
    </row>
  </sheetData>
  <mergeCells count="9">
    <mergeCell ref="B59:L59"/>
    <mergeCell ref="B60:L60"/>
    <mergeCell ref="B62:L64"/>
    <mergeCell ref="A9:L9"/>
    <mergeCell ref="A10:L10"/>
    <mergeCell ref="A11:L11"/>
    <mergeCell ref="A14:A15"/>
    <mergeCell ref="B14:B15"/>
    <mergeCell ref="K14:K15"/>
  </mergeCells>
  <dataValidations count="1">
    <dataValidation allowBlank="1" showInputMessage="1" showErrorMessage="1" promptTitle="Date Format" prompt="E.g:  &quot;August 1, 2011&quot;"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dataValidations>
  <printOptions horizontalCentered="1"/>
  <pageMargins left="0.74803149606299213" right="0.74803149606299213" top="0.70866141732283472" bottom="0.39370078740157483" header="0.39370078740157483" footer="0.27559055118110237"/>
  <pageSetup scale="4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3:G6"/>
  <sheetViews>
    <sheetView showGridLines="0" topLeftCell="A7" zoomScaleNormal="100" workbookViewId="0"/>
  </sheetViews>
  <sheetFormatPr defaultRowHeight="12.75" x14ac:dyDescent="0.2"/>
  <cols>
    <col min="1" max="1" width="2.7109375" customWidth="1"/>
    <col min="2" max="2" width="81.85546875" customWidth="1"/>
    <col min="6" max="6" width="12.7109375" bestFit="1" customWidth="1"/>
    <col min="7" max="7" width="10.7109375" customWidth="1"/>
  </cols>
  <sheetData>
    <row r="3" spans="2:7" ht="18" x14ac:dyDescent="0.25">
      <c r="B3" s="1746"/>
      <c r="C3" s="1746"/>
      <c r="D3" s="1746"/>
      <c r="E3" s="1746"/>
      <c r="F3" s="1746"/>
      <c r="G3" s="1746"/>
    </row>
    <row r="4" spans="2:7" ht="18" x14ac:dyDescent="0.25">
      <c r="B4" s="1746" t="s">
        <v>165</v>
      </c>
      <c r="C4" s="1746"/>
      <c r="D4" s="1746"/>
      <c r="E4" s="1746"/>
      <c r="F4" s="1746"/>
      <c r="G4" s="1746"/>
    </row>
    <row r="6" spans="2:7" ht="51" customHeight="1" x14ac:dyDescent="0.2">
      <c r="B6" s="1724" t="s">
        <v>403</v>
      </c>
      <c r="C6" s="1724"/>
      <c r="D6" s="1724"/>
      <c r="E6" s="1724"/>
      <c r="F6" s="1724"/>
      <c r="G6" s="1724"/>
    </row>
  </sheetData>
  <mergeCells count="3">
    <mergeCell ref="B6:G6"/>
    <mergeCell ref="B3:G3"/>
    <mergeCell ref="B4:G4"/>
  </mergeCells>
  <phoneticPr fontId="11"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64"/>
  <sheetViews>
    <sheetView showGridLines="0" zoomScaleNormal="100" workbookViewId="0">
      <selection activeCell="K2" sqref="K2"/>
    </sheetView>
  </sheetViews>
  <sheetFormatPr defaultRowHeight="12.75" x14ac:dyDescent="0.2"/>
  <cols>
    <col min="1" max="1" width="9.140625" style="216"/>
    <col min="2" max="2" width="42.5703125" style="216" customWidth="1"/>
    <col min="3" max="4" width="12" style="216" customWidth="1"/>
    <col min="5" max="5" width="13" style="216" customWidth="1"/>
    <col min="6" max="6" width="10" style="216" customWidth="1"/>
    <col min="7" max="7" width="17.85546875" style="216" customWidth="1"/>
    <col min="8" max="8" width="7.7109375" style="216" customWidth="1"/>
    <col min="9" max="9" width="12.28515625" style="216" customWidth="1"/>
    <col min="10" max="10" width="12.7109375" style="216" customWidth="1"/>
    <col min="11" max="11" width="21.42578125" style="216" customWidth="1"/>
    <col min="12" max="12" width="11.42578125" style="216" customWidth="1"/>
    <col min="13" max="257" width="9.140625" style="216"/>
    <col min="258" max="258" width="2.7109375" style="216" customWidth="1"/>
    <col min="259" max="259" width="9.140625" style="216"/>
    <col min="260" max="260" width="40.28515625" style="216" bestFit="1" customWidth="1"/>
    <col min="261" max="261" width="10.7109375" style="216" customWidth="1"/>
    <col min="262" max="262" width="10" style="216" customWidth="1"/>
    <col min="263" max="263" width="17.85546875" style="216" customWidth="1"/>
    <col min="264" max="264" width="7.7109375" style="216" customWidth="1"/>
    <col min="265" max="265" width="12.28515625" style="216" customWidth="1"/>
    <col min="266" max="266" width="12.7109375" style="216" customWidth="1"/>
    <col min="267" max="267" width="14.140625" style="216" customWidth="1"/>
    <col min="268" max="268" width="11.140625" style="216" customWidth="1"/>
    <col min="269" max="513" width="9.140625" style="216"/>
    <col min="514" max="514" width="2.7109375" style="216" customWidth="1"/>
    <col min="515" max="515" width="9.140625" style="216"/>
    <col min="516" max="516" width="40.28515625" style="216" bestFit="1" customWidth="1"/>
    <col min="517" max="517" width="10.7109375" style="216" customWidth="1"/>
    <col min="518" max="518" width="10" style="216" customWidth="1"/>
    <col min="519" max="519" width="17.85546875" style="216" customWidth="1"/>
    <col min="520" max="520" width="7.7109375" style="216" customWidth="1"/>
    <col min="521" max="521" width="12.28515625" style="216" customWidth="1"/>
    <col min="522" max="522" width="12.7109375" style="216" customWidth="1"/>
    <col min="523" max="523" width="14.140625" style="216" customWidth="1"/>
    <col min="524" max="524" width="11.140625" style="216" customWidth="1"/>
    <col min="525" max="769" width="9.140625" style="216"/>
    <col min="770" max="770" width="2.7109375" style="216" customWidth="1"/>
    <col min="771" max="771" width="9.140625" style="216"/>
    <col min="772" max="772" width="40.28515625" style="216" bestFit="1" customWidth="1"/>
    <col min="773" max="773" width="10.7109375" style="216" customWidth="1"/>
    <col min="774" max="774" width="10" style="216" customWidth="1"/>
    <col min="775" max="775" width="17.85546875" style="216" customWidth="1"/>
    <col min="776" max="776" width="7.7109375" style="216" customWidth="1"/>
    <col min="777" max="777" width="12.28515625" style="216" customWidth="1"/>
    <col min="778" max="778" width="12.7109375" style="216" customWidth="1"/>
    <col min="779" max="779" width="14.140625" style="216" customWidth="1"/>
    <col min="780" max="780" width="11.140625" style="216" customWidth="1"/>
    <col min="781" max="1025" width="9.140625" style="216"/>
    <col min="1026" max="1026" width="2.7109375" style="216" customWidth="1"/>
    <col min="1027" max="1027" width="9.140625" style="216"/>
    <col min="1028" max="1028" width="40.28515625" style="216" bestFit="1" customWidth="1"/>
    <col min="1029" max="1029" width="10.7109375" style="216" customWidth="1"/>
    <col min="1030" max="1030" width="10" style="216" customWidth="1"/>
    <col min="1031" max="1031" width="17.85546875" style="216" customWidth="1"/>
    <col min="1032" max="1032" width="7.7109375" style="216" customWidth="1"/>
    <col min="1033" max="1033" width="12.28515625" style="216" customWidth="1"/>
    <col min="1034" max="1034" width="12.7109375" style="216" customWidth="1"/>
    <col min="1035" max="1035" width="14.140625" style="216" customWidth="1"/>
    <col min="1036" max="1036" width="11.140625" style="216" customWidth="1"/>
    <col min="1037" max="1281" width="9.140625" style="216"/>
    <col min="1282" max="1282" width="2.7109375" style="216" customWidth="1"/>
    <col min="1283" max="1283" width="9.140625" style="216"/>
    <col min="1284" max="1284" width="40.28515625" style="216" bestFit="1" customWidth="1"/>
    <col min="1285" max="1285" width="10.7109375" style="216" customWidth="1"/>
    <col min="1286" max="1286" width="10" style="216" customWidth="1"/>
    <col min="1287" max="1287" width="17.85546875" style="216" customWidth="1"/>
    <col min="1288" max="1288" width="7.7109375" style="216" customWidth="1"/>
    <col min="1289" max="1289" width="12.28515625" style="216" customWidth="1"/>
    <col min="1290" max="1290" width="12.7109375" style="216" customWidth="1"/>
    <col min="1291" max="1291" width="14.140625" style="216" customWidth="1"/>
    <col min="1292" max="1292" width="11.140625" style="216" customWidth="1"/>
    <col min="1293" max="1537" width="9.140625" style="216"/>
    <col min="1538" max="1538" width="2.7109375" style="216" customWidth="1"/>
    <col min="1539" max="1539" width="9.140625" style="216"/>
    <col min="1540" max="1540" width="40.28515625" style="216" bestFit="1" customWidth="1"/>
    <col min="1541" max="1541" width="10.7109375" style="216" customWidth="1"/>
    <col min="1542" max="1542" width="10" style="216" customWidth="1"/>
    <col min="1543" max="1543" width="17.85546875" style="216" customWidth="1"/>
    <col min="1544" max="1544" width="7.7109375" style="216" customWidth="1"/>
    <col min="1545" max="1545" width="12.28515625" style="216" customWidth="1"/>
    <col min="1546" max="1546" width="12.7109375" style="216" customWidth="1"/>
    <col min="1547" max="1547" width="14.140625" style="216" customWidth="1"/>
    <col min="1548" max="1548" width="11.140625" style="216" customWidth="1"/>
    <col min="1549" max="1793" width="9.140625" style="216"/>
    <col min="1794" max="1794" width="2.7109375" style="216" customWidth="1"/>
    <col min="1795" max="1795" width="9.140625" style="216"/>
    <col min="1796" max="1796" width="40.28515625" style="216" bestFit="1" customWidth="1"/>
    <col min="1797" max="1797" width="10.7109375" style="216" customWidth="1"/>
    <col min="1798" max="1798" width="10" style="216" customWidth="1"/>
    <col min="1799" max="1799" width="17.85546875" style="216" customWidth="1"/>
    <col min="1800" max="1800" width="7.7109375" style="216" customWidth="1"/>
    <col min="1801" max="1801" width="12.28515625" style="216" customWidth="1"/>
    <col min="1802" max="1802" width="12.7109375" style="216" customWidth="1"/>
    <col min="1803" max="1803" width="14.140625" style="216" customWidth="1"/>
    <col min="1804" max="1804" width="11.140625" style="216" customWidth="1"/>
    <col min="1805" max="2049" width="9.140625" style="216"/>
    <col min="2050" max="2050" width="2.7109375" style="216" customWidth="1"/>
    <col min="2051" max="2051" width="9.140625" style="216"/>
    <col min="2052" max="2052" width="40.28515625" style="216" bestFit="1" customWidth="1"/>
    <col min="2053" max="2053" width="10.7109375" style="216" customWidth="1"/>
    <col min="2054" max="2054" width="10" style="216" customWidth="1"/>
    <col min="2055" max="2055" width="17.85546875" style="216" customWidth="1"/>
    <col min="2056" max="2056" width="7.7109375" style="216" customWidth="1"/>
    <col min="2057" max="2057" width="12.28515625" style="216" customWidth="1"/>
    <col min="2058" max="2058" width="12.7109375" style="216" customWidth="1"/>
    <col min="2059" max="2059" width="14.140625" style="216" customWidth="1"/>
    <col min="2060" max="2060" width="11.140625" style="216" customWidth="1"/>
    <col min="2061" max="2305" width="9.140625" style="216"/>
    <col min="2306" max="2306" width="2.7109375" style="216" customWidth="1"/>
    <col min="2307" max="2307" width="9.140625" style="216"/>
    <col min="2308" max="2308" width="40.28515625" style="216" bestFit="1" customWidth="1"/>
    <col min="2309" max="2309" width="10.7109375" style="216" customWidth="1"/>
    <col min="2310" max="2310" width="10" style="216" customWidth="1"/>
    <col min="2311" max="2311" width="17.85546875" style="216" customWidth="1"/>
    <col min="2312" max="2312" width="7.7109375" style="216" customWidth="1"/>
    <col min="2313" max="2313" width="12.28515625" style="216" customWidth="1"/>
    <col min="2314" max="2314" width="12.7109375" style="216" customWidth="1"/>
    <col min="2315" max="2315" width="14.140625" style="216" customWidth="1"/>
    <col min="2316" max="2316" width="11.140625" style="216" customWidth="1"/>
    <col min="2317" max="2561" width="9.140625" style="216"/>
    <col min="2562" max="2562" width="2.7109375" style="216" customWidth="1"/>
    <col min="2563" max="2563" width="9.140625" style="216"/>
    <col min="2564" max="2564" width="40.28515625" style="216" bestFit="1" customWidth="1"/>
    <col min="2565" max="2565" width="10.7109375" style="216" customWidth="1"/>
    <col min="2566" max="2566" width="10" style="216" customWidth="1"/>
    <col min="2567" max="2567" width="17.85546875" style="216" customWidth="1"/>
    <col min="2568" max="2568" width="7.7109375" style="216" customWidth="1"/>
    <col min="2569" max="2569" width="12.28515625" style="216" customWidth="1"/>
    <col min="2570" max="2570" width="12.7109375" style="216" customWidth="1"/>
    <col min="2571" max="2571" width="14.140625" style="216" customWidth="1"/>
    <col min="2572" max="2572" width="11.140625" style="216" customWidth="1"/>
    <col min="2573" max="2817" width="9.140625" style="216"/>
    <col min="2818" max="2818" width="2.7109375" style="216" customWidth="1"/>
    <col min="2819" max="2819" width="9.140625" style="216"/>
    <col min="2820" max="2820" width="40.28515625" style="216" bestFit="1" customWidth="1"/>
    <col min="2821" max="2821" width="10.7109375" style="216" customWidth="1"/>
    <col min="2822" max="2822" width="10" style="216" customWidth="1"/>
    <col min="2823" max="2823" width="17.85546875" style="216" customWidth="1"/>
    <col min="2824" max="2824" width="7.7109375" style="216" customWidth="1"/>
    <col min="2825" max="2825" width="12.28515625" style="216" customWidth="1"/>
    <col min="2826" max="2826" width="12.7109375" style="216" customWidth="1"/>
    <col min="2827" max="2827" width="14.140625" style="216" customWidth="1"/>
    <col min="2828" max="2828" width="11.140625" style="216" customWidth="1"/>
    <col min="2829" max="3073" width="9.140625" style="216"/>
    <col min="3074" max="3074" width="2.7109375" style="216" customWidth="1"/>
    <col min="3075" max="3075" width="9.140625" style="216"/>
    <col min="3076" max="3076" width="40.28515625" style="216" bestFit="1" customWidth="1"/>
    <col min="3077" max="3077" width="10.7109375" style="216" customWidth="1"/>
    <col min="3078" max="3078" width="10" style="216" customWidth="1"/>
    <col min="3079" max="3079" width="17.85546875" style="216" customWidth="1"/>
    <col min="3080" max="3080" width="7.7109375" style="216" customWidth="1"/>
    <col min="3081" max="3081" width="12.28515625" style="216" customWidth="1"/>
    <col min="3082" max="3082" width="12.7109375" style="216" customWidth="1"/>
    <col min="3083" max="3083" width="14.140625" style="216" customWidth="1"/>
    <col min="3084" max="3084" width="11.140625" style="216" customWidth="1"/>
    <col min="3085" max="3329" width="9.140625" style="216"/>
    <col min="3330" max="3330" width="2.7109375" style="216" customWidth="1"/>
    <col min="3331" max="3331" width="9.140625" style="216"/>
    <col min="3332" max="3332" width="40.28515625" style="216" bestFit="1" customWidth="1"/>
    <col min="3333" max="3333" width="10.7109375" style="216" customWidth="1"/>
    <col min="3334" max="3334" width="10" style="216" customWidth="1"/>
    <col min="3335" max="3335" width="17.85546875" style="216" customWidth="1"/>
    <col min="3336" max="3336" width="7.7109375" style="216" customWidth="1"/>
    <col min="3337" max="3337" width="12.28515625" style="216" customWidth="1"/>
    <col min="3338" max="3338" width="12.7109375" style="216" customWidth="1"/>
    <col min="3339" max="3339" width="14.140625" style="216" customWidth="1"/>
    <col min="3340" max="3340" width="11.140625" style="216" customWidth="1"/>
    <col min="3341" max="3585" width="9.140625" style="216"/>
    <col min="3586" max="3586" width="2.7109375" style="216" customWidth="1"/>
    <col min="3587" max="3587" width="9.140625" style="216"/>
    <col min="3588" max="3588" width="40.28515625" style="216" bestFit="1" customWidth="1"/>
    <col min="3589" max="3589" width="10.7109375" style="216" customWidth="1"/>
    <col min="3590" max="3590" width="10" style="216" customWidth="1"/>
    <col min="3591" max="3591" width="17.85546875" style="216" customWidth="1"/>
    <col min="3592" max="3592" width="7.7109375" style="216" customWidth="1"/>
    <col min="3593" max="3593" width="12.28515625" style="216" customWidth="1"/>
    <col min="3594" max="3594" width="12.7109375" style="216" customWidth="1"/>
    <col min="3595" max="3595" width="14.140625" style="216" customWidth="1"/>
    <col min="3596" max="3596" width="11.140625" style="216" customWidth="1"/>
    <col min="3597" max="3841" width="9.140625" style="216"/>
    <col min="3842" max="3842" width="2.7109375" style="216" customWidth="1"/>
    <col min="3843" max="3843" width="9.140625" style="216"/>
    <col min="3844" max="3844" width="40.28515625" style="216" bestFit="1" customWidth="1"/>
    <col min="3845" max="3845" width="10.7109375" style="216" customWidth="1"/>
    <col min="3846" max="3846" width="10" style="216" customWidth="1"/>
    <col min="3847" max="3847" width="17.85546875" style="216" customWidth="1"/>
    <col min="3848" max="3848" width="7.7109375" style="216" customWidth="1"/>
    <col min="3849" max="3849" width="12.28515625" style="216" customWidth="1"/>
    <col min="3850" max="3850" width="12.7109375" style="216" customWidth="1"/>
    <col min="3851" max="3851" width="14.140625" style="216" customWidth="1"/>
    <col min="3852" max="3852" width="11.140625" style="216" customWidth="1"/>
    <col min="3853" max="4097" width="9.140625" style="216"/>
    <col min="4098" max="4098" width="2.7109375" style="216" customWidth="1"/>
    <col min="4099" max="4099" width="9.140625" style="216"/>
    <col min="4100" max="4100" width="40.28515625" style="216" bestFit="1" customWidth="1"/>
    <col min="4101" max="4101" width="10.7109375" style="216" customWidth="1"/>
    <col min="4102" max="4102" width="10" style="216" customWidth="1"/>
    <col min="4103" max="4103" width="17.85546875" style="216" customWidth="1"/>
    <col min="4104" max="4104" width="7.7109375" style="216" customWidth="1"/>
    <col min="4105" max="4105" width="12.28515625" style="216" customWidth="1"/>
    <col min="4106" max="4106" width="12.7109375" style="216" customWidth="1"/>
    <col min="4107" max="4107" width="14.140625" style="216" customWidth="1"/>
    <col min="4108" max="4108" width="11.140625" style="216" customWidth="1"/>
    <col min="4109" max="4353" width="9.140625" style="216"/>
    <col min="4354" max="4354" width="2.7109375" style="216" customWidth="1"/>
    <col min="4355" max="4355" width="9.140625" style="216"/>
    <col min="4356" max="4356" width="40.28515625" style="216" bestFit="1" customWidth="1"/>
    <col min="4357" max="4357" width="10.7109375" style="216" customWidth="1"/>
    <col min="4358" max="4358" width="10" style="216" customWidth="1"/>
    <col min="4359" max="4359" width="17.85546875" style="216" customWidth="1"/>
    <col min="4360" max="4360" width="7.7109375" style="216" customWidth="1"/>
    <col min="4361" max="4361" width="12.28515625" style="216" customWidth="1"/>
    <col min="4362" max="4362" width="12.7109375" style="216" customWidth="1"/>
    <col min="4363" max="4363" width="14.140625" style="216" customWidth="1"/>
    <col min="4364" max="4364" width="11.140625" style="216" customWidth="1"/>
    <col min="4365" max="4609" width="9.140625" style="216"/>
    <col min="4610" max="4610" width="2.7109375" style="216" customWidth="1"/>
    <col min="4611" max="4611" width="9.140625" style="216"/>
    <col min="4612" max="4612" width="40.28515625" style="216" bestFit="1" customWidth="1"/>
    <col min="4613" max="4613" width="10.7109375" style="216" customWidth="1"/>
    <col min="4614" max="4614" width="10" style="216" customWidth="1"/>
    <col min="4615" max="4615" width="17.85546875" style="216" customWidth="1"/>
    <col min="4616" max="4616" width="7.7109375" style="216" customWidth="1"/>
    <col min="4617" max="4617" width="12.28515625" style="216" customWidth="1"/>
    <col min="4618" max="4618" width="12.7109375" style="216" customWidth="1"/>
    <col min="4619" max="4619" width="14.140625" style="216" customWidth="1"/>
    <col min="4620" max="4620" width="11.140625" style="216" customWidth="1"/>
    <col min="4621" max="4865" width="9.140625" style="216"/>
    <col min="4866" max="4866" width="2.7109375" style="216" customWidth="1"/>
    <col min="4867" max="4867" width="9.140625" style="216"/>
    <col min="4868" max="4868" width="40.28515625" style="216" bestFit="1" customWidth="1"/>
    <col min="4869" max="4869" width="10.7109375" style="216" customWidth="1"/>
    <col min="4870" max="4870" width="10" style="216" customWidth="1"/>
    <col min="4871" max="4871" width="17.85546875" style="216" customWidth="1"/>
    <col min="4872" max="4872" width="7.7109375" style="216" customWidth="1"/>
    <col min="4873" max="4873" width="12.28515625" style="216" customWidth="1"/>
    <col min="4874" max="4874" width="12.7109375" style="216" customWidth="1"/>
    <col min="4875" max="4875" width="14.140625" style="216" customWidth="1"/>
    <col min="4876" max="4876" width="11.140625" style="216" customWidth="1"/>
    <col min="4877" max="5121" width="9.140625" style="216"/>
    <col min="5122" max="5122" width="2.7109375" style="216" customWidth="1"/>
    <col min="5123" max="5123" width="9.140625" style="216"/>
    <col min="5124" max="5124" width="40.28515625" style="216" bestFit="1" customWidth="1"/>
    <col min="5125" max="5125" width="10.7109375" style="216" customWidth="1"/>
    <col min="5126" max="5126" width="10" style="216" customWidth="1"/>
    <col min="5127" max="5127" width="17.85546875" style="216" customWidth="1"/>
    <col min="5128" max="5128" width="7.7109375" style="216" customWidth="1"/>
    <col min="5129" max="5129" width="12.28515625" style="216" customWidth="1"/>
    <col min="5130" max="5130" width="12.7109375" style="216" customWidth="1"/>
    <col min="5131" max="5131" width="14.140625" style="216" customWidth="1"/>
    <col min="5132" max="5132" width="11.140625" style="216" customWidth="1"/>
    <col min="5133" max="5377" width="9.140625" style="216"/>
    <col min="5378" max="5378" width="2.7109375" style="216" customWidth="1"/>
    <col min="5379" max="5379" width="9.140625" style="216"/>
    <col min="5380" max="5380" width="40.28515625" style="216" bestFit="1" customWidth="1"/>
    <col min="5381" max="5381" width="10.7109375" style="216" customWidth="1"/>
    <col min="5382" max="5382" width="10" style="216" customWidth="1"/>
    <col min="5383" max="5383" width="17.85546875" style="216" customWidth="1"/>
    <col min="5384" max="5384" width="7.7109375" style="216" customWidth="1"/>
    <col min="5385" max="5385" width="12.28515625" style="216" customWidth="1"/>
    <col min="5386" max="5386" width="12.7109375" style="216" customWidth="1"/>
    <col min="5387" max="5387" width="14.140625" style="216" customWidth="1"/>
    <col min="5388" max="5388" width="11.140625" style="216" customWidth="1"/>
    <col min="5389" max="5633" width="9.140625" style="216"/>
    <col min="5634" max="5634" width="2.7109375" style="216" customWidth="1"/>
    <col min="5635" max="5635" width="9.140625" style="216"/>
    <col min="5636" max="5636" width="40.28515625" style="216" bestFit="1" customWidth="1"/>
    <col min="5637" max="5637" width="10.7109375" style="216" customWidth="1"/>
    <col min="5638" max="5638" width="10" style="216" customWidth="1"/>
    <col min="5639" max="5639" width="17.85546875" style="216" customWidth="1"/>
    <col min="5640" max="5640" width="7.7109375" style="216" customWidth="1"/>
    <col min="5641" max="5641" width="12.28515625" style="216" customWidth="1"/>
    <col min="5642" max="5642" width="12.7109375" style="216" customWidth="1"/>
    <col min="5643" max="5643" width="14.140625" style="216" customWidth="1"/>
    <col min="5644" max="5644" width="11.140625" style="216" customWidth="1"/>
    <col min="5645" max="5889" width="9.140625" style="216"/>
    <col min="5890" max="5890" width="2.7109375" style="216" customWidth="1"/>
    <col min="5891" max="5891" width="9.140625" style="216"/>
    <col min="5892" max="5892" width="40.28515625" style="216" bestFit="1" customWidth="1"/>
    <col min="5893" max="5893" width="10.7109375" style="216" customWidth="1"/>
    <col min="5894" max="5894" width="10" style="216" customWidth="1"/>
    <col min="5895" max="5895" width="17.85546875" style="216" customWidth="1"/>
    <col min="5896" max="5896" width="7.7109375" style="216" customWidth="1"/>
    <col min="5897" max="5897" width="12.28515625" style="216" customWidth="1"/>
    <col min="5898" max="5898" width="12.7109375" style="216" customWidth="1"/>
    <col min="5899" max="5899" width="14.140625" style="216" customWidth="1"/>
    <col min="5900" max="5900" width="11.140625" style="216" customWidth="1"/>
    <col min="5901" max="6145" width="9.140625" style="216"/>
    <col min="6146" max="6146" width="2.7109375" style="216" customWidth="1"/>
    <col min="6147" max="6147" width="9.140625" style="216"/>
    <col min="6148" max="6148" width="40.28515625" style="216" bestFit="1" customWidth="1"/>
    <col min="6149" max="6149" width="10.7109375" style="216" customWidth="1"/>
    <col min="6150" max="6150" width="10" style="216" customWidth="1"/>
    <col min="6151" max="6151" width="17.85546875" style="216" customWidth="1"/>
    <col min="6152" max="6152" width="7.7109375" style="216" customWidth="1"/>
    <col min="6153" max="6153" width="12.28515625" style="216" customWidth="1"/>
    <col min="6154" max="6154" width="12.7109375" style="216" customWidth="1"/>
    <col min="6155" max="6155" width="14.140625" style="216" customWidth="1"/>
    <col min="6156" max="6156" width="11.140625" style="216" customWidth="1"/>
    <col min="6157" max="6401" width="9.140625" style="216"/>
    <col min="6402" max="6402" width="2.7109375" style="216" customWidth="1"/>
    <col min="6403" max="6403" width="9.140625" style="216"/>
    <col min="6404" max="6404" width="40.28515625" style="216" bestFit="1" customWidth="1"/>
    <col min="6405" max="6405" width="10.7109375" style="216" customWidth="1"/>
    <col min="6406" max="6406" width="10" style="216" customWidth="1"/>
    <col min="6407" max="6407" width="17.85546875" style="216" customWidth="1"/>
    <col min="6408" max="6408" width="7.7109375" style="216" customWidth="1"/>
    <col min="6409" max="6409" width="12.28515625" style="216" customWidth="1"/>
    <col min="6410" max="6410" width="12.7109375" style="216" customWidth="1"/>
    <col min="6411" max="6411" width="14.140625" style="216" customWidth="1"/>
    <col min="6412" max="6412" width="11.140625" style="216" customWidth="1"/>
    <col min="6413" max="6657" width="9.140625" style="216"/>
    <col min="6658" max="6658" width="2.7109375" style="216" customWidth="1"/>
    <col min="6659" max="6659" width="9.140625" style="216"/>
    <col min="6660" max="6660" width="40.28515625" style="216" bestFit="1" customWidth="1"/>
    <col min="6661" max="6661" width="10.7109375" style="216" customWidth="1"/>
    <col min="6662" max="6662" width="10" style="216" customWidth="1"/>
    <col min="6663" max="6663" width="17.85546875" style="216" customWidth="1"/>
    <col min="6664" max="6664" width="7.7109375" style="216" customWidth="1"/>
    <col min="6665" max="6665" width="12.28515625" style="216" customWidth="1"/>
    <col min="6666" max="6666" width="12.7109375" style="216" customWidth="1"/>
    <col min="6667" max="6667" width="14.140625" style="216" customWidth="1"/>
    <col min="6668" max="6668" width="11.140625" style="216" customWidth="1"/>
    <col min="6669" max="6913" width="9.140625" style="216"/>
    <col min="6914" max="6914" width="2.7109375" style="216" customWidth="1"/>
    <col min="6915" max="6915" width="9.140625" style="216"/>
    <col min="6916" max="6916" width="40.28515625" style="216" bestFit="1" customWidth="1"/>
    <col min="6917" max="6917" width="10.7109375" style="216" customWidth="1"/>
    <col min="6918" max="6918" width="10" style="216" customWidth="1"/>
    <col min="6919" max="6919" width="17.85546875" style="216" customWidth="1"/>
    <col min="6920" max="6920" width="7.7109375" style="216" customWidth="1"/>
    <col min="6921" max="6921" width="12.28515625" style="216" customWidth="1"/>
    <col min="6922" max="6922" width="12.7109375" style="216" customWidth="1"/>
    <col min="6923" max="6923" width="14.140625" style="216" customWidth="1"/>
    <col min="6924" max="6924" width="11.140625" style="216" customWidth="1"/>
    <col min="6925" max="7169" width="9.140625" style="216"/>
    <col min="7170" max="7170" width="2.7109375" style="216" customWidth="1"/>
    <col min="7171" max="7171" width="9.140625" style="216"/>
    <col min="7172" max="7172" width="40.28515625" style="216" bestFit="1" customWidth="1"/>
    <col min="7173" max="7173" width="10.7109375" style="216" customWidth="1"/>
    <col min="7174" max="7174" width="10" style="216" customWidth="1"/>
    <col min="7175" max="7175" width="17.85546875" style="216" customWidth="1"/>
    <col min="7176" max="7176" width="7.7109375" style="216" customWidth="1"/>
    <col min="7177" max="7177" width="12.28515625" style="216" customWidth="1"/>
    <col min="7178" max="7178" width="12.7109375" style="216" customWidth="1"/>
    <col min="7179" max="7179" width="14.140625" style="216" customWidth="1"/>
    <col min="7180" max="7180" width="11.140625" style="216" customWidth="1"/>
    <col min="7181" max="7425" width="9.140625" style="216"/>
    <col min="7426" max="7426" width="2.7109375" style="216" customWidth="1"/>
    <col min="7427" max="7427" width="9.140625" style="216"/>
    <col min="7428" max="7428" width="40.28515625" style="216" bestFit="1" customWidth="1"/>
    <col min="7429" max="7429" width="10.7109375" style="216" customWidth="1"/>
    <col min="7430" max="7430" width="10" style="216" customWidth="1"/>
    <col min="7431" max="7431" width="17.85546875" style="216" customWidth="1"/>
    <col min="7432" max="7432" width="7.7109375" style="216" customWidth="1"/>
    <col min="7433" max="7433" width="12.28515625" style="216" customWidth="1"/>
    <col min="7434" max="7434" width="12.7109375" style="216" customWidth="1"/>
    <col min="7435" max="7435" width="14.140625" style="216" customWidth="1"/>
    <col min="7436" max="7436" width="11.140625" style="216" customWidth="1"/>
    <col min="7437" max="7681" width="9.140625" style="216"/>
    <col min="7682" max="7682" width="2.7109375" style="216" customWidth="1"/>
    <col min="7683" max="7683" width="9.140625" style="216"/>
    <col min="7684" max="7684" width="40.28515625" style="216" bestFit="1" customWidth="1"/>
    <col min="7685" max="7685" width="10.7109375" style="216" customWidth="1"/>
    <col min="7686" max="7686" width="10" style="216" customWidth="1"/>
    <col min="7687" max="7687" width="17.85546875" style="216" customWidth="1"/>
    <col min="7688" max="7688" width="7.7109375" style="216" customWidth="1"/>
    <col min="7689" max="7689" width="12.28515625" style="216" customWidth="1"/>
    <col min="7690" max="7690" width="12.7109375" style="216" customWidth="1"/>
    <col min="7691" max="7691" width="14.140625" style="216" customWidth="1"/>
    <col min="7692" max="7692" width="11.140625" style="216" customWidth="1"/>
    <col min="7693" max="7937" width="9.140625" style="216"/>
    <col min="7938" max="7938" width="2.7109375" style="216" customWidth="1"/>
    <col min="7939" max="7939" width="9.140625" style="216"/>
    <col min="7940" max="7940" width="40.28515625" style="216" bestFit="1" customWidth="1"/>
    <col min="7941" max="7941" width="10.7109375" style="216" customWidth="1"/>
    <col min="7942" max="7942" width="10" style="216" customWidth="1"/>
    <col min="7943" max="7943" width="17.85546875" style="216" customWidth="1"/>
    <col min="7944" max="7944" width="7.7109375" style="216" customWidth="1"/>
    <col min="7945" max="7945" width="12.28515625" style="216" customWidth="1"/>
    <col min="7946" max="7946" width="12.7109375" style="216" customWidth="1"/>
    <col min="7947" max="7947" width="14.140625" style="216" customWidth="1"/>
    <col min="7948" max="7948" width="11.140625" style="216" customWidth="1"/>
    <col min="7949" max="8193" width="9.140625" style="216"/>
    <col min="8194" max="8194" width="2.7109375" style="216" customWidth="1"/>
    <col min="8195" max="8195" width="9.140625" style="216"/>
    <col min="8196" max="8196" width="40.28515625" style="216" bestFit="1" customWidth="1"/>
    <col min="8197" max="8197" width="10.7109375" style="216" customWidth="1"/>
    <col min="8198" max="8198" width="10" style="216" customWidth="1"/>
    <col min="8199" max="8199" width="17.85546875" style="216" customWidth="1"/>
    <col min="8200" max="8200" width="7.7109375" style="216" customWidth="1"/>
    <col min="8201" max="8201" width="12.28515625" style="216" customWidth="1"/>
    <col min="8202" max="8202" width="12.7109375" style="216" customWidth="1"/>
    <col min="8203" max="8203" width="14.140625" style="216" customWidth="1"/>
    <col min="8204" max="8204" width="11.140625" style="216" customWidth="1"/>
    <col min="8205" max="8449" width="9.140625" style="216"/>
    <col min="8450" max="8450" width="2.7109375" style="216" customWidth="1"/>
    <col min="8451" max="8451" width="9.140625" style="216"/>
    <col min="8452" max="8452" width="40.28515625" style="216" bestFit="1" customWidth="1"/>
    <col min="8453" max="8453" width="10.7109375" style="216" customWidth="1"/>
    <col min="8454" max="8454" width="10" style="216" customWidth="1"/>
    <col min="8455" max="8455" width="17.85546875" style="216" customWidth="1"/>
    <col min="8456" max="8456" width="7.7109375" style="216" customWidth="1"/>
    <col min="8457" max="8457" width="12.28515625" style="216" customWidth="1"/>
    <col min="8458" max="8458" width="12.7109375" style="216" customWidth="1"/>
    <col min="8459" max="8459" width="14.140625" style="216" customWidth="1"/>
    <col min="8460" max="8460" width="11.140625" style="216" customWidth="1"/>
    <col min="8461" max="8705" width="9.140625" style="216"/>
    <col min="8706" max="8706" width="2.7109375" style="216" customWidth="1"/>
    <col min="8707" max="8707" width="9.140625" style="216"/>
    <col min="8708" max="8708" width="40.28515625" style="216" bestFit="1" customWidth="1"/>
    <col min="8709" max="8709" width="10.7109375" style="216" customWidth="1"/>
    <col min="8710" max="8710" width="10" style="216" customWidth="1"/>
    <col min="8711" max="8711" width="17.85546875" style="216" customWidth="1"/>
    <col min="8712" max="8712" width="7.7109375" style="216" customWidth="1"/>
    <col min="8713" max="8713" width="12.28515625" style="216" customWidth="1"/>
    <col min="8714" max="8714" width="12.7109375" style="216" customWidth="1"/>
    <col min="8715" max="8715" width="14.140625" style="216" customWidth="1"/>
    <col min="8716" max="8716" width="11.140625" style="216" customWidth="1"/>
    <col min="8717" max="8961" width="9.140625" style="216"/>
    <col min="8962" max="8962" width="2.7109375" style="216" customWidth="1"/>
    <col min="8963" max="8963" width="9.140625" style="216"/>
    <col min="8964" max="8964" width="40.28515625" style="216" bestFit="1" customWidth="1"/>
    <col min="8965" max="8965" width="10.7109375" style="216" customWidth="1"/>
    <col min="8966" max="8966" width="10" style="216" customWidth="1"/>
    <col min="8967" max="8967" width="17.85546875" style="216" customWidth="1"/>
    <col min="8968" max="8968" width="7.7109375" style="216" customWidth="1"/>
    <col min="8969" max="8969" width="12.28515625" style="216" customWidth="1"/>
    <col min="8970" max="8970" width="12.7109375" style="216" customWidth="1"/>
    <col min="8971" max="8971" width="14.140625" style="216" customWidth="1"/>
    <col min="8972" max="8972" width="11.140625" style="216" customWidth="1"/>
    <col min="8973" max="9217" width="9.140625" style="216"/>
    <col min="9218" max="9218" width="2.7109375" style="216" customWidth="1"/>
    <col min="9219" max="9219" width="9.140625" style="216"/>
    <col min="9220" max="9220" width="40.28515625" style="216" bestFit="1" customWidth="1"/>
    <col min="9221" max="9221" width="10.7109375" style="216" customWidth="1"/>
    <col min="9222" max="9222" width="10" style="216" customWidth="1"/>
    <col min="9223" max="9223" width="17.85546875" style="216" customWidth="1"/>
    <col min="9224" max="9224" width="7.7109375" style="216" customWidth="1"/>
    <col min="9225" max="9225" width="12.28515625" style="216" customWidth="1"/>
    <col min="9226" max="9226" width="12.7109375" style="216" customWidth="1"/>
    <col min="9227" max="9227" width="14.140625" style="216" customWidth="1"/>
    <col min="9228" max="9228" width="11.140625" style="216" customWidth="1"/>
    <col min="9229" max="9473" width="9.140625" style="216"/>
    <col min="9474" max="9474" width="2.7109375" style="216" customWidth="1"/>
    <col min="9475" max="9475" width="9.140625" style="216"/>
    <col min="9476" max="9476" width="40.28515625" style="216" bestFit="1" customWidth="1"/>
    <col min="9477" max="9477" width="10.7109375" style="216" customWidth="1"/>
    <col min="9478" max="9478" width="10" style="216" customWidth="1"/>
    <col min="9479" max="9479" width="17.85546875" style="216" customWidth="1"/>
    <col min="9480" max="9480" width="7.7109375" style="216" customWidth="1"/>
    <col min="9481" max="9481" width="12.28515625" style="216" customWidth="1"/>
    <col min="9482" max="9482" width="12.7109375" style="216" customWidth="1"/>
    <col min="9483" max="9483" width="14.140625" style="216" customWidth="1"/>
    <col min="9484" max="9484" width="11.140625" style="216" customWidth="1"/>
    <col min="9485" max="9729" width="9.140625" style="216"/>
    <col min="9730" max="9730" width="2.7109375" style="216" customWidth="1"/>
    <col min="9731" max="9731" width="9.140625" style="216"/>
    <col min="9732" max="9732" width="40.28515625" style="216" bestFit="1" customWidth="1"/>
    <col min="9733" max="9733" width="10.7109375" style="216" customWidth="1"/>
    <col min="9734" max="9734" width="10" style="216" customWidth="1"/>
    <col min="9735" max="9735" width="17.85546875" style="216" customWidth="1"/>
    <col min="9736" max="9736" width="7.7109375" style="216" customWidth="1"/>
    <col min="9737" max="9737" width="12.28515625" style="216" customWidth="1"/>
    <col min="9738" max="9738" width="12.7109375" style="216" customWidth="1"/>
    <col min="9739" max="9739" width="14.140625" style="216" customWidth="1"/>
    <col min="9740" max="9740" width="11.140625" style="216" customWidth="1"/>
    <col min="9741" max="9985" width="9.140625" style="216"/>
    <col min="9986" max="9986" width="2.7109375" style="216" customWidth="1"/>
    <col min="9987" max="9987" width="9.140625" style="216"/>
    <col min="9988" max="9988" width="40.28515625" style="216" bestFit="1" customWidth="1"/>
    <col min="9989" max="9989" width="10.7109375" style="216" customWidth="1"/>
    <col min="9990" max="9990" width="10" style="216" customWidth="1"/>
    <col min="9991" max="9991" width="17.85546875" style="216" customWidth="1"/>
    <col min="9992" max="9992" width="7.7109375" style="216" customWidth="1"/>
    <col min="9993" max="9993" width="12.28515625" style="216" customWidth="1"/>
    <col min="9994" max="9994" width="12.7109375" style="216" customWidth="1"/>
    <col min="9995" max="9995" width="14.140625" style="216" customWidth="1"/>
    <col min="9996" max="9996" width="11.140625" style="216" customWidth="1"/>
    <col min="9997" max="10241" width="9.140625" style="216"/>
    <col min="10242" max="10242" width="2.7109375" style="216" customWidth="1"/>
    <col min="10243" max="10243" width="9.140625" style="216"/>
    <col min="10244" max="10244" width="40.28515625" style="216" bestFit="1" customWidth="1"/>
    <col min="10245" max="10245" width="10.7109375" style="216" customWidth="1"/>
    <col min="10246" max="10246" width="10" style="216" customWidth="1"/>
    <col min="10247" max="10247" width="17.85546875" style="216" customWidth="1"/>
    <col min="10248" max="10248" width="7.7109375" style="216" customWidth="1"/>
    <col min="10249" max="10249" width="12.28515625" style="216" customWidth="1"/>
    <col min="10250" max="10250" width="12.7109375" style="216" customWidth="1"/>
    <col min="10251" max="10251" width="14.140625" style="216" customWidth="1"/>
    <col min="10252" max="10252" width="11.140625" style="216" customWidth="1"/>
    <col min="10253" max="10497" width="9.140625" style="216"/>
    <col min="10498" max="10498" width="2.7109375" style="216" customWidth="1"/>
    <col min="10499" max="10499" width="9.140625" style="216"/>
    <col min="10500" max="10500" width="40.28515625" style="216" bestFit="1" customWidth="1"/>
    <col min="10501" max="10501" width="10.7109375" style="216" customWidth="1"/>
    <col min="10502" max="10502" width="10" style="216" customWidth="1"/>
    <col min="10503" max="10503" width="17.85546875" style="216" customWidth="1"/>
    <col min="10504" max="10504" width="7.7109375" style="216" customWidth="1"/>
    <col min="10505" max="10505" width="12.28515625" style="216" customWidth="1"/>
    <col min="10506" max="10506" width="12.7109375" style="216" customWidth="1"/>
    <col min="10507" max="10507" width="14.140625" style="216" customWidth="1"/>
    <col min="10508" max="10508" width="11.140625" style="216" customWidth="1"/>
    <col min="10509" max="10753" width="9.140625" style="216"/>
    <col min="10754" max="10754" width="2.7109375" style="216" customWidth="1"/>
    <col min="10755" max="10755" width="9.140625" style="216"/>
    <col min="10756" max="10756" width="40.28515625" style="216" bestFit="1" customWidth="1"/>
    <col min="10757" max="10757" width="10.7109375" style="216" customWidth="1"/>
    <col min="10758" max="10758" width="10" style="216" customWidth="1"/>
    <col min="10759" max="10759" width="17.85546875" style="216" customWidth="1"/>
    <col min="10760" max="10760" width="7.7109375" style="216" customWidth="1"/>
    <col min="10761" max="10761" width="12.28515625" style="216" customWidth="1"/>
    <col min="10762" max="10762" width="12.7109375" style="216" customWidth="1"/>
    <col min="10763" max="10763" width="14.140625" style="216" customWidth="1"/>
    <col min="10764" max="10764" width="11.140625" style="216" customWidth="1"/>
    <col min="10765" max="11009" width="9.140625" style="216"/>
    <col min="11010" max="11010" width="2.7109375" style="216" customWidth="1"/>
    <col min="11011" max="11011" width="9.140625" style="216"/>
    <col min="11012" max="11012" width="40.28515625" style="216" bestFit="1" customWidth="1"/>
    <col min="11013" max="11013" width="10.7109375" style="216" customWidth="1"/>
    <col min="11014" max="11014" width="10" style="216" customWidth="1"/>
    <col min="11015" max="11015" width="17.85546875" style="216" customWidth="1"/>
    <col min="11016" max="11016" width="7.7109375" style="216" customWidth="1"/>
    <col min="11017" max="11017" width="12.28515625" style="216" customWidth="1"/>
    <col min="11018" max="11018" width="12.7109375" style="216" customWidth="1"/>
    <col min="11019" max="11019" width="14.140625" style="216" customWidth="1"/>
    <col min="11020" max="11020" width="11.140625" style="216" customWidth="1"/>
    <col min="11021" max="11265" width="9.140625" style="216"/>
    <col min="11266" max="11266" width="2.7109375" style="216" customWidth="1"/>
    <col min="11267" max="11267" width="9.140625" style="216"/>
    <col min="11268" max="11268" width="40.28515625" style="216" bestFit="1" customWidth="1"/>
    <col min="11269" max="11269" width="10.7109375" style="216" customWidth="1"/>
    <col min="11270" max="11270" width="10" style="216" customWidth="1"/>
    <col min="11271" max="11271" width="17.85546875" style="216" customWidth="1"/>
    <col min="11272" max="11272" width="7.7109375" style="216" customWidth="1"/>
    <col min="11273" max="11273" width="12.28515625" style="216" customWidth="1"/>
    <col min="11274" max="11274" width="12.7109375" style="216" customWidth="1"/>
    <col min="11275" max="11275" width="14.140625" style="216" customWidth="1"/>
    <col min="11276" max="11276" width="11.140625" style="216" customWidth="1"/>
    <col min="11277" max="11521" width="9.140625" style="216"/>
    <col min="11522" max="11522" width="2.7109375" style="216" customWidth="1"/>
    <col min="11523" max="11523" width="9.140625" style="216"/>
    <col min="11524" max="11524" width="40.28515625" style="216" bestFit="1" customWidth="1"/>
    <col min="11525" max="11525" width="10.7109375" style="216" customWidth="1"/>
    <col min="11526" max="11526" width="10" style="216" customWidth="1"/>
    <col min="11527" max="11527" width="17.85546875" style="216" customWidth="1"/>
    <col min="11528" max="11528" width="7.7109375" style="216" customWidth="1"/>
    <col min="11529" max="11529" width="12.28515625" style="216" customWidth="1"/>
    <col min="11530" max="11530" width="12.7109375" style="216" customWidth="1"/>
    <col min="11531" max="11531" width="14.140625" style="216" customWidth="1"/>
    <col min="11532" max="11532" width="11.140625" style="216" customWidth="1"/>
    <col min="11533" max="11777" width="9.140625" style="216"/>
    <col min="11778" max="11778" width="2.7109375" style="216" customWidth="1"/>
    <col min="11779" max="11779" width="9.140625" style="216"/>
    <col min="11780" max="11780" width="40.28515625" style="216" bestFit="1" customWidth="1"/>
    <col min="11781" max="11781" width="10.7109375" style="216" customWidth="1"/>
    <col min="11782" max="11782" width="10" style="216" customWidth="1"/>
    <col min="11783" max="11783" width="17.85546875" style="216" customWidth="1"/>
    <col min="11784" max="11784" width="7.7109375" style="216" customWidth="1"/>
    <col min="11785" max="11785" width="12.28515625" style="216" customWidth="1"/>
    <col min="11786" max="11786" width="12.7109375" style="216" customWidth="1"/>
    <col min="11787" max="11787" width="14.140625" style="216" customWidth="1"/>
    <col min="11788" max="11788" width="11.140625" style="216" customWidth="1"/>
    <col min="11789" max="12033" width="9.140625" style="216"/>
    <col min="12034" max="12034" width="2.7109375" style="216" customWidth="1"/>
    <col min="12035" max="12035" width="9.140625" style="216"/>
    <col min="12036" max="12036" width="40.28515625" style="216" bestFit="1" customWidth="1"/>
    <col min="12037" max="12037" width="10.7109375" style="216" customWidth="1"/>
    <col min="12038" max="12038" width="10" style="216" customWidth="1"/>
    <col min="12039" max="12039" width="17.85546875" style="216" customWidth="1"/>
    <col min="12040" max="12040" width="7.7109375" style="216" customWidth="1"/>
    <col min="12041" max="12041" width="12.28515625" style="216" customWidth="1"/>
    <col min="12042" max="12042" width="12.7109375" style="216" customWidth="1"/>
    <col min="12043" max="12043" width="14.140625" style="216" customWidth="1"/>
    <col min="12044" max="12044" width="11.140625" style="216" customWidth="1"/>
    <col min="12045" max="12289" width="9.140625" style="216"/>
    <col min="12290" max="12290" width="2.7109375" style="216" customWidth="1"/>
    <col min="12291" max="12291" width="9.140625" style="216"/>
    <col min="12292" max="12292" width="40.28515625" style="216" bestFit="1" customWidth="1"/>
    <col min="12293" max="12293" width="10.7109375" style="216" customWidth="1"/>
    <col min="12294" max="12294" width="10" style="216" customWidth="1"/>
    <col min="12295" max="12295" width="17.85546875" style="216" customWidth="1"/>
    <col min="12296" max="12296" width="7.7109375" style="216" customWidth="1"/>
    <col min="12297" max="12297" width="12.28515625" style="216" customWidth="1"/>
    <col min="12298" max="12298" width="12.7109375" style="216" customWidth="1"/>
    <col min="12299" max="12299" width="14.140625" style="216" customWidth="1"/>
    <col min="12300" max="12300" width="11.140625" style="216" customWidth="1"/>
    <col min="12301" max="12545" width="9.140625" style="216"/>
    <col min="12546" max="12546" width="2.7109375" style="216" customWidth="1"/>
    <col min="12547" max="12547" width="9.140625" style="216"/>
    <col min="12548" max="12548" width="40.28515625" style="216" bestFit="1" customWidth="1"/>
    <col min="12549" max="12549" width="10.7109375" style="216" customWidth="1"/>
    <col min="12550" max="12550" width="10" style="216" customWidth="1"/>
    <col min="12551" max="12551" width="17.85546875" style="216" customWidth="1"/>
    <col min="12552" max="12552" width="7.7109375" style="216" customWidth="1"/>
    <col min="12553" max="12553" width="12.28515625" style="216" customWidth="1"/>
    <col min="12554" max="12554" width="12.7109375" style="216" customWidth="1"/>
    <col min="12555" max="12555" width="14.140625" style="216" customWidth="1"/>
    <col min="12556" max="12556" width="11.140625" style="216" customWidth="1"/>
    <col min="12557" max="12801" width="9.140625" style="216"/>
    <col min="12802" max="12802" width="2.7109375" style="216" customWidth="1"/>
    <col min="12803" max="12803" width="9.140625" style="216"/>
    <col min="12804" max="12804" width="40.28515625" style="216" bestFit="1" customWidth="1"/>
    <col min="12805" max="12805" width="10.7109375" style="216" customWidth="1"/>
    <col min="12806" max="12806" width="10" style="216" customWidth="1"/>
    <col min="12807" max="12807" width="17.85546875" style="216" customWidth="1"/>
    <col min="12808" max="12808" width="7.7109375" style="216" customWidth="1"/>
    <col min="12809" max="12809" width="12.28515625" style="216" customWidth="1"/>
    <col min="12810" max="12810" width="12.7109375" style="216" customWidth="1"/>
    <col min="12811" max="12811" width="14.140625" style="216" customWidth="1"/>
    <col min="12812" max="12812" width="11.140625" style="216" customWidth="1"/>
    <col min="12813" max="13057" width="9.140625" style="216"/>
    <col min="13058" max="13058" width="2.7109375" style="216" customWidth="1"/>
    <col min="13059" max="13059" width="9.140625" style="216"/>
    <col min="13060" max="13060" width="40.28515625" style="216" bestFit="1" customWidth="1"/>
    <col min="13061" max="13061" width="10.7109375" style="216" customWidth="1"/>
    <col min="13062" max="13062" width="10" style="216" customWidth="1"/>
    <col min="13063" max="13063" width="17.85546875" style="216" customWidth="1"/>
    <col min="13064" max="13064" width="7.7109375" style="216" customWidth="1"/>
    <col min="13065" max="13065" width="12.28515625" style="216" customWidth="1"/>
    <col min="13066" max="13066" width="12.7109375" style="216" customWidth="1"/>
    <col min="13067" max="13067" width="14.140625" style="216" customWidth="1"/>
    <col min="13068" max="13068" width="11.140625" style="216" customWidth="1"/>
    <col min="13069" max="13313" width="9.140625" style="216"/>
    <col min="13314" max="13314" width="2.7109375" style="216" customWidth="1"/>
    <col min="13315" max="13315" width="9.140625" style="216"/>
    <col min="13316" max="13316" width="40.28515625" style="216" bestFit="1" customWidth="1"/>
    <col min="13317" max="13317" width="10.7109375" style="216" customWidth="1"/>
    <col min="13318" max="13318" width="10" style="216" customWidth="1"/>
    <col min="13319" max="13319" width="17.85546875" style="216" customWidth="1"/>
    <col min="13320" max="13320" width="7.7109375" style="216" customWidth="1"/>
    <col min="13321" max="13321" width="12.28515625" style="216" customWidth="1"/>
    <col min="13322" max="13322" width="12.7109375" style="216" customWidth="1"/>
    <col min="13323" max="13323" width="14.140625" style="216" customWidth="1"/>
    <col min="13324" max="13324" width="11.140625" style="216" customWidth="1"/>
    <col min="13325" max="13569" width="9.140625" style="216"/>
    <col min="13570" max="13570" width="2.7109375" style="216" customWidth="1"/>
    <col min="13571" max="13571" width="9.140625" style="216"/>
    <col min="13572" max="13572" width="40.28515625" style="216" bestFit="1" customWidth="1"/>
    <col min="13573" max="13573" width="10.7109375" style="216" customWidth="1"/>
    <col min="13574" max="13574" width="10" style="216" customWidth="1"/>
    <col min="13575" max="13575" width="17.85546875" style="216" customWidth="1"/>
    <col min="13576" max="13576" width="7.7109375" style="216" customWidth="1"/>
    <col min="13577" max="13577" width="12.28515625" style="216" customWidth="1"/>
    <col min="13578" max="13578" width="12.7109375" style="216" customWidth="1"/>
    <col min="13579" max="13579" width="14.140625" style="216" customWidth="1"/>
    <col min="13580" max="13580" width="11.140625" style="216" customWidth="1"/>
    <col min="13581" max="13825" width="9.140625" style="216"/>
    <col min="13826" max="13826" width="2.7109375" style="216" customWidth="1"/>
    <col min="13827" max="13827" width="9.140625" style="216"/>
    <col min="13828" max="13828" width="40.28515625" style="216" bestFit="1" customWidth="1"/>
    <col min="13829" max="13829" width="10.7109375" style="216" customWidth="1"/>
    <col min="13830" max="13830" width="10" style="216" customWidth="1"/>
    <col min="13831" max="13831" width="17.85546875" style="216" customWidth="1"/>
    <col min="13832" max="13832" width="7.7109375" style="216" customWidth="1"/>
    <col min="13833" max="13833" width="12.28515625" style="216" customWidth="1"/>
    <col min="13834" max="13834" width="12.7109375" style="216" customWidth="1"/>
    <col min="13835" max="13835" width="14.140625" style="216" customWidth="1"/>
    <col min="13836" max="13836" width="11.140625" style="216" customWidth="1"/>
    <col min="13837" max="14081" width="9.140625" style="216"/>
    <col min="14082" max="14082" width="2.7109375" style="216" customWidth="1"/>
    <col min="14083" max="14083" width="9.140625" style="216"/>
    <col min="14084" max="14084" width="40.28515625" style="216" bestFit="1" customWidth="1"/>
    <col min="14085" max="14085" width="10.7109375" style="216" customWidth="1"/>
    <col min="14086" max="14086" width="10" style="216" customWidth="1"/>
    <col min="14087" max="14087" width="17.85546875" style="216" customWidth="1"/>
    <col min="14088" max="14088" width="7.7109375" style="216" customWidth="1"/>
    <col min="14089" max="14089" width="12.28515625" style="216" customWidth="1"/>
    <col min="14090" max="14090" width="12.7109375" style="216" customWidth="1"/>
    <col min="14091" max="14091" width="14.140625" style="216" customWidth="1"/>
    <col min="14092" max="14092" width="11.140625" style="216" customWidth="1"/>
    <col min="14093" max="14337" width="9.140625" style="216"/>
    <col min="14338" max="14338" width="2.7109375" style="216" customWidth="1"/>
    <col min="14339" max="14339" width="9.140625" style="216"/>
    <col min="14340" max="14340" width="40.28515625" style="216" bestFit="1" customWidth="1"/>
    <col min="14341" max="14341" width="10.7109375" style="216" customWidth="1"/>
    <col min="14342" max="14342" width="10" style="216" customWidth="1"/>
    <col min="14343" max="14343" width="17.85546875" style="216" customWidth="1"/>
    <col min="14344" max="14344" width="7.7109375" style="216" customWidth="1"/>
    <col min="14345" max="14345" width="12.28515625" style="216" customWidth="1"/>
    <col min="14346" max="14346" width="12.7109375" style="216" customWidth="1"/>
    <col min="14347" max="14347" width="14.140625" style="216" customWidth="1"/>
    <col min="14348" max="14348" width="11.140625" style="216" customWidth="1"/>
    <col min="14349" max="14593" width="9.140625" style="216"/>
    <col min="14594" max="14594" width="2.7109375" style="216" customWidth="1"/>
    <col min="14595" max="14595" width="9.140625" style="216"/>
    <col min="14596" max="14596" width="40.28515625" style="216" bestFit="1" customWidth="1"/>
    <col min="14597" max="14597" width="10.7109375" style="216" customWidth="1"/>
    <col min="14598" max="14598" width="10" style="216" customWidth="1"/>
    <col min="14599" max="14599" width="17.85546875" style="216" customWidth="1"/>
    <col min="14600" max="14600" width="7.7109375" style="216" customWidth="1"/>
    <col min="14601" max="14601" width="12.28515625" style="216" customWidth="1"/>
    <col min="14602" max="14602" width="12.7109375" style="216" customWidth="1"/>
    <col min="14603" max="14603" width="14.140625" style="216" customWidth="1"/>
    <col min="14604" max="14604" width="11.140625" style="216" customWidth="1"/>
    <col min="14605" max="14849" width="9.140625" style="216"/>
    <col min="14850" max="14850" width="2.7109375" style="216" customWidth="1"/>
    <col min="14851" max="14851" width="9.140625" style="216"/>
    <col min="14852" max="14852" width="40.28515625" style="216" bestFit="1" customWidth="1"/>
    <col min="14853" max="14853" width="10.7109375" style="216" customWidth="1"/>
    <col min="14854" max="14854" width="10" style="216" customWidth="1"/>
    <col min="14855" max="14855" width="17.85546875" style="216" customWidth="1"/>
    <col min="14856" max="14856" width="7.7109375" style="216" customWidth="1"/>
    <col min="14857" max="14857" width="12.28515625" style="216" customWidth="1"/>
    <col min="14858" max="14858" width="12.7109375" style="216" customWidth="1"/>
    <col min="14859" max="14859" width="14.140625" style="216" customWidth="1"/>
    <col min="14860" max="14860" width="11.140625" style="216" customWidth="1"/>
    <col min="14861" max="15105" width="9.140625" style="216"/>
    <col min="15106" max="15106" width="2.7109375" style="216" customWidth="1"/>
    <col min="15107" max="15107" width="9.140625" style="216"/>
    <col min="15108" max="15108" width="40.28515625" style="216" bestFit="1" customWidth="1"/>
    <col min="15109" max="15109" width="10.7109375" style="216" customWidth="1"/>
    <col min="15110" max="15110" width="10" style="216" customWidth="1"/>
    <col min="15111" max="15111" width="17.85546875" style="216" customWidth="1"/>
    <col min="15112" max="15112" width="7.7109375" style="216" customWidth="1"/>
    <col min="15113" max="15113" width="12.28515625" style="216" customWidth="1"/>
    <col min="15114" max="15114" width="12.7109375" style="216" customWidth="1"/>
    <col min="15115" max="15115" width="14.140625" style="216" customWidth="1"/>
    <col min="15116" max="15116" width="11.140625" style="216" customWidth="1"/>
    <col min="15117" max="15361" width="9.140625" style="216"/>
    <col min="15362" max="15362" width="2.7109375" style="216" customWidth="1"/>
    <col min="15363" max="15363" width="9.140625" style="216"/>
    <col min="15364" max="15364" width="40.28515625" style="216" bestFit="1" customWidth="1"/>
    <col min="15365" max="15365" width="10.7109375" style="216" customWidth="1"/>
    <col min="15366" max="15366" width="10" style="216" customWidth="1"/>
    <col min="15367" max="15367" width="17.85546875" style="216" customWidth="1"/>
    <col min="15368" max="15368" width="7.7109375" style="216" customWidth="1"/>
    <col min="15369" max="15369" width="12.28515625" style="216" customWidth="1"/>
    <col min="15370" max="15370" width="12.7109375" style="216" customWidth="1"/>
    <col min="15371" max="15371" width="14.140625" style="216" customWidth="1"/>
    <col min="15372" max="15372" width="11.140625" style="216" customWidth="1"/>
    <col min="15373" max="15617" width="9.140625" style="216"/>
    <col min="15618" max="15618" width="2.7109375" style="216" customWidth="1"/>
    <col min="15619" max="15619" width="9.140625" style="216"/>
    <col min="15620" max="15620" width="40.28515625" style="216" bestFit="1" customWidth="1"/>
    <col min="15621" max="15621" width="10.7109375" style="216" customWidth="1"/>
    <col min="15622" max="15622" width="10" style="216" customWidth="1"/>
    <col min="15623" max="15623" width="17.85546875" style="216" customWidth="1"/>
    <col min="15624" max="15624" width="7.7109375" style="216" customWidth="1"/>
    <col min="15625" max="15625" width="12.28515625" style="216" customWidth="1"/>
    <col min="15626" max="15626" width="12.7109375" style="216" customWidth="1"/>
    <col min="15627" max="15627" width="14.140625" style="216" customWidth="1"/>
    <col min="15628" max="15628" width="11.140625" style="216" customWidth="1"/>
    <col min="15629" max="15873" width="9.140625" style="216"/>
    <col min="15874" max="15874" width="2.7109375" style="216" customWidth="1"/>
    <col min="15875" max="15875" width="9.140625" style="216"/>
    <col min="15876" max="15876" width="40.28515625" style="216" bestFit="1" customWidth="1"/>
    <col min="15877" max="15877" width="10.7109375" style="216" customWidth="1"/>
    <col min="15878" max="15878" width="10" style="216" customWidth="1"/>
    <col min="15879" max="15879" width="17.85546875" style="216" customWidth="1"/>
    <col min="15880" max="15880" width="7.7109375" style="216" customWidth="1"/>
    <col min="15881" max="15881" width="12.28515625" style="216" customWidth="1"/>
    <col min="15882" max="15882" width="12.7109375" style="216" customWidth="1"/>
    <col min="15883" max="15883" width="14.140625" style="216" customWidth="1"/>
    <col min="15884" max="15884" width="11.140625" style="216" customWidth="1"/>
    <col min="15885" max="16129" width="9.140625" style="216"/>
    <col min="16130" max="16130" width="2.7109375" style="216" customWidth="1"/>
    <col min="16131" max="16131" width="9.140625" style="216"/>
    <col min="16132" max="16132" width="40.28515625" style="216" bestFit="1" customWidth="1"/>
    <col min="16133" max="16133" width="10.7109375" style="216" customWidth="1"/>
    <col min="16134" max="16134" width="10" style="216" customWidth="1"/>
    <col min="16135" max="16135" width="17.85546875" style="216" customWidth="1"/>
    <col min="16136" max="16136" width="7.7109375" style="216" customWidth="1"/>
    <col min="16137" max="16137" width="12.28515625" style="216" customWidth="1"/>
    <col min="16138" max="16138" width="12.7109375" style="216" customWidth="1"/>
    <col min="16139" max="16139" width="14.140625" style="216" customWidth="1"/>
    <col min="16140" max="16140" width="11.140625" style="216" customWidth="1"/>
    <col min="16141" max="16384" width="9.140625" style="216"/>
  </cols>
  <sheetData>
    <row r="1" spans="1:13" x14ac:dyDescent="0.2">
      <c r="K1" s="217" t="s">
        <v>419</v>
      </c>
      <c r="L1" s="766" t="str">
        <f>EBNUMBER</f>
        <v>EB-2014-0113</v>
      </c>
      <c r="M1" s="219"/>
    </row>
    <row r="2" spans="1:13" x14ac:dyDescent="0.2">
      <c r="K2" s="217" t="s">
        <v>420</v>
      </c>
      <c r="L2" s="767"/>
      <c r="M2" s="219"/>
    </row>
    <row r="3" spans="1:13" x14ac:dyDescent="0.2">
      <c r="K3" s="217" t="s">
        <v>421</v>
      </c>
      <c r="L3" s="767"/>
      <c r="M3" s="219"/>
    </row>
    <row r="4" spans="1:13" x14ac:dyDescent="0.2">
      <c r="K4" s="217" t="s">
        <v>422</v>
      </c>
      <c r="L4" s="767"/>
      <c r="M4" s="219"/>
    </row>
    <row r="5" spans="1:13" x14ac:dyDescent="0.2">
      <c r="K5" s="217" t="s">
        <v>423</v>
      </c>
      <c r="L5" s="768"/>
      <c r="M5" s="219"/>
    </row>
    <row r="6" spans="1:13" x14ac:dyDescent="0.2">
      <c r="K6" s="217"/>
      <c r="L6" s="766"/>
      <c r="M6" s="219"/>
    </row>
    <row r="7" spans="1:13" x14ac:dyDescent="0.2">
      <c r="K7" s="217" t="s">
        <v>424</v>
      </c>
      <c r="L7" s="768"/>
      <c r="M7" s="220"/>
    </row>
    <row r="9" spans="1:13" ht="18" x14ac:dyDescent="0.25">
      <c r="A9" s="1856" t="s">
        <v>937</v>
      </c>
      <c r="B9" s="1856"/>
      <c r="C9" s="1856"/>
      <c r="D9" s="1856"/>
      <c r="E9" s="1856"/>
      <c r="F9" s="1856"/>
      <c r="G9" s="1856"/>
      <c r="H9" s="1856"/>
      <c r="I9" s="1856"/>
      <c r="J9" s="1856"/>
      <c r="K9" s="1856"/>
      <c r="L9" s="1856"/>
    </row>
    <row r="10" spans="1:13" ht="18" x14ac:dyDescent="0.25">
      <c r="A10" s="1856" t="s">
        <v>3</v>
      </c>
      <c r="B10" s="1856"/>
      <c r="C10" s="1856"/>
      <c r="D10" s="1856"/>
      <c r="E10" s="1856"/>
      <c r="F10" s="1856"/>
      <c r="G10" s="1856"/>
      <c r="H10" s="1856"/>
      <c r="I10" s="1856"/>
      <c r="J10" s="1856"/>
      <c r="K10" s="1856"/>
      <c r="L10" s="1856"/>
    </row>
    <row r="11" spans="1:13" ht="18.75" customHeight="1" x14ac:dyDescent="0.2">
      <c r="A11" s="1877" t="s">
        <v>820</v>
      </c>
      <c r="B11" s="1877"/>
      <c r="C11" s="1877"/>
      <c r="D11" s="1877"/>
      <c r="E11" s="1877"/>
      <c r="F11" s="1877"/>
      <c r="G11" s="1877"/>
      <c r="H11" s="1877"/>
      <c r="I11" s="1877"/>
      <c r="J11" s="1877"/>
      <c r="K11" s="1877"/>
      <c r="L11" s="1877"/>
    </row>
    <row r="12" spans="1:13" ht="13.5" customHeight="1" x14ac:dyDescent="0.25">
      <c r="A12" s="682"/>
      <c r="B12" s="682"/>
      <c r="C12" s="676" t="s">
        <v>40</v>
      </c>
      <c r="D12" s="664">
        <v>2013</v>
      </c>
      <c r="E12" s="899" t="s">
        <v>928</v>
      </c>
      <c r="H12" s="682"/>
      <c r="I12" s="682"/>
      <c r="J12" s="682"/>
    </row>
    <row r="13" spans="1:13" ht="15" customHeight="1" thickBot="1" x14ac:dyDescent="0.25"/>
    <row r="14" spans="1:13" ht="63.75" customHeight="1" x14ac:dyDescent="0.2">
      <c r="A14" s="1871" t="s">
        <v>4</v>
      </c>
      <c r="B14" s="1873" t="s">
        <v>346</v>
      </c>
      <c r="C14" s="221" t="s">
        <v>796</v>
      </c>
      <c r="D14" s="221" t="s">
        <v>710</v>
      </c>
      <c r="E14" s="221" t="s">
        <v>711</v>
      </c>
      <c r="F14" s="221" t="s">
        <v>348</v>
      </c>
      <c r="G14" s="221" t="s">
        <v>7</v>
      </c>
      <c r="H14" s="221" t="s">
        <v>8</v>
      </c>
      <c r="I14" s="221" t="s">
        <v>416</v>
      </c>
      <c r="J14" s="222" t="s">
        <v>797</v>
      </c>
      <c r="K14" s="1880" t="s">
        <v>708</v>
      </c>
      <c r="L14" s="222" t="s">
        <v>523</v>
      </c>
    </row>
    <row r="15" spans="1:13" ht="19.5" customHeight="1" thickBot="1" x14ac:dyDescent="0.25">
      <c r="A15" s="1878"/>
      <c r="B15" s="1879"/>
      <c r="C15" s="294" t="s">
        <v>5</v>
      </c>
      <c r="D15" s="294" t="s">
        <v>712</v>
      </c>
      <c r="E15" s="294" t="s">
        <v>713</v>
      </c>
      <c r="F15" s="294" t="s">
        <v>6</v>
      </c>
      <c r="G15" s="307" t="s">
        <v>716</v>
      </c>
      <c r="H15" s="294" t="s">
        <v>9</v>
      </c>
      <c r="I15" s="294" t="s">
        <v>10</v>
      </c>
      <c r="J15" s="296" t="s">
        <v>12</v>
      </c>
      <c r="K15" s="1881"/>
      <c r="L15" s="296" t="s">
        <v>517</v>
      </c>
    </row>
    <row r="16" spans="1:13" ht="25.5" x14ac:dyDescent="0.2">
      <c r="A16" s="843">
        <v>1611</v>
      </c>
      <c r="B16" s="839" t="s">
        <v>515</v>
      </c>
      <c r="C16" s="204"/>
      <c r="D16" s="204"/>
      <c r="E16" s="796">
        <f>C16-D16</f>
        <v>0</v>
      </c>
      <c r="F16" s="204"/>
      <c r="G16" s="796">
        <f>E16+0.5*F16</f>
        <v>0</v>
      </c>
      <c r="H16" s="293"/>
      <c r="I16" s="594">
        <f t="shared" ref="I16:I55" si="0">IF(H16=0,0,1/H16)</f>
        <v>0</v>
      </c>
      <c r="J16" s="796">
        <f t="shared" ref="J16:J55" si="1">IF(H16=0,0,G16/H16)</f>
        <v>0</v>
      </c>
      <c r="K16" s="204"/>
      <c r="L16" s="796">
        <f t="shared" ref="L16:L55" si="2">IF(ISERROR(+J16-K16), 0, +J16-K16)</f>
        <v>0</v>
      </c>
    </row>
    <row r="17" spans="1:12" x14ac:dyDescent="0.2">
      <c r="A17" s="828">
        <v>1612</v>
      </c>
      <c r="B17" s="783" t="s">
        <v>650</v>
      </c>
      <c r="C17" s="204"/>
      <c r="D17" s="204"/>
      <c r="E17" s="796">
        <f t="shared" ref="E17:E55" si="3">C17-D17</f>
        <v>0</v>
      </c>
      <c r="F17" s="204"/>
      <c r="G17" s="796">
        <f t="shared" ref="G17:G55" si="4">E17+0.5*F17</f>
        <v>0</v>
      </c>
      <c r="H17" s="282"/>
      <c r="I17" s="586">
        <f t="shared" si="0"/>
        <v>0</v>
      </c>
      <c r="J17" s="796">
        <f t="shared" si="1"/>
        <v>0</v>
      </c>
      <c r="K17" s="204"/>
      <c r="L17" s="796">
        <f t="shared" si="2"/>
        <v>0</v>
      </c>
    </row>
    <row r="18" spans="1:12" x14ac:dyDescent="0.2">
      <c r="A18" s="829">
        <v>1805</v>
      </c>
      <c r="B18" s="786" t="s">
        <v>383</v>
      </c>
      <c r="C18" s="204"/>
      <c r="D18" s="204"/>
      <c r="E18" s="796">
        <f t="shared" si="3"/>
        <v>0</v>
      </c>
      <c r="F18" s="204"/>
      <c r="G18" s="796">
        <f t="shared" si="4"/>
        <v>0</v>
      </c>
      <c r="H18" s="282"/>
      <c r="I18" s="586">
        <f t="shared" si="0"/>
        <v>0</v>
      </c>
      <c r="J18" s="796">
        <f t="shared" si="1"/>
        <v>0</v>
      </c>
      <c r="K18" s="204"/>
      <c r="L18" s="796">
        <f t="shared" si="2"/>
        <v>0</v>
      </c>
    </row>
    <row r="19" spans="1:12" x14ac:dyDescent="0.2">
      <c r="A19" s="828">
        <v>1808</v>
      </c>
      <c r="B19" s="787" t="s">
        <v>384</v>
      </c>
      <c r="C19" s="204"/>
      <c r="D19" s="204"/>
      <c r="E19" s="796">
        <f t="shared" si="3"/>
        <v>0</v>
      </c>
      <c r="F19" s="204"/>
      <c r="G19" s="796">
        <f t="shared" si="4"/>
        <v>0</v>
      </c>
      <c r="H19" s="282"/>
      <c r="I19" s="586">
        <f t="shared" si="0"/>
        <v>0</v>
      </c>
      <c r="J19" s="796">
        <f t="shared" si="1"/>
        <v>0</v>
      </c>
      <c r="K19" s="204"/>
      <c r="L19" s="796">
        <f t="shared" si="2"/>
        <v>0</v>
      </c>
    </row>
    <row r="20" spans="1:12" x14ac:dyDescent="0.2">
      <c r="A20" s="828">
        <v>1810</v>
      </c>
      <c r="B20" s="787" t="s">
        <v>417</v>
      </c>
      <c r="C20" s="204"/>
      <c r="D20" s="204"/>
      <c r="E20" s="796">
        <f t="shared" si="3"/>
        <v>0</v>
      </c>
      <c r="F20" s="204"/>
      <c r="G20" s="796">
        <f t="shared" si="4"/>
        <v>0</v>
      </c>
      <c r="H20" s="282"/>
      <c r="I20" s="586">
        <f t="shared" si="0"/>
        <v>0</v>
      </c>
      <c r="J20" s="796">
        <f t="shared" si="1"/>
        <v>0</v>
      </c>
      <c r="K20" s="204"/>
      <c r="L20" s="796">
        <f t="shared" si="2"/>
        <v>0</v>
      </c>
    </row>
    <row r="21" spans="1:12" x14ac:dyDescent="0.2">
      <c r="A21" s="828">
        <v>1815</v>
      </c>
      <c r="B21" s="787" t="s">
        <v>385</v>
      </c>
      <c r="C21" s="204"/>
      <c r="D21" s="204"/>
      <c r="E21" s="796">
        <f t="shared" si="3"/>
        <v>0</v>
      </c>
      <c r="F21" s="204"/>
      <c r="G21" s="796">
        <f t="shared" si="4"/>
        <v>0</v>
      </c>
      <c r="H21" s="282"/>
      <c r="I21" s="586">
        <f t="shared" si="0"/>
        <v>0</v>
      </c>
      <c r="J21" s="796">
        <f t="shared" si="1"/>
        <v>0</v>
      </c>
      <c r="K21" s="204"/>
      <c r="L21" s="796">
        <f t="shared" si="2"/>
        <v>0</v>
      </c>
    </row>
    <row r="22" spans="1:12" x14ac:dyDescent="0.2">
      <c r="A22" s="828">
        <v>1820</v>
      </c>
      <c r="B22" s="783" t="s">
        <v>306</v>
      </c>
      <c r="C22" s="204"/>
      <c r="D22" s="204"/>
      <c r="E22" s="796">
        <f t="shared" si="3"/>
        <v>0</v>
      </c>
      <c r="F22" s="204"/>
      <c r="G22" s="796">
        <f t="shared" si="4"/>
        <v>0</v>
      </c>
      <c r="H22" s="282"/>
      <c r="I22" s="586">
        <f t="shared" si="0"/>
        <v>0</v>
      </c>
      <c r="J22" s="796">
        <f t="shared" si="1"/>
        <v>0</v>
      </c>
      <c r="K22" s="204"/>
      <c r="L22" s="796">
        <f t="shared" si="2"/>
        <v>0</v>
      </c>
    </row>
    <row r="23" spans="1:12" x14ac:dyDescent="0.2">
      <c r="A23" s="828">
        <v>1825</v>
      </c>
      <c r="B23" s="787" t="s">
        <v>386</v>
      </c>
      <c r="C23" s="204"/>
      <c r="D23" s="204"/>
      <c r="E23" s="796">
        <f t="shared" si="3"/>
        <v>0</v>
      </c>
      <c r="F23" s="204"/>
      <c r="G23" s="796">
        <f t="shared" si="4"/>
        <v>0</v>
      </c>
      <c r="H23" s="282"/>
      <c r="I23" s="586">
        <f t="shared" si="0"/>
        <v>0</v>
      </c>
      <c r="J23" s="796">
        <f t="shared" si="1"/>
        <v>0</v>
      </c>
      <c r="K23" s="204"/>
      <c r="L23" s="796">
        <f t="shared" si="2"/>
        <v>0</v>
      </c>
    </row>
    <row r="24" spans="1:12" x14ac:dyDescent="0.2">
      <c r="A24" s="828">
        <v>1830</v>
      </c>
      <c r="B24" s="787" t="s">
        <v>387</v>
      </c>
      <c r="C24" s="204"/>
      <c r="D24" s="204"/>
      <c r="E24" s="796">
        <f t="shared" si="3"/>
        <v>0</v>
      </c>
      <c r="F24" s="204"/>
      <c r="G24" s="796">
        <f t="shared" si="4"/>
        <v>0</v>
      </c>
      <c r="H24" s="282"/>
      <c r="I24" s="586">
        <f t="shared" si="0"/>
        <v>0</v>
      </c>
      <c r="J24" s="796">
        <f t="shared" si="1"/>
        <v>0</v>
      </c>
      <c r="K24" s="204"/>
      <c r="L24" s="796">
        <f t="shared" si="2"/>
        <v>0</v>
      </c>
    </row>
    <row r="25" spans="1:12" x14ac:dyDescent="0.2">
      <c r="A25" s="828">
        <v>1835</v>
      </c>
      <c r="B25" s="787" t="s">
        <v>307</v>
      </c>
      <c r="C25" s="204"/>
      <c r="D25" s="204"/>
      <c r="E25" s="796">
        <f t="shared" si="3"/>
        <v>0</v>
      </c>
      <c r="F25" s="204"/>
      <c r="G25" s="796">
        <f t="shared" si="4"/>
        <v>0</v>
      </c>
      <c r="H25" s="282"/>
      <c r="I25" s="586">
        <f t="shared" si="0"/>
        <v>0</v>
      </c>
      <c r="J25" s="796">
        <f t="shared" si="1"/>
        <v>0</v>
      </c>
      <c r="K25" s="204"/>
      <c r="L25" s="796">
        <f t="shared" si="2"/>
        <v>0</v>
      </c>
    </row>
    <row r="26" spans="1:12" x14ac:dyDescent="0.2">
      <c r="A26" s="828">
        <v>1840</v>
      </c>
      <c r="B26" s="787" t="s">
        <v>308</v>
      </c>
      <c r="C26" s="204"/>
      <c r="D26" s="204"/>
      <c r="E26" s="796">
        <f t="shared" si="3"/>
        <v>0</v>
      </c>
      <c r="F26" s="204"/>
      <c r="G26" s="796">
        <f t="shared" si="4"/>
        <v>0</v>
      </c>
      <c r="H26" s="282"/>
      <c r="I26" s="586">
        <f t="shared" si="0"/>
        <v>0</v>
      </c>
      <c r="J26" s="796">
        <f t="shared" si="1"/>
        <v>0</v>
      </c>
      <c r="K26" s="204"/>
      <c r="L26" s="796">
        <f t="shared" si="2"/>
        <v>0</v>
      </c>
    </row>
    <row r="27" spans="1:12" x14ac:dyDescent="0.2">
      <c r="A27" s="828">
        <v>1845</v>
      </c>
      <c r="B27" s="787" t="s">
        <v>309</v>
      </c>
      <c r="C27" s="204"/>
      <c r="D27" s="204"/>
      <c r="E27" s="796">
        <f t="shared" si="3"/>
        <v>0</v>
      </c>
      <c r="F27" s="204"/>
      <c r="G27" s="796">
        <f t="shared" si="4"/>
        <v>0</v>
      </c>
      <c r="H27" s="282"/>
      <c r="I27" s="586">
        <f t="shared" si="0"/>
        <v>0</v>
      </c>
      <c r="J27" s="796">
        <f t="shared" si="1"/>
        <v>0</v>
      </c>
      <c r="K27" s="204"/>
      <c r="L27" s="796">
        <f t="shared" si="2"/>
        <v>0</v>
      </c>
    </row>
    <row r="28" spans="1:12" x14ac:dyDescent="0.2">
      <c r="A28" s="828">
        <v>1850</v>
      </c>
      <c r="B28" s="787" t="s">
        <v>388</v>
      </c>
      <c r="C28" s="204"/>
      <c r="D28" s="204"/>
      <c r="E28" s="796">
        <f t="shared" si="3"/>
        <v>0</v>
      </c>
      <c r="F28" s="204"/>
      <c r="G28" s="796">
        <f t="shared" si="4"/>
        <v>0</v>
      </c>
      <c r="H28" s="282"/>
      <c r="I28" s="586">
        <f t="shared" si="0"/>
        <v>0</v>
      </c>
      <c r="J28" s="796">
        <f t="shared" si="1"/>
        <v>0</v>
      </c>
      <c r="K28" s="204"/>
      <c r="L28" s="796">
        <f t="shared" si="2"/>
        <v>0</v>
      </c>
    </row>
    <row r="29" spans="1:12" x14ac:dyDescent="0.2">
      <c r="A29" s="828">
        <v>1855</v>
      </c>
      <c r="B29" s="787" t="s">
        <v>310</v>
      </c>
      <c r="C29" s="204"/>
      <c r="D29" s="204"/>
      <c r="E29" s="796">
        <f t="shared" si="3"/>
        <v>0</v>
      </c>
      <c r="F29" s="204"/>
      <c r="G29" s="796">
        <f t="shared" si="4"/>
        <v>0</v>
      </c>
      <c r="H29" s="282"/>
      <c r="I29" s="586">
        <f t="shared" si="0"/>
        <v>0</v>
      </c>
      <c r="J29" s="796">
        <f t="shared" si="1"/>
        <v>0</v>
      </c>
      <c r="K29" s="204"/>
      <c r="L29" s="796">
        <f t="shared" si="2"/>
        <v>0</v>
      </c>
    </row>
    <row r="30" spans="1:12" x14ac:dyDescent="0.2">
      <c r="A30" s="828">
        <v>1860</v>
      </c>
      <c r="B30" s="787" t="s">
        <v>389</v>
      </c>
      <c r="C30" s="204"/>
      <c r="D30" s="204"/>
      <c r="E30" s="796">
        <f t="shared" si="3"/>
        <v>0</v>
      </c>
      <c r="F30" s="204"/>
      <c r="G30" s="796">
        <f t="shared" si="4"/>
        <v>0</v>
      </c>
      <c r="H30" s="282"/>
      <c r="I30" s="586">
        <f t="shared" si="0"/>
        <v>0</v>
      </c>
      <c r="J30" s="796">
        <f t="shared" si="1"/>
        <v>0</v>
      </c>
      <c r="K30" s="204"/>
      <c r="L30" s="796">
        <f t="shared" si="2"/>
        <v>0</v>
      </c>
    </row>
    <row r="31" spans="1:12" x14ac:dyDescent="0.2">
      <c r="A31" s="829">
        <v>1860</v>
      </c>
      <c r="B31" s="786" t="s">
        <v>311</v>
      </c>
      <c r="C31" s="204"/>
      <c r="D31" s="204"/>
      <c r="E31" s="796">
        <f t="shared" si="3"/>
        <v>0</v>
      </c>
      <c r="F31" s="204"/>
      <c r="G31" s="796">
        <f t="shared" si="4"/>
        <v>0</v>
      </c>
      <c r="H31" s="282"/>
      <c r="I31" s="586">
        <f t="shared" si="0"/>
        <v>0</v>
      </c>
      <c r="J31" s="796">
        <f t="shared" si="1"/>
        <v>0</v>
      </c>
      <c r="K31" s="204"/>
      <c r="L31" s="796">
        <f t="shared" si="2"/>
        <v>0</v>
      </c>
    </row>
    <row r="32" spans="1:12" x14ac:dyDescent="0.2">
      <c r="A32" s="829">
        <v>1905</v>
      </c>
      <c r="B32" s="786" t="s">
        <v>383</v>
      </c>
      <c r="C32" s="204"/>
      <c r="D32" s="204"/>
      <c r="E32" s="796">
        <f t="shared" si="3"/>
        <v>0</v>
      </c>
      <c r="F32" s="204"/>
      <c r="G32" s="796">
        <f t="shared" si="4"/>
        <v>0</v>
      </c>
      <c r="H32" s="282"/>
      <c r="I32" s="586">
        <f t="shared" si="0"/>
        <v>0</v>
      </c>
      <c r="J32" s="796">
        <f t="shared" si="1"/>
        <v>0</v>
      </c>
      <c r="K32" s="204"/>
      <c r="L32" s="796">
        <f t="shared" si="2"/>
        <v>0</v>
      </c>
    </row>
    <row r="33" spans="1:12" x14ac:dyDescent="0.2">
      <c r="A33" s="828">
        <v>1908</v>
      </c>
      <c r="B33" s="787" t="s">
        <v>391</v>
      </c>
      <c r="C33" s="204"/>
      <c r="D33" s="204"/>
      <c r="E33" s="796">
        <f t="shared" si="3"/>
        <v>0</v>
      </c>
      <c r="F33" s="204"/>
      <c r="G33" s="796">
        <f t="shared" si="4"/>
        <v>0</v>
      </c>
      <c r="H33" s="282"/>
      <c r="I33" s="586">
        <f t="shared" si="0"/>
        <v>0</v>
      </c>
      <c r="J33" s="796">
        <f t="shared" si="1"/>
        <v>0</v>
      </c>
      <c r="K33" s="204"/>
      <c r="L33" s="796">
        <f t="shared" si="2"/>
        <v>0</v>
      </c>
    </row>
    <row r="34" spans="1:12" x14ac:dyDescent="0.2">
      <c r="A34" s="828">
        <v>1910</v>
      </c>
      <c r="B34" s="787" t="s">
        <v>417</v>
      </c>
      <c r="C34" s="204"/>
      <c r="D34" s="204"/>
      <c r="E34" s="796">
        <f t="shared" si="3"/>
        <v>0</v>
      </c>
      <c r="F34" s="204"/>
      <c r="G34" s="796">
        <f t="shared" si="4"/>
        <v>0</v>
      </c>
      <c r="H34" s="282"/>
      <c r="I34" s="586">
        <f t="shared" si="0"/>
        <v>0</v>
      </c>
      <c r="J34" s="796">
        <f t="shared" si="1"/>
        <v>0</v>
      </c>
      <c r="K34" s="204"/>
      <c r="L34" s="796">
        <f t="shared" si="2"/>
        <v>0</v>
      </c>
    </row>
    <row r="35" spans="1:12" x14ac:dyDescent="0.2">
      <c r="A35" s="828">
        <v>1915</v>
      </c>
      <c r="B35" s="787" t="s">
        <v>312</v>
      </c>
      <c r="C35" s="204"/>
      <c r="D35" s="204"/>
      <c r="E35" s="796">
        <f t="shared" si="3"/>
        <v>0</v>
      </c>
      <c r="F35" s="204"/>
      <c r="G35" s="796">
        <f t="shared" si="4"/>
        <v>0</v>
      </c>
      <c r="H35" s="282"/>
      <c r="I35" s="586">
        <f t="shared" si="0"/>
        <v>0</v>
      </c>
      <c r="J35" s="796">
        <f t="shared" si="1"/>
        <v>0</v>
      </c>
      <c r="K35" s="204"/>
      <c r="L35" s="796">
        <f t="shared" si="2"/>
        <v>0</v>
      </c>
    </row>
    <row r="36" spans="1:12" x14ac:dyDescent="0.2">
      <c r="A36" s="828">
        <v>1915</v>
      </c>
      <c r="B36" s="787" t="s">
        <v>313</v>
      </c>
      <c r="C36" s="204"/>
      <c r="D36" s="204"/>
      <c r="E36" s="796">
        <f t="shared" si="3"/>
        <v>0</v>
      </c>
      <c r="F36" s="204"/>
      <c r="G36" s="796">
        <f t="shared" si="4"/>
        <v>0</v>
      </c>
      <c r="H36" s="282"/>
      <c r="I36" s="586">
        <f t="shared" si="0"/>
        <v>0</v>
      </c>
      <c r="J36" s="796">
        <f t="shared" si="1"/>
        <v>0</v>
      </c>
      <c r="K36" s="204"/>
      <c r="L36" s="796">
        <f t="shared" si="2"/>
        <v>0</v>
      </c>
    </row>
    <row r="37" spans="1:12" x14ac:dyDescent="0.2">
      <c r="A37" s="828">
        <v>1920</v>
      </c>
      <c r="B37" s="787" t="s">
        <v>314</v>
      </c>
      <c r="C37" s="204"/>
      <c r="D37" s="204"/>
      <c r="E37" s="796">
        <f t="shared" si="3"/>
        <v>0</v>
      </c>
      <c r="F37" s="204"/>
      <c r="G37" s="796">
        <f t="shared" si="4"/>
        <v>0</v>
      </c>
      <c r="H37" s="282"/>
      <c r="I37" s="586">
        <f t="shared" si="0"/>
        <v>0</v>
      </c>
      <c r="J37" s="796">
        <f t="shared" si="1"/>
        <v>0</v>
      </c>
      <c r="K37" s="204"/>
      <c r="L37" s="796">
        <f t="shared" si="2"/>
        <v>0</v>
      </c>
    </row>
    <row r="38" spans="1:12" x14ac:dyDescent="0.2">
      <c r="A38" s="830">
        <v>1920</v>
      </c>
      <c r="B38" s="783" t="s">
        <v>316</v>
      </c>
      <c r="C38" s="204"/>
      <c r="D38" s="204"/>
      <c r="E38" s="796">
        <f t="shared" si="3"/>
        <v>0</v>
      </c>
      <c r="F38" s="204"/>
      <c r="G38" s="796">
        <f t="shared" si="4"/>
        <v>0</v>
      </c>
      <c r="H38" s="282"/>
      <c r="I38" s="586">
        <f t="shared" si="0"/>
        <v>0</v>
      </c>
      <c r="J38" s="796">
        <f t="shared" si="1"/>
        <v>0</v>
      </c>
      <c r="K38" s="204"/>
      <c r="L38" s="796">
        <f t="shared" si="2"/>
        <v>0</v>
      </c>
    </row>
    <row r="39" spans="1:12" x14ac:dyDescent="0.2">
      <c r="A39" s="830">
        <v>1920</v>
      </c>
      <c r="B39" s="783" t="s">
        <v>315</v>
      </c>
      <c r="C39" s="204"/>
      <c r="D39" s="204"/>
      <c r="E39" s="796">
        <f t="shared" si="3"/>
        <v>0</v>
      </c>
      <c r="F39" s="204"/>
      <c r="G39" s="796">
        <f t="shared" si="4"/>
        <v>0</v>
      </c>
      <c r="H39" s="282"/>
      <c r="I39" s="586">
        <f t="shared" si="0"/>
        <v>0</v>
      </c>
      <c r="J39" s="796">
        <f t="shared" si="1"/>
        <v>0</v>
      </c>
      <c r="K39" s="204"/>
      <c r="L39" s="796">
        <f t="shared" si="2"/>
        <v>0</v>
      </c>
    </row>
    <row r="40" spans="1:12" x14ac:dyDescent="0.2">
      <c r="A40" s="828">
        <v>1930</v>
      </c>
      <c r="B40" s="787" t="s">
        <v>404</v>
      </c>
      <c r="C40" s="204"/>
      <c r="D40" s="204"/>
      <c r="E40" s="796">
        <f t="shared" si="3"/>
        <v>0</v>
      </c>
      <c r="F40" s="204"/>
      <c r="G40" s="796">
        <f t="shared" si="4"/>
        <v>0</v>
      </c>
      <c r="H40" s="282"/>
      <c r="I40" s="586">
        <f t="shared" si="0"/>
        <v>0</v>
      </c>
      <c r="J40" s="796">
        <f t="shared" si="1"/>
        <v>0</v>
      </c>
      <c r="K40" s="204"/>
      <c r="L40" s="796">
        <f t="shared" si="2"/>
        <v>0</v>
      </c>
    </row>
    <row r="41" spans="1:12" x14ac:dyDescent="0.2">
      <c r="A41" s="828">
        <v>1935</v>
      </c>
      <c r="B41" s="787" t="s">
        <v>405</v>
      </c>
      <c r="C41" s="204"/>
      <c r="D41" s="204"/>
      <c r="E41" s="796">
        <f t="shared" si="3"/>
        <v>0</v>
      </c>
      <c r="F41" s="204"/>
      <c r="G41" s="796">
        <f t="shared" si="4"/>
        <v>0</v>
      </c>
      <c r="H41" s="282"/>
      <c r="I41" s="586">
        <f t="shared" si="0"/>
        <v>0</v>
      </c>
      <c r="J41" s="796">
        <f t="shared" si="1"/>
        <v>0</v>
      </c>
      <c r="K41" s="204"/>
      <c r="L41" s="796">
        <f t="shared" si="2"/>
        <v>0</v>
      </c>
    </row>
    <row r="42" spans="1:12" x14ac:dyDescent="0.2">
      <c r="A42" s="828">
        <v>1940</v>
      </c>
      <c r="B42" s="787" t="s">
        <v>406</v>
      </c>
      <c r="C42" s="204"/>
      <c r="D42" s="204"/>
      <c r="E42" s="796">
        <f t="shared" si="3"/>
        <v>0</v>
      </c>
      <c r="F42" s="204"/>
      <c r="G42" s="796">
        <f t="shared" si="4"/>
        <v>0</v>
      </c>
      <c r="H42" s="282"/>
      <c r="I42" s="586">
        <f t="shared" si="0"/>
        <v>0</v>
      </c>
      <c r="J42" s="796">
        <f t="shared" si="1"/>
        <v>0</v>
      </c>
      <c r="K42" s="204"/>
      <c r="L42" s="796">
        <f t="shared" si="2"/>
        <v>0</v>
      </c>
    </row>
    <row r="43" spans="1:12" x14ac:dyDescent="0.2">
      <c r="A43" s="828">
        <v>1945</v>
      </c>
      <c r="B43" s="787" t="s">
        <v>407</v>
      </c>
      <c r="C43" s="204"/>
      <c r="D43" s="204"/>
      <c r="E43" s="796">
        <f t="shared" si="3"/>
        <v>0</v>
      </c>
      <c r="F43" s="204"/>
      <c r="G43" s="796">
        <f t="shared" si="4"/>
        <v>0</v>
      </c>
      <c r="H43" s="282"/>
      <c r="I43" s="586">
        <f t="shared" si="0"/>
        <v>0</v>
      </c>
      <c r="J43" s="796">
        <f t="shared" si="1"/>
        <v>0</v>
      </c>
      <c r="K43" s="204"/>
      <c r="L43" s="796">
        <f t="shared" si="2"/>
        <v>0</v>
      </c>
    </row>
    <row r="44" spans="1:12" x14ac:dyDescent="0.2">
      <c r="A44" s="828">
        <v>1950</v>
      </c>
      <c r="B44" s="787" t="s">
        <v>317</v>
      </c>
      <c r="C44" s="204"/>
      <c r="D44" s="204"/>
      <c r="E44" s="796">
        <f t="shared" si="3"/>
        <v>0</v>
      </c>
      <c r="F44" s="204"/>
      <c r="G44" s="796">
        <f t="shared" si="4"/>
        <v>0</v>
      </c>
      <c r="H44" s="282"/>
      <c r="I44" s="586">
        <f t="shared" si="0"/>
        <v>0</v>
      </c>
      <c r="J44" s="796">
        <f t="shared" si="1"/>
        <v>0</v>
      </c>
      <c r="K44" s="204"/>
      <c r="L44" s="796">
        <f t="shared" si="2"/>
        <v>0</v>
      </c>
    </row>
    <row r="45" spans="1:12" x14ac:dyDescent="0.2">
      <c r="A45" s="828">
        <v>1955</v>
      </c>
      <c r="B45" s="787" t="s">
        <v>408</v>
      </c>
      <c r="C45" s="204"/>
      <c r="D45" s="204"/>
      <c r="E45" s="796">
        <f t="shared" si="3"/>
        <v>0</v>
      </c>
      <c r="F45" s="204"/>
      <c r="G45" s="796">
        <f t="shared" si="4"/>
        <v>0</v>
      </c>
      <c r="H45" s="282"/>
      <c r="I45" s="586">
        <f t="shared" si="0"/>
        <v>0</v>
      </c>
      <c r="J45" s="796">
        <f t="shared" si="1"/>
        <v>0</v>
      </c>
      <c r="K45" s="204"/>
      <c r="L45" s="796">
        <f t="shared" si="2"/>
        <v>0</v>
      </c>
    </row>
    <row r="46" spans="1:12" x14ac:dyDescent="0.2">
      <c r="A46" s="831">
        <v>1955</v>
      </c>
      <c r="B46" s="790" t="s">
        <v>318</v>
      </c>
      <c r="C46" s="204"/>
      <c r="D46" s="204"/>
      <c r="E46" s="796">
        <f t="shared" si="3"/>
        <v>0</v>
      </c>
      <c r="F46" s="204"/>
      <c r="G46" s="796">
        <f t="shared" si="4"/>
        <v>0</v>
      </c>
      <c r="H46" s="282"/>
      <c r="I46" s="586">
        <f t="shared" si="0"/>
        <v>0</v>
      </c>
      <c r="J46" s="796">
        <f t="shared" si="1"/>
        <v>0</v>
      </c>
      <c r="K46" s="204"/>
      <c r="L46" s="796">
        <f t="shared" si="2"/>
        <v>0</v>
      </c>
    </row>
    <row r="47" spans="1:12" x14ac:dyDescent="0.2">
      <c r="A47" s="830">
        <v>1960</v>
      </c>
      <c r="B47" s="783" t="s">
        <v>319</v>
      </c>
      <c r="C47" s="204"/>
      <c r="D47" s="204"/>
      <c r="E47" s="796">
        <f t="shared" si="3"/>
        <v>0</v>
      </c>
      <c r="F47" s="204"/>
      <c r="G47" s="796">
        <f t="shared" si="4"/>
        <v>0</v>
      </c>
      <c r="H47" s="282"/>
      <c r="I47" s="586">
        <f t="shared" si="0"/>
        <v>0</v>
      </c>
      <c r="J47" s="796">
        <f t="shared" si="1"/>
        <v>0</v>
      </c>
      <c r="K47" s="204"/>
      <c r="L47" s="796">
        <f t="shared" si="2"/>
        <v>0</v>
      </c>
    </row>
    <row r="48" spans="1:12" x14ac:dyDescent="0.2">
      <c r="A48" s="830">
        <v>1970</v>
      </c>
      <c r="B48" s="900" t="s">
        <v>929</v>
      </c>
      <c r="C48" s="204"/>
      <c r="D48" s="204"/>
      <c r="E48" s="796">
        <f t="shared" si="3"/>
        <v>0</v>
      </c>
      <c r="F48" s="204"/>
      <c r="G48" s="796">
        <f t="shared" si="4"/>
        <v>0</v>
      </c>
      <c r="H48" s="282"/>
      <c r="I48" s="586">
        <f t="shared" si="0"/>
        <v>0</v>
      </c>
      <c r="J48" s="796">
        <f t="shared" si="1"/>
        <v>0</v>
      </c>
      <c r="K48" s="204"/>
      <c r="L48" s="796">
        <f t="shared" si="2"/>
        <v>0</v>
      </c>
    </row>
    <row r="49" spans="1:14" x14ac:dyDescent="0.2">
      <c r="A49" s="828">
        <v>1975</v>
      </c>
      <c r="B49" s="787" t="s">
        <v>409</v>
      </c>
      <c r="C49" s="204"/>
      <c r="D49" s="204"/>
      <c r="E49" s="796">
        <f t="shared" si="3"/>
        <v>0</v>
      </c>
      <c r="F49" s="204"/>
      <c r="G49" s="796">
        <f t="shared" si="4"/>
        <v>0</v>
      </c>
      <c r="H49" s="282"/>
      <c r="I49" s="586">
        <f t="shared" si="0"/>
        <v>0</v>
      </c>
      <c r="J49" s="796">
        <f t="shared" si="1"/>
        <v>0</v>
      </c>
      <c r="K49" s="204"/>
      <c r="L49" s="796">
        <f t="shared" si="2"/>
        <v>0</v>
      </c>
    </row>
    <row r="50" spans="1:14" x14ac:dyDescent="0.2">
      <c r="A50" s="828">
        <v>1980</v>
      </c>
      <c r="B50" s="787" t="s">
        <v>410</v>
      </c>
      <c r="C50" s="204"/>
      <c r="D50" s="204"/>
      <c r="E50" s="796">
        <f t="shared" si="3"/>
        <v>0</v>
      </c>
      <c r="F50" s="204"/>
      <c r="G50" s="796">
        <f t="shared" si="4"/>
        <v>0</v>
      </c>
      <c r="H50" s="282"/>
      <c r="I50" s="586">
        <f t="shared" si="0"/>
        <v>0</v>
      </c>
      <c r="J50" s="796">
        <f t="shared" si="1"/>
        <v>0</v>
      </c>
      <c r="K50" s="204"/>
      <c r="L50" s="796">
        <f t="shared" si="2"/>
        <v>0</v>
      </c>
    </row>
    <row r="51" spans="1:14" x14ac:dyDescent="0.2">
      <c r="A51" s="828">
        <v>1985</v>
      </c>
      <c r="B51" s="787" t="s">
        <v>411</v>
      </c>
      <c r="C51" s="204"/>
      <c r="D51" s="204"/>
      <c r="E51" s="796">
        <f t="shared" si="3"/>
        <v>0</v>
      </c>
      <c r="F51" s="204"/>
      <c r="G51" s="796">
        <f t="shared" si="4"/>
        <v>0</v>
      </c>
      <c r="H51" s="282"/>
      <c r="I51" s="586">
        <f t="shared" si="0"/>
        <v>0</v>
      </c>
      <c r="J51" s="796">
        <f t="shared" si="1"/>
        <v>0</v>
      </c>
      <c r="K51" s="204"/>
      <c r="L51" s="796">
        <f t="shared" si="2"/>
        <v>0</v>
      </c>
    </row>
    <row r="52" spans="1:14" x14ac:dyDescent="0.2">
      <c r="A52" s="828">
        <v>1990</v>
      </c>
      <c r="B52" s="791" t="s">
        <v>774</v>
      </c>
      <c r="C52" s="204"/>
      <c r="D52" s="204"/>
      <c r="E52" s="796">
        <f t="shared" si="3"/>
        <v>0</v>
      </c>
      <c r="F52" s="204"/>
      <c r="G52" s="796">
        <f t="shared" si="4"/>
        <v>0</v>
      </c>
      <c r="H52" s="282"/>
      <c r="I52" s="586">
        <f t="shared" si="0"/>
        <v>0</v>
      </c>
      <c r="J52" s="796">
        <f t="shared" si="1"/>
        <v>0</v>
      </c>
      <c r="K52" s="204"/>
      <c r="L52" s="796">
        <f t="shared" si="2"/>
        <v>0</v>
      </c>
    </row>
    <row r="53" spans="1:14" x14ac:dyDescent="0.2">
      <c r="A53" s="828">
        <v>1995</v>
      </c>
      <c r="B53" s="787" t="s">
        <v>412</v>
      </c>
      <c r="C53" s="204"/>
      <c r="D53" s="204"/>
      <c r="E53" s="796">
        <f t="shared" si="3"/>
        <v>0</v>
      </c>
      <c r="F53" s="204"/>
      <c r="G53" s="796">
        <f t="shared" si="4"/>
        <v>0</v>
      </c>
      <c r="H53" s="282"/>
      <c r="I53" s="586">
        <f t="shared" si="0"/>
        <v>0</v>
      </c>
      <c r="J53" s="796">
        <f t="shared" si="1"/>
        <v>0</v>
      </c>
      <c r="K53" s="204"/>
      <c r="L53" s="796">
        <f t="shared" si="2"/>
        <v>0</v>
      </c>
    </row>
    <row r="54" spans="1:14" x14ac:dyDescent="0.2">
      <c r="A54" s="227" t="s">
        <v>13</v>
      </c>
      <c r="B54" s="228"/>
      <c r="C54" s="204"/>
      <c r="D54" s="204"/>
      <c r="E54" s="796">
        <f t="shared" si="3"/>
        <v>0</v>
      </c>
      <c r="F54" s="204"/>
      <c r="G54" s="796">
        <f t="shared" si="4"/>
        <v>0</v>
      </c>
      <c r="H54" s="282"/>
      <c r="I54" s="586">
        <f t="shared" si="0"/>
        <v>0</v>
      </c>
      <c r="J54" s="796">
        <f t="shared" si="1"/>
        <v>0</v>
      </c>
      <c r="K54" s="204"/>
      <c r="L54" s="796">
        <f t="shared" si="2"/>
        <v>0</v>
      </c>
    </row>
    <row r="55" spans="1:14" ht="13.5" thickBot="1" x14ac:dyDescent="0.25">
      <c r="A55" s="229"/>
      <c r="B55" s="230"/>
      <c r="C55" s="204"/>
      <c r="D55" s="204"/>
      <c r="E55" s="796">
        <f t="shared" si="3"/>
        <v>0</v>
      </c>
      <c r="F55" s="204"/>
      <c r="G55" s="796">
        <f t="shared" si="4"/>
        <v>0</v>
      </c>
      <c r="H55" s="283"/>
      <c r="I55" s="593">
        <f t="shared" si="0"/>
        <v>0</v>
      </c>
      <c r="J55" s="796">
        <f t="shared" si="1"/>
        <v>0</v>
      </c>
      <c r="K55" s="204"/>
      <c r="L55" s="796">
        <f t="shared" si="2"/>
        <v>0</v>
      </c>
    </row>
    <row r="56" spans="1:14" ht="14.25" thickTop="1" thickBot="1" x14ac:dyDescent="0.25">
      <c r="A56" s="231"/>
      <c r="B56" s="232" t="s">
        <v>413</v>
      </c>
      <c r="C56" s="796">
        <f>SUM(C16:C55)</f>
        <v>0</v>
      </c>
      <c r="D56" s="796">
        <f>SUM(D16:D55)</f>
        <v>0</v>
      </c>
      <c r="E56" s="796">
        <f>SUM(E16:E55)</f>
        <v>0</v>
      </c>
      <c r="F56" s="796">
        <f>SUM(F16:F55)</f>
        <v>0</v>
      </c>
      <c r="G56" s="796">
        <f>SUM(G16:G55)</f>
        <v>0</v>
      </c>
      <c r="H56" s="234"/>
      <c r="I56" s="588"/>
      <c r="J56" s="796">
        <f>SUM(J16:J55)</f>
        <v>0</v>
      </c>
      <c r="K56" s="796">
        <f>SUM(K16:K55)</f>
        <v>0</v>
      </c>
      <c r="L56" s="796">
        <f>SUM(L16:L55)</f>
        <v>0</v>
      </c>
    </row>
    <row r="58" spans="1:14" x14ac:dyDescent="0.2">
      <c r="A58" s="217" t="s">
        <v>15</v>
      </c>
      <c r="B58" s="236"/>
      <c r="C58" s="236"/>
      <c r="D58" s="236"/>
      <c r="E58" s="236"/>
      <c r="F58" s="236"/>
      <c r="G58" s="236"/>
      <c r="H58" s="236"/>
      <c r="I58" s="236"/>
      <c r="J58" s="236"/>
    </row>
    <row r="59" spans="1:14" ht="27.75" customHeight="1" x14ac:dyDescent="0.2">
      <c r="A59" s="301">
        <v>1</v>
      </c>
      <c r="B59" s="1790" t="s">
        <v>607</v>
      </c>
      <c r="C59" s="1790"/>
      <c r="D59" s="1790"/>
      <c r="E59" s="1790"/>
      <c r="F59" s="1790"/>
      <c r="G59" s="1790"/>
      <c r="H59" s="1790"/>
      <c r="I59" s="1790"/>
      <c r="J59" s="1790"/>
      <c r="K59" s="1790"/>
      <c r="L59" s="1790"/>
    </row>
    <row r="60" spans="1:14" x14ac:dyDescent="0.2">
      <c r="A60" s="284">
        <v>2</v>
      </c>
      <c r="B60" s="1857" t="s">
        <v>1934</v>
      </c>
      <c r="C60" s="1857"/>
      <c r="D60" s="1857"/>
      <c r="E60" s="1857"/>
      <c r="F60" s="1857"/>
      <c r="G60" s="1857"/>
      <c r="H60" s="1857"/>
      <c r="I60" s="1857"/>
      <c r="J60" s="1857"/>
      <c r="K60" s="1857"/>
      <c r="L60" s="1857"/>
    </row>
    <row r="61" spans="1:14" x14ac:dyDescent="0.2">
      <c r="A61" s="284"/>
    </row>
    <row r="62" spans="1:14" ht="12.75" customHeight="1" x14ac:dyDescent="0.2">
      <c r="A62" s="217" t="s">
        <v>325</v>
      </c>
      <c r="B62" s="1869" t="s">
        <v>270</v>
      </c>
      <c r="C62" s="1869"/>
      <c r="D62" s="1869"/>
      <c r="E62" s="1869"/>
      <c r="F62" s="1869"/>
      <c r="G62" s="1869"/>
      <c r="H62" s="1869"/>
      <c r="I62" s="1869"/>
      <c r="J62" s="1869"/>
      <c r="K62" s="1869"/>
      <c r="L62" s="1869"/>
      <c r="M62" s="686"/>
      <c r="N62" s="686"/>
    </row>
    <row r="63" spans="1:14" ht="24.75" customHeight="1" x14ac:dyDescent="0.2">
      <c r="A63" s="236"/>
      <c r="B63" s="1869"/>
      <c r="C63" s="1869"/>
      <c r="D63" s="1869"/>
      <c r="E63" s="1869"/>
      <c r="F63" s="1869"/>
      <c r="G63" s="1869"/>
      <c r="H63" s="1869"/>
      <c r="I63" s="1869"/>
      <c r="J63" s="1869"/>
      <c r="K63" s="1869"/>
      <c r="L63" s="1869"/>
      <c r="M63" s="686"/>
      <c r="N63" s="686"/>
    </row>
    <row r="64" spans="1:14" x14ac:dyDescent="0.2">
      <c r="B64" s="686"/>
      <c r="C64" s="686"/>
      <c r="D64" s="686"/>
      <c r="E64" s="686"/>
      <c r="F64" s="686"/>
      <c r="G64" s="686"/>
      <c r="H64" s="686"/>
      <c r="I64" s="686"/>
      <c r="J64" s="686"/>
      <c r="K64" s="686"/>
      <c r="L64" s="686"/>
      <c r="M64" s="686"/>
      <c r="N64" s="686"/>
    </row>
  </sheetData>
  <mergeCells count="9">
    <mergeCell ref="B59:L59"/>
    <mergeCell ref="B60:L60"/>
    <mergeCell ref="B62:L63"/>
    <mergeCell ref="A9:L9"/>
    <mergeCell ref="A10:L10"/>
    <mergeCell ref="A11:L11"/>
    <mergeCell ref="A14:A15"/>
    <mergeCell ref="B14:B15"/>
    <mergeCell ref="K14:K15"/>
  </mergeCells>
  <dataValidations count="1">
    <dataValidation allowBlank="1" showInputMessage="1" showErrorMessage="1" promptTitle="Date Format" prompt="E.g:  &quot;August 1, 2011&quot;" sqref="WVR98303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J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J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J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J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J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J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J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J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J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J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J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J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J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J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dataValidations>
  <printOptions horizontalCentered="1"/>
  <pageMargins left="0.74803149606299213" right="0.74803149606299213" top="0.70866141732283472" bottom="0.39370078740157483" header="0.39370078740157483" footer="0.27559055118110237"/>
  <pageSetup scale="6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92"/>
  <sheetViews>
    <sheetView showGridLines="0" zoomScaleNormal="100" workbookViewId="0">
      <selection activeCell="N2" sqref="N2"/>
    </sheetView>
  </sheetViews>
  <sheetFormatPr defaultRowHeight="12.75" x14ac:dyDescent="0.2"/>
  <cols>
    <col min="1" max="1" width="9.140625" style="216"/>
    <col min="2" max="2" width="40.28515625" style="216" bestFit="1" customWidth="1"/>
    <col min="3" max="3" width="12" style="216" customWidth="1"/>
    <col min="4" max="4" width="10" style="216" customWidth="1"/>
    <col min="5" max="5" width="14.85546875" style="216" customWidth="1"/>
    <col min="6" max="6" width="9.5703125" style="216" customWidth="1"/>
    <col min="7" max="8" width="12.28515625" style="216" customWidth="1"/>
    <col min="9" max="9" width="14.28515625" style="216" customWidth="1"/>
    <col min="10" max="10" width="12.85546875" style="216" customWidth="1"/>
    <col min="11" max="11" width="18" style="216" customWidth="1"/>
    <col min="12" max="12" width="12.7109375" style="216" customWidth="1"/>
    <col min="13" max="13" width="12.28515625" style="216" bestFit="1" customWidth="1"/>
    <col min="14" max="14" width="17.5703125" style="216" customWidth="1"/>
    <col min="15" max="15" width="15.7109375" style="216" customWidth="1"/>
    <col min="16" max="256" width="9.140625" style="216"/>
    <col min="257" max="257" width="2.7109375" style="216" customWidth="1"/>
    <col min="258" max="258" width="9.140625" style="216"/>
    <col min="259" max="259" width="40.28515625" style="216" bestFit="1" customWidth="1"/>
    <col min="260" max="260" width="12" style="216" customWidth="1"/>
    <col min="261" max="261" width="10" style="216" customWidth="1"/>
    <col min="262" max="262" width="14.85546875" style="216" customWidth="1"/>
    <col min="263" max="263" width="9.5703125" style="216" customWidth="1"/>
    <col min="264" max="265" width="12.28515625" style="216" customWidth="1"/>
    <col min="266" max="268" width="12.85546875" style="216" customWidth="1"/>
    <col min="269" max="269" width="12.7109375" style="216" customWidth="1"/>
    <col min="270" max="270" width="12.28515625" style="216" bestFit="1" customWidth="1"/>
    <col min="271" max="271" width="13.85546875" style="216" customWidth="1"/>
    <col min="272" max="512" width="9.140625" style="216"/>
    <col min="513" max="513" width="2.7109375" style="216" customWidth="1"/>
    <col min="514" max="514" width="9.140625" style="216"/>
    <col min="515" max="515" width="40.28515625" style="216" bestFit="1" customWidth="1"/>
    <col min="516" max="516" width="12" style="216" customWidth="1"/>
    <col min="517" max="517" width="10" style="216" customWidth="1"/>
    <col min="518" max="518" width="14.85546875" style="216" customWidth="1"/>
    <col min="519" max="519" width="9.5703125" style="216" customWidth="1"/>
    <col min="520" max="521" width="12.28515625" style="216" customWidth="1"/>
    <col min="522" max="524" width="12.85546875" style="216" customWidth="1"/>
    <col min="525" max="525" width="12.7109375" style="216" customWidth="1"/>
    <col min="526" max="526" width="12.28515625" style="216" bestFit="1" customWidth="1"/>
    <col min="527" max="527" width="13.85546875" style="216" customWidth="1"/>
    <col min="528" max="768" width="9.140625" style="216"/>
    <col min="769" max="769" width="2.7109375" style="216" customWidth="1"/>
    <col min="770" max="770" width="9.140625" style="216"/>
    <col min="771" max="771" width="40.28515625" style="216" bestFit="1" customWidth="1"/>
    <col min="772" max="772" width="12" style="216" customWidth="1"/>
    <col min="773" max="773" width="10" style="216" customWidth="1"/>
    <col min="774" max="774" width="14.85546875" style="216" customWidth="1"/>
    <col min="775" max="775" width="9.5703125" style="216" customWidth="1"/>
    <col min="776" max="777" width="12.28515625" style="216" customWidth="1"/>
    <col min="778" max="780" width="12.85546875" style="216" customWidth="1"/>
    <col min="781" max="781" width="12.7109375" style="216" customWidth="1"/>
    <col min="782" max="782" width="12.28515625" style="216" bestFit="1" customWidth="1"/>
    <col min="783" max="783" width="13.85546875" style="216" customWidth="1"/>
    <col min="784" max="1024" width="9.140625" style="216"/>
    <col min="1025" max="1025" width="2.7109375" style="216" customWidth="1"/>
    <col min="1026" max="1026" width="9.140625" style="216"/>
    <col min="1027" max="1027" width="40.28515625" style="216" bestFit="1" customWidth="1"/>
    <col min="1028" max="1028" width="12" style="216" customWidth="1"/>
    <col min="1029" max="1029" width="10" style="216" customWidth="1"/>
    <col min="1030" max="1030" width="14.85546875" style="216" customWidth="1"/>
    <col min="1031" max="1031" width="9.5703125" style="216" customWidth="1"/>
    <col min="1032" max="1033" width="12.28515625" style="216" customWidth="1"/>
    <col min="1034" max="1036" width="12.85546875" style="216" customWidth="1"/>
    <col min="1037" max="1037" width="12.7109375" style="216" customWidth="1"/>
    <col min="1038" max="1038" width="12.28515625" style="216" bestFit="1" customWidth="1"/>
    <col min="1039" max="1039" width="13.85546875" style="216" customWidth="1"/>
    <col min="1040" max="1280" width="9.140625" style="216"/>
    <col min="1281" max="1281" width="2.7109375" style="216" customWidth="1"/>
    <col min="1282" max="1282" width="9.140625" style="216"/>
    <col min="1283" max="1283" width="40.28515625" style="216" bestFit="1" customWidth="1"/>
    <col min="1284" max="1284" width="12" style="216" customWidth="1"/>
    <col min="1285" max="1285" width="10" style="216" customWidth="1"/>
    <col min="1286" max="1286" width="14.85546875" style="216" customWidth="1"/>
    <col min="1287" max="1287" width="9.5703125" style="216" customWidth="1"/>
    <col min="1288" max="1289" width="12.28515625" style="216" customWidth="1"/>
    <col min="1290" max="1292" width="12.85546875" style="216" customWidth="1"/>
    <col min="1293" max="1293" width="12.7109375" style="216" customWidth="1"/>
    <col min="1294" max="1294" width="12.28515625" style="216" bestFit="1" customWidth="1"/>
    <col min="1295" max="1295" width="13.85546875" style="216" customWidth="1"/>
    <col min="1296" max="1536" width="9.140625" style="216"/>
    <col min="1537" max="1537" width="2.7109375" style="216" customWidth="1"/>
    <col min="1538" max="1538" width="9.140625" style="216"/>
    <col min="1539" max="1539" width="40.28515625" style="216" bestFit="1" customWidth="1"/>
    <col min="1540" max="1540" width="12" style="216" customWidth="1"/>
    <col min="1541" max="1541" width="10" style="216" customWidth="1"/>
    <col min="1542" max="1542" width="14.85546875" style="216" customWidth="1"/>
    <col min="1543" max="1543" width="9.5703125" style="216" customWidth="1"/>
    <col min="1544" max="1545" width="12.28515625" style="216" customWidth="1"/>
    <col min="1546" max="1548" width="12.85546875" style="216" customWidth="1"/>
    <col min="1549" max="1549" width="12.7109375" style="216" customWidth="1"/>
    <col min="1550" max="1550" width="12.28515625" style="216" bestFit="1" customWidth="1"/>
    <col min="1551" max="1551" width="13.85546875" style="216" customWidth="1"/>
    <col min="1552" max="1792" width="9.140625" style="216"/>
    <col min="1793" max="1793" width="2.7109375" style="216" customWidth="1"/>
    <col min="1794" max="1794" width="9.140625" style="216"/>
    <col min="1795" max="1795" width="40.28515625" style="216" bestFit="1" customWidth="1"/>
    <col min="1796" max="1796" width="12" style="216" customWidth="1"/>
    <col min="1797" max="1797" width="10" style="216" customWidth="1"/>
    <col min="1798" max="1798" width="14.85546875" style="216" customWidth="1"/>
    <col min="1799" max="1799" width="9.5703125" style="216" customWidth="1"/>
    <col min="1800" max="1801" width="12.28515625" style="216" customWidth="1"/>
    <col min="1802" max="1804" width="12.85546875" style="216" customWidth="1"/>
    <col min="1805" max="1805" width="12.7109375" style="216" customWidth="1"/>
    <col min="1806" max="1806" width="12.28515625" style="216" bestFit="1" customWidth="1"/>
    <col min="1807" max="1807" width="13.85546875" style="216" customWidth="1"/>
    <col min="1808" max="2048" width="9.140625" style="216"/>
    <col min="2049" max="2049" width="2.7109375" style="216" customWidth="1"/>
    <col min="2050" max="2050" width="9.140625" style="216"/>
    <col min="2051" max="2051" width="40.28515625" style="216" bestFit="1" customWidth="1"/>
    <col min="2052" max="2052" width="12" style="216" customWidth="1"/>
    <col min="2053" max="2053" width="10" style="216" customWidth="1"/>
    <col min="2054" max="2054" width="14.85546875" style="216" customWidth="1"/>
    <col min="2055" max="2055" width="9.5703125" style="216" customWidth="1"/>
    <col min="2056" max="2057" width="12.28515625" style="216" customWidth="1"/>
    <col min="2058" max="2060" width="12.85546875" style="216" customWidth="1"/>
    <col min="2061" max="2061" width="12.7109375" style="216" customWidth="1"/>
    <col min="2062" max="2062" width="12.28515625" style="216" bestFit="1" customWidth="1"/>
    <col min="2063" max="2063" width="13.85546875" style="216" customWidth="1"/>
    <col min="2064" max="2304" width="9.140625" style="216"/>
    <col min="2305" max="2305" width="2.7109375" style="216" customWidth="1"/>
    <col min="2306" max="2306" width="9.140625" style="216"/>
    <col min="2307" max="2307" width="40.28515625" style="216" bestFit="1" customWidth="1"/>
    <col min="2308" max="2308" width="12" style="216" customWidth="1"/>
    <col min="2309" max="2309" width="10" style="216" customWidth="1"/>
    <col min="2310" max="2310" width="14.85546875" style="216" customWidth="1"/>
    <col min="2311" max="2311" width="9.5703125" style="216" customWidth="1"/>
    <col min="2312" max="2313" width="12.28515625" style="216" customWidth="1"/>
    <col min="2314" max="2316" width="12.85546875" style="216" customWidth="1"/>
    <col min="2317" max="2317" width="12.7109375" style="216" customWidth="1"/>
    <col min="2318" max="2318" width="12.28515625" style="216" bestFit="1" customWidth="1"/>
    <col min="2319" max="2319" width="13.85546875" style="216" customWidth="1"/>
    <col min="2320" max="2560" width="9.140625" style="216"/>
    <col min="2561" max="2561" width="2.7109375" style="216" customWidth="1"/>
    <col min="2562" max="2562" width="9.140625" style="216"/>
    <col min="2563" max="2563" width="40.28515625" style="216" bestFit="1" customWidth="1"/>
    <col min="2564" max="2564" width="12" style="216" customWidth="1"/>
    <col min="2565" max="2565" width="10" style="216" customWidth="1"/>
    <col min="2566" max="2566" width="14.85546875" style="216" customWidth="1"/>
    <col min="2567" max="2567" width="9.5703125" style="216" customWidth="1"/>
    <col min="2568" max="2569" width="12.28515625" style="216" customWidth="1"/>
    <col min="2570" max="2572" width="12.85546875" style="216" customWidth="1"/>
    <col min="2573" max="2573" width="12.7109375" style="216" customWidth="1"/>
    <col min="2574" max="2574" width="12.28515625" style="216" bestFit="1" customWidth="1"/>
    <col min="2575" max="2575" width="13.85546875" style="216" customWidth="1"/>
    <col min="2576" max="2816" width="9.140625" style="216"/>
    <col min="2817" max="2817" width="2.7109375" style="216" customWidth="1"/>
    <col min="2818" max="2818" width="9.140625" style="216"/>
    <col min="2819" max="2819" width="40.28515625" style="216" bestFit="1" customWidth="1"/>
    <col min="2820" max="2820" width="12" style="216" customWidth="1"/>
    <col min="2821" max="2821" width="10" style="216" customWidth="1"/>
    <col min="2822" max="2822" width="14.85546875" style="216" customWidth="1"/>
    <col min="2823" max="2823" width="9.5703125" style="216" customWidth="1"/>
    <col min="2824" max="2825" width="12.28515625" style="216" customWidth="1"/>
    <col min="2826" max="2828" width="12.85546875" style="216" customWidth="1"/>
    <col min="2829" max="2829" width="12.7109375" style="216" customWidth="1"/>
    <col min="2830" max="2830" width="12.28515625" style="216" bestFit="1" customWidth="1"/>
    <col min="2831" max="2831" width="13.85546875" style="216" customWidth="1"/>
    <col min="2832" max="3072" width="9.140625" style="216"/>
    <col min="3073" max="3073" width="2.7109375" style="216" customWidth="1"/>
    <col min="3074" max="3074" width="9.140625" style="216"/>
    <col min="3075" max="3075" width="40.28515625" style="216" bestFit="1" customWidth="1"/>
    <col min="3076" max="3076" width="12" style="216" customWidth="1"/>
    <col min="3077" max="3077" width="10" style="216" customWidth="1"/>
    <col min="3078" max="3078" width="14.85546875" style="216" customWidth="1"/>
    <col min="3079" max="3079" width="9.5703125" style="216" customWidth="1"/>
    <col min="3080" max="3081" width="12.28515625" style="216" customWidth="1"/>
    <col min="3082" max="3084" width="12.85546875" style="216" customWidth="1"/>
    <col min="3085" max="3085" width="12.7109375" style="216" customWidth="1"/>
    <col min="3086" max="3086" width="12.28515625" style="216" bestFit="1" customWidth="1"/>
    <col min="3087" max="3087" width="13.85546875" style="216" customWidth="1"/>
    <col min="3088" max="3328" width="9.140625" style="216"/>
    <col min="3329" max="3329" width="2.7109375" style="216" customWidth="1"/>
    <col min="3330" max="3330" width="9.140625" style="216"/>
    <col min="3331" max="3331" width="40.28515625" style="216" bestFit="1" customWidth="1"/>
    <col min="3332" max="3332" width="12" style="216" customWidth="1"/>
    <col min="3333" max="3333" width="10" style="216" customWidth="1"/>
    <col min="3334" max="3334" width="14.85546875" style="216" customWidth="1"/>
    <col min="3335" max="3335" width="9.5703125" style="216" customWidth="1"/>
    <col min="3336" max="3337" width="12.28515625" style="216" customWidth="1"/>
    <col min="3338" max="3340" width="12.85546875" style="216" customWidth="1"/>
    <col min="3341" max="3341" width="12.7109375" style="216" customWidth="1"/>
    <col min="3342" max="3342" width="12.28515625" style="216" bestFit="1" customWidth="1"/>
    <col min="3343" max="3343" width="13.85546875" style="216" customWidth="1"/>
    <col min="3344" max="3584" width="9.140625" style="216"/>
    <col min="3585" max="3585" width="2.7109375" style="216" customWidth="1"/>
    <col min="3586" max="3586" width="9.140625" style="216"/>
    <col min="3587" max="3587" width="40.28515625" style="216" bestFit="1" customWidth="1"/>
    <col min="3588" max="3588" width="12" style="216" customWidth="1"/>
    <col min="3589" max="3589" width="10" style="216" customWidth="1"/>
    <col min="3590" max="3590" width="14.85546875" style="216" customWidth="1"/>
    <col min="3591" max="3591" width="9.5703125" style="216" customWidth="1"/>
    <col min="3592" max="3593" width="12.28515625" style="216" customWidth="1"/>
    <col min="3594" max="3596" width="12.85546875" style="216" customWidth="1"/>
    <col min="3597" max="3597" width="12.7109375" style="216" customWidth="1"/>
    <col min="3598" max="3598" width="12.28515625" style="216" bestFit="1" customWidth="1"/>
    <col min="3599" max="3599" width="13.85546875" style="216" customWidth="1"/>
    <col min="3600" max="3840" width="9.140625" style="216"/>
    <col min="3841" max="3841" width="2.7109375" style="216" customWidth="1"/>
    <col min="3842" max="3842" width="9.140625" style="216"/>
    <col min="3843" max="3843" width="40.28515625" style="216" bestFit="1" customWidth="1"/>
    <col min="3844" max="3844" width="12" style="216" customWidth="1"/>
    <col min="3845" max="3845" width="10" style="216" customWidth="1"/>
    <col min="3846" max="3846" width="14.85546875" style="216" customWidth="1"/>
    <col min="3847" max="3847" width="9.5703125" style="216" customWidth="1"/>
    <col min="3848" max="3849" width="12.28515625" style="216" customWidth="1"/>
    <col min="3850" max="3852" width="12.85546875" style="216" customWidth="1"/>
    <col min="3853" max="3853" width="12.7109375" style="216" customWidth="1"/>
    <col min="3854" max="3854" width="12.28515625" style="216" bestFit="1" customWidth="1"/>
    <col min="3855" max="3855" width="13.85546875" style="216" customWidth="1"/>
    <col min="3856" max="4096" width="9.140625" style="216"/>
    <col min="4097" max="4097" width="2.7109375" style="216" customWidth="1"/>
    <col min="4098" max="4098" width="9.140625" style="216"/>
    <col min="4099" max="4099" width="40.28515625" style="216" bestFit="1" customWidth="1"/>
    <col min="4100" max="4100" width="12" style="216" customWidth="1"/>
    <col min="4101" max="4101" width="10" style="216" customWidth="1"/>
    <col min="4102" max="4102" width="14.85546875" style="216" customWidth="1"/>
    <col min="4103" max="4103" width="9.5703125" style="216" customWidth="1"/>
    <col min="4104" max="4105" width="12.28515625" style="216" customWidth="1"/>
    <col min="4106" max="4108" width="12.85546875" style="216" customWidth="1"/>
    <col min="4109" max="4109" width="12.7109375" style="216" customWidth="1"/>
    <col min="4110" max="4110" width="12.28515625" style="216" bestFit="1" customWidth="1"/>
    <col min="4111" max="4111" width="13.85546875" style="216" customWidth="1"/>
    <col min="4112" max="4352" width="9.140625" style="216"/>
    <col min="4353" max="4353" width="2.7109375" style="216" customWidth="1"/>
    <col min="4354" max="4354" width="9.140625" style="216"/>
    <col min="4355" max="4355" width="40.28515625" style="216" bestFit="1" customWidth="1"/>
    <col min="4356" max="4356" width="12" style="216" customWidth="1"/>
    <col min="4357" max="4357" width="10" style="216" customWidth="1"/>
    <col min="4358" max="4358" width="14.85546875" style="216" customWidth="1"/>
    <col min="4359" max="4359" width="9.5703125" style="216" customWidth="1"/>
    <col min="4360" max="4361" width="12.28515625" style="216" customWidth="1"/>
    <col min="4362" max="4364" width="12.85546875" style="216" customWidth="1"/>
    <col min="4365" max="4365" width="12.7109375" style="216" customWidth="1"/>
    <col min="4366" max="4366" width="12.28515625" style="216" bestFit="1" customWidth="1"/>
    <col min="4367" max="4367" width="13.85546875" style="216" customWidth="1"/>
    <col min="4368" max="4608" width="9.140625" style="216"/>
    <col min="4609" max="4609" width="2.7109375" style="216" customWidth="1"/>
    <col min="4610" max="4610" width="9.140625" style="216"/>
    <col min="4611" max="4611" width="40.28515625" style="216" bestFit="1" customWidth="1"/>
    <col min="4612" max="4612" width="12" style="216" customWidth="1"/>
    <col min="4613" max="4613" width="10" style="216" customWidth="1"/>
    <col min="4614" max="4614" width="14.85546875" style="216" customWidth="1"/>
    <col min="4615" max="4615" width="9.5703125" style="216" customWidth="1"/>
    <col min="4616" max="4617" width="12.28515625" style="216" customWidth="1"/>
    <col min="4618" max="4620" width="12.85546875" style="216" customWidth="1"/>
    <col min="4621" max="4621" width="12.7109375" style="216" customWidth="1"/>
    <col min="4622" max="4622" width="12.28515625" style="216" bestFit="1" customWidth="1"/>
    <col min="4623" max="4623" width="13.85546875" style="216" customWidth="1"/>
    <col min="4624" max="4864" width="9.140625" style="216"/>
    <col min="4865" max="4865" width="2.7109375" style="216" customWidth="1"/>
    <col min="4866" max="4866" width="9.140625" style="216"/>
    <col min="4867" max="4867" width="40.28515625" style="216" bestFit="1" customWidth="1"/>
    <col min="4868" max="4868" width="12" style="216" customWidth="1"/>
    <col min="4869" max="4869" width="10" style="216" customWidth="1"/>
    <col min="4870" max="4870" width="14.85546875" style="216" customWidth="1"/>
    <col min="4871" max="4871" width="9.5703125" style="216" customWidth="1"/>
    <col min="4872" max="4873" width="12.28515625" style="216" customWidth="1"/>
    <col min="4874" max="4876" width="12.85546875" style="216" customWidth="1"/>
    <col min="4877" max="4877" width="12.7109375" style="216" customWidth="1"/>
    <col min="4878" max="4878" width="12.28515625" style="216" bestFit="1" customWidth="1"/>
    <col min="4879" max="4879" width="13.85546875" style="216" customWidth="1"/>
    <col min="4880" max="5120" width="9.140625" style="216"/>
    <col min="5121" max="5121" width="2.7109375" style="216" customWidth="1"/>
    <col min="5122" max="5122" width="9.140625" style="216"/>
    <col min="5123" max="5123" width="40.28515625" style="216" bestFit="1" customWidth="1"/>
    <col min="5124" max="5124" width="12" style="216" customWidth="1"/>
    <col min="5125" max="5125" width="10" style="216" customWidth="1"/>
    <col min="5126" max="5126" width="14.85546875" style="216" customWidth="1"/>
    <col min="5127" max="5127" width="9.5703125" style="216" customWidth="1"/>
    <col min="5128" max="5129" width="12.28515625" style="216" customWidth="1"/>
    <col min="5130" max="5132" width="12.85546875" style="216" customWidth="1"/>
    <col min="5133" max="5133" width="12.7109375" style="216" customWidth="1"/>
    <col min="5134" max="5134" width="12.28515625" style="216" bestFit="1" customWidth="1"/>
    <col min="5135" max="5135" width="13.85546875" style="216" customWidth="1"/>
    <col min="5136" max="5376" width="9.140625" style="216"/>
    <col min="5377" max="5377" width="2.7109375" style="216" customWidth="1"/>
    <col min="5378" max="5378" width="9.140625" style="216"/>
    <col min="5379" max="5379" width="40.28515625" style="216" bestFit="1" customWidth="1"/>
    <col min="5380" max="5380" width="12" style="216" customWidth="1"/>
    <col min="5381" max="5381" width="10" style="216" customWidth="1"/>
    <col min="5382" max="5382" width="14.85546875" style="216" customWidth="1"/>
    <col min="5383" max="5383" width="9.5703125" style="216" customWidth="1"/>
    <col min="5384" max="5385" width="12.28515625" style="216" customWidth="1"/>
    <col min="5386" max="5388" width="12.85546875" style="216" customWidth="1"/>
    <col min="5389" max="5389" width="12.7109375" style="216" customWidth="1"/>
    <col min="5390" max="5390" width="12.28515625" style="216" bestFit="1" customWidth="1"/>
    <col min="5391" max="5391" width="13.85546875" style="216" customWidth="1"/>
    <col min="5392" max="5632" width="9.140625" style="216"/>
    <col min="5633" max="5633" width="2.7109375" style="216" customWidth="1"/>
    <col min="5634" max="5634" width="9.140625" style="216"/>
    <col min="5635" max="5635" width="40.28515625" style="216" bestFit="1" customWidth="1"/>
    <col min="5636" max="5636" width="12" style="216" customWidth="1"/>
    <col min="5637" max="5637" width="10" style="216" customWidth="1"/>
    <col min="5638" max="5638" width="14.85546875" style="216" customWidth="1"/>
    <col min="5639" max="5639" width="9.5703125" style="216" customWidth="1"/>
    <col min="5640" max="5641" width="12.28515625" style="216" customWidth="1"/>
    <col min="5642" max="5644" width="12.85546875" style="216" customWidth="1"/>
    <col min="5645" max="5645" width="12.7109375" style="216" customWidth="1"/>
    <col min="5646" max="5646" width="12.28515625" style="216" bestFit="1" customWidth="1"/>
    <col min="5647" max="5647" width="13.85546875" style="216" customWidth="1"/>
    <col min="5648" max="5888" width="9.140625" style="216"/>
    <col min="5889" max="5889" width="2.7109375" style="216" customWidth="1"/>
    <col min="5890" max="5890" width="9.140625" style="216"/>
    <col min="5891" max="5891" width="40.28515625" style="216" bestFit="1" customWidth="1"/>
    <col min="5892" max="5892" width="12" style="216" customWidth="1"/>
    <col min="5893" max="5893" width="10" style="216" customWidth="1"/>
    <col min="5894" max="5894" width="14.85546875" style="216" customWidth="1"/>
    <col min="5895" max="5895" width="9.5703125" style="216" customWidth="1"/>
    <col min="5896" max="5897" width="12.28515625" style="216" customWidth="1"/>
    <col min="5898" max="5900" width="12.85546875" style="216" customWidth="1"/>
    <col min="5901" max="5901" width="12.7109375" style="216" customWidth="1"/>
    <col min="5902" max="5902" width="12.28515625" style="216" bestFit="1" customWidth="1"/>
    <col min="5903" max="5903" width="13.85546875" style="216" customWidth="1"/>
    <col min="5904" max="6144" width="9.140625" style="216"/>
    <col min="6145" max="6145" width="2.7109375" style="216" customWidth="1"/>
    <col min="6146" max="6146" width="9.140625" style="216"/>
    <col min="6147" max="6147" width="40.28515625" style="216" bestFit="1" customWidth="1"/>
    <col min="6148" max="6148" width="12" style="216" customWidth="1"/>
    <col min="6149" max="6149" width="10" style="216" customWidth="1"/>
    <col min="6150" max="6150" width="14.85546875" style="216" customWidth="1"/>
    <col min="6151" max="6151" width="9.5703125" style="216" customWidth="1"/>
    <col min="6152" max="6153" width="12.28515625" style="216" customWidth="1"/>
    <col min="6154" max="6156" width="12.85546875" style="216" customWidth="1"/>
    <col min="6157" max="6157" width="12.7109375" style="216" customWidth="1"/>
    <col min="6158" max="6158" width="12.28515625" style="216" bestFit="1" customWidth="1"/>
    <col min="6159" max="6159" width="13.85546875" style="216" customWidth="1"/>
    <col min="6160" max="6400" width="9.140625" style="216"/>
    <col min="6401" max="6401" width="2.7109375" style="216" customWidth="1"/>
    <col min="6402" max="6402" width="9.140625" style="216"/>
    <col min="6403" max="6403" width="40.28515625" style="216" bestFit="1" customWidth="1"/>
    <col min="6404" max="6404" width="12" style="216" customWidth="1"/>
    <col min="6405" max="6405" width="10" style="216" customWidth="1"/>
    <col min="6406" max="6406" width="14.85546875" style="216" customWidth="1"/>
    <col min="6407" max="6407" width="9.5703125" style="216" customWidth="1"/>
    <col min="6408" max="6409" width="12.28515625" style="216" customWidth="1"/>
    <col min="6410" max="6412" width="12.85546875" style="216" customWidth="1"/>
    <col min="6413" max="6413" width="12.7109375" style="216" customWidth="1"/>
    <col min="6414" max="6414" width="12.28515625" style="216" bestFit="1" customWidth="1"/>
    <col min="6415" max="6415" width="13.85546875" style="216" customWidth="1"/>
    <col min="6416" max="6656" width="9.140625" style="216"/>
    <col min="6657" max="6657" width="2.7109375" style="216" customWidth="1"/>
    <col min="6658" max="6658" width="9.140625" style="216"/>
    <col min="6659" max="6659" width="40.28515625" style="216" bestFit="1" customWidth="1"/>
    <col min="6660" max="6660" width="12" style="216" customWidth="1"/>
    <col min="6661" max="6661" width="10" style="216" customWidth="1"/>
    <col min="6662" max="6662" width="14.85546875" style="216" customWidth="1"/>
    <col min="6663" max="6663" width="9.5703125" style="216" customWidth="1"/>
    <col min="6664" max="6665" width="12.28515625" style="216" customWidth="1"/>
    <col min="6666" max="6668" width="12.85546875" style="216" customWidth="1"/>
    <col min="6669" max="6669" width="12.7109375" style="216" customWidth="1"/>
    <col min="6670" max="6670" width="12.28515625" style="216" bestFit="1" customWidth="1"/>
    <col min="6671" max="6671" width="13.85546875" style="216" customWidth="1"/>
    <col min="6672" max="6912" width="9.140625" style="216"/>
    <col min="6913" max="6913" width="2.7109375" style="216" customWidth="1"/>
    <col min="6914" max="6914" width="9.140625" style="216"/>
    <col min="6915" max="6915" width="40.28515625" style="216" bestFit="1" customWidth="1"/>
    <col min="6916" max="6916" width="12" style="216" customWidth="1"/>
    <col min="6917" max="6917" width="10" style="216" customWidth="1"/>
    <col min="6918" max="6918" width="14.85546875" style="216" customWidth="1"/>
    <col min="6919" max="6919" width="9.5703125" style="216" customWidth="1"/>
    <col min="6920" max="6921" width="12.28515625" style="216" customWidth="1"/>
    <col min="6922" max="6924" width="12.85546875" style="216" customWidth="1"/>
    <col min="6925" max="6925" width="12.7109375" style="216" customWidth="1"/>
    <col min="6926" max="6926" width="12.28515625" style="216" bestFit="1" customWidth="1"/>
    <col min="6927" max="6927" width="13.85546875" style="216" customWidth="1"/>
    <col min="6928" max="7168" width="9.140625" style="216"/>
    <col min="7169" max="7169" width="2.7109375" style="216" customWidth="1"/>
    <col min="7170" max="7170" width="9.140625" style="216"/>
    <col min="7171" max="7171" width="40.28515625" style="216" bestFit="1" customWidth="1"/>
    <col min="7172" max="7172" width="12" style="216" customWidth="1"/>
    <col min="7173" max="7173" width="10" style="216" customWidth="1"/>
    <col min="7174" max="7174" width="14.85546875" style="216" customWidth="1"/>
    <col min="7175" max="7175" width="9.5703125" style="216" customWidth="1"/>
    <col min="7176" max="7177" width="12.28515625" style="216" customWidth="1"/>
    <col min="7178" max="7180" width="12.85546875" style="216" customWidth="1"/>
    <col min="7181" max="7181" width="12.7109375" style="216" customWidth="1"/>
    <col min="7182" max="7182" width="12.28515625" style="216" bestFit="1" customWidth="1"/>
    <col min="7183" max="7183" width="13.85546875" style="216" customWidth="1"/>
    <col min="7184" max="7424" width="9.140625" style="216"/>
    <col min="7425" max="7425" width="2.7109375" style="216" customWidth="1"/>
    <col min="7426" max="7426" width="9.140625" style="216"/>
    <col min="7427" max="7427" width="40.28515625" style="216" bestFit="1" customWidth="1"/>
    <col min="7428" max="7428" width="12" style="216" customWidth="1"/>
    <col min="7429" max="7429" width="10" style="216" customWidth="1"/>
    <col min="7430" max="7430" width="14.85546875" style="216" customWidth="1"/>
    <col min="7431" max="7431" width="9.5703125" style="216" customWidth="1"/>
    <col min="7432" max="7433" width="12.28515625" style="216" customWidth="1"/>
    <col min="7434" max="7436" width="12.85546875" style="216" customWidth="1"/>
    <col min="7437" max="7437" width="12.7109375" style="216" customWidth="1"/>
    <col min="7438" max="7438" width="12.28515625" style="216" bestFit="1" customWidth="1"/>
    <col min="7439" max="7439" width="13.85546875" style="216" customWidth="1"/>
    <col min="7440" max="7680" width="9.140625" style="216"/>
    <col min="7681" max="7681" width="2.7109375" style="216" customWidth="1"/>
    <col min="7682" max="7682" width="9.140625" style="216"/>
    <col min="7683" max="7683" width="40.28515625" style="216" bestFit="1" customWidth="1"/>
    <col min="7684" max="7684" width="12" style="216" customWidth="1"/>
    <col min="7685" max="7685" width="10" style="216" customWidth="1"/>
    <col min="7686" max="7686" width="14.85546875" style="216" customWidth="1"/>
    <col min="7687" max="7687" width="9.5703125" style="216" customWidth="1"/>
    <col min="7688" max="7689" width="12.28515625" style="216" customWidth="1"/>
    <col min="7690" max="7692" width="12.85546875" style="216" customWidth="1"/>
    <col min="7693" max="7693" width="12.7109375" style="216" customWidth="1"/>
    <col min="7694" max="7694" width="12.28515625" style="216" bestFit="1" customWidth="1"/>
    <col min="7695" max="7695" width="13.85546875" style="216" customWidth="1"/>
    <col min="7696" max="7936" width="9.140625" style="216"/>
    <col min="7937" max="7937" width="2.7109375" style="216" customWidth="1"/>
    <col min="7938" max="7938" width="9.140625" style="216"/>
    <col min="7939" max="7939" width="40.28515625" style="216" bestFit="1" customWidth="1"/>
    <col min="7940" max="7940" width="12" style="216" customWidth="1"/>
    <col min="7941" max="7941" width="10" style="216" customWidth="1"/>
    <col min="7942" max="7942" width="14.85546875" style="216" customWidth="1"/>
    <col min="7943" max="7943" width="9.5703125" style="216" customWidth="1"/>
    <col min="7944" max="7945" width="12.28515625" style="216" customWidth="1"/>
    <col min="7946" max="7948" width="12.85546875" style="216" customWidth="1"/>
    <col min="7949" max="7949" width="12.7109375" style="216" customWidth="1"/>
    <col min="7950" max="7950" width="12.28515625" style="216" bestFit="1" customWidth="1"/>
    <col min="7951" max="7951" width="13.85546875" style="216" customWidth="1"/>
    <col min="7952" max="8192" width="9.140625" style="216"/>
    <col min="8193" max="8193" width="2.7109375" style="216" customWidth="1"/>
    <col min="8194" max="8194" width="9.140625" style="216"/>
    <col min="8195" max="8195" width="40.28515625" style="216" bestFit="1" customWidth="1"/>
    <col min="8196" max="8196" width="12" style="216" customWidth="1"/>
    <col min="8197" max="8197" width="10" style="216" customWidth="1"/>
    <col min="8198" max="8198" width="14.85546875" style="216" customWidth="1"/>
    <col min="8199" max="8199" width="9.5703125" style="216" customWidth="1"/>
    <col min="8200" max="8201" width="12.28515625" style="216" customWidth="1"/>
    <col min="8202" max="8204" width="12.85546875" style="216" customWidth="1"/>
    <col min="8205" max="8205" width="12.7109375" style="216" customWidth="1"/>
    <col min="8206" max="8206" width="12.28515625" style="216" bestFit="1" customWidth="1"/>
    <col min="8207" max="8207" width="13.85546875" style="216" customWidth="1"/>
    <col min="8208" max="8448" width="9.140625" style="216"/>
    <col min="8449" max="8449" width="2.7109375" style="216" customWidth="1"/>
    <col min="8450" max="8450" width="9.140625" style="216"/>
    <col min="8451" max="8451" width="40.28515625" style="216" bestFit="1" customWidth="1"/>
    <col min="8452" max="8452" width="12" style="216" customWidth="1"/>
    <col min="8453" max="8453" width="10" style="216" customWidth="1"/>
    <col min="8454" max="8454" width="14.85546875" style="216" customWidth="1"/>
    <col min="8455" max="8455" width="9.5703125" style="216" customWidth="1"/>
    <col min="8456" max="8457" width="12.28515625" style="216" customWidth="1"/>
    <col min="8458" max="8460" width="12.85546875" style="216" customWidth="1"/>
    <col min="8461" max="8461" width="12.7109375" style="216" customWidth="1"/>
    <col min="8462" max="8462" width="12.28515625" style="216" bestFit="1" customWidth="1"/>
    <col min="8463" max="8463" width="13.85546875" style="216" customWidth="1"/>
    <col min="8464" max="8704" width="9.140625" style="216"/>
    <col min="8705" max="8705" width="2.7109375" style="216" customWidth="1"/>
    <col min="8706" max="8706" width="9.140625" style="216"/>
    <col min="8707" max="8707" width="40.28515625" style="216" bestFit="1" customWidth="1"/>
    <col min="8708" max="8708" width="12" style="216" customWidth="1"/>
    <col min="8709" max="8709" width="10" style="216" customWidth="1"/>
    <col min="8710" max="8710" width="14.85546875" style="216" customWidth="1"/>
    <col min="8711" max="8711" width="9.5703125" style="216" customWidth="1"/>
    <col min="8712" max="8713" width="12.28515625" style="216" customWidth="1"/>
    <col min="8714" max="8716" width="12.85546875" style="216" customWidth="1"/>
    <col min="8717" max="8717" width="12.7109375" style="216" customWidth="1"/>
    <col min="8718" max="8718" width="12.28515625" style="216" bestFit="1" customWidth="1"/>
    <col min="8719" max="8719" width="13.85546875" style="216" customWidth="1"/>
    <col min="8720" max="8960" width="9.140625" style="216"/>
    <col min="8961" max="8961" width="2.7109375" style="216" customWidth="1"/>
    <col min="8962" max="8962" width="9.140625" style="216"/>
    <col min="8963" max="8963" width="40.28515625" style="216" bestFit="1" customWidth="1"/>
    <col min="8964" max="8964" width="12" style="216" customWidth="1"/>
    <col min="8965" max="8965" width="10" style="216" customWidth="1"/>
    <col min="8966" max="8966" width="14.85546875" style="216" customWidth="1"/>
    <col min="8967" max="8967" width="9.5703125" style="216" customWidth="1"/>
    <col min="8968" max="8969" width="12.28515625" style="216" customWidth="1"/>
    <col min="8970" max="8972" width="12.85546875" style="216" customWidth="1"/>
    <col min="8973" max="8973" width="12.7109375" style="216" customWidth="1"/>
    <col min="8974" max="8974" width="12.28515625" style="216" bestFit="1" customWidth="1"/>
    <col min="8975" max="8975" width="13.85546875" style="216" customWidth="1"/>
    <col min="8976" max="9216" width="9.140625" style="216"/>
    <col min="9217" max="9217" width="2.7109375" style="216" customWidth="1"/>
    <col min="9218" max="9218" width="9.140625" style="216"/>
    <col min="9219" max="9219" width="40.28515625" style="216" bestFit="1" customWidth="1"/>
    <col min="9220" max="9220" width="12" style="216" customWidth="1"/>
    <col min="9221" max="9221" width="10" style="216" customWidth="1"/>
    <col min="9222" max="9222" width="14.85546875" style="216" customWidth="1"/>
    <col min="9223" max="9223" width="9.5703125" style="216" customWidth="1"/>
    <col min="9224" max="9225" width="12.28515625" style="216" customWidth="1"/>
    <col min="9226" max="9228" width="12.85546875" style="216" customWidth="1"/>
    <col min="9229" max="9229" width="12.7109375" style="216" customWidth="1"/>
    <col min="9230" max="9230" width="12.28515625" style="216" bestFit="1" customWidth="1"/>
    <col min="9231" max="9231" width="13.85546875" style="216" customWidth="1"/>
    <col min="9232" max="9472" width="9.140625" style="216"/>
    <col min="9473" max="9473" width="2.7109375" style="216" customWidth="1"/>
    <col min="9474" max="9474" width="9.140625" style="216"/>
    <col min="9475" max="9475" width="40.28515625" style="216" bestFit="1" customWidth="1"/>
    <col min="9476" max="9476" width="12" style="216" customWidth="1"/>
    <col min="9477" max="9477" width="10" style="216" customWidth="1"/>
    <col min="9478" max="9478" width="14.85546875" style="216" customWidth="1"/>
    <col min="9479" max="9479" width="9.5703125" style="216" customWidth="1"/>
    <col min="9480" max="9481" width="12.28515625" style="216" customWidth="1"/>
    <col min="9482" max="9484" width="12.85546875" style="216" customWidth="1"/>
    <col min="9485" max="9485" width="12.7109375" style="216" customWidth="1"/>
    <col min="9486" max="9486" width="12.28515625" style="216" bestFit="1" customWidth="1"/>
    <col min="9487" max="9487" width="13.85546875" style="216" customWidth="1"/>
    <col min="9488" max="9728" width="9.140625" style="216"/>
    <col min="9729" max="9729" width="2.7109375" style="216" customWidth="1"/>
    <col min="9730" max="9730" width="9.140625" style="216"/>
    <col min="9731" max="9731" width="40.28515625" style="216" bestFit="1" customWidth="1"/>
    <col min="9732" max="9732" width="12" style="216" customWidth="1"/>
    <col min="9733" max="9733" width="10" style="216" customWidth="1"/>
    <col min="9734" max="9734" width="14.85546875" style="216" customWidth="1"/>
    <col min="9735" max="9735" width="9.5703125" style="216" customWidth="1"/>
    <col min="9736" max="9737" width="12.28515625" style="216" customWidth="1"/>
    <col min="9738" max="9740" width="12.85546875" style="216" customWidth="1"/>
    <col min="9741" max="9741" width="12.7109375" style="216" customWidth="1"/>
    <col min="9742" max="9742" width="12.28515625" style="216" bestFit="1" customWidth="1"/>
    <col min="9743" max="9743" width="13.85546875" style="216" customWidth="1"/>
    <col min="9744" max="9984" width="9.140625" style="216"/>
    <col min="9985" max="9985" width="2.7109375" style="216" customWidth="1"/>
    <col min="9986" max="9986" width="9.140625" style="216"/>
    <col min="9987" max="9987" width="40.28515625" style="216" bestFit="1" customWidth="1"/>
    <col min="9988" max="9988" width="12" style="216" customWidth="1"/>
    <col min="9989" max="9989" width="10" style="216" customWidth="1"/>
    <col min="9990" max="9990" width="14.85546875" style="216" customWidth="1"/>
    <col min="9991" max="9991" width="9.5703125" style="216" customWidth="1"/>
    <col min="9992" max="9993" width="12.28515625" style="216" customWidth="1"/>
    <col min="9994" max="9996" width="12.85546875" style="216" customWidth="1"/>
    <col min="9997" max="9997" width="12.7109375" style="216" customWidth="1"/>
    <col min="9998" max="9998" width="12.28515625" style="216" bestFit="1" customWidth="1"/>
    <col min="9999" max="9999" width="13.85546875" style="216" customWidth="1"/>
    <col min="10000" max="10240" width="9.140625" style="216"/>
    <col min="10241" max="10241" width="2.7109375" style="216" customWidth="1"/>
    <col min="10242" max="10242" width="9.140625" style="216"/>
    <col min="10243" max="10243" width="40.28515625" style="216" bestFit="1" customWidth="1"/>
    <col min="10244" max="10244" width="12" style="216" customWidth="1"/>
    <col min="10245" max="10245" width="10" style="216" customWidth="1"/>
    <col min="10246" max="10246" width="14.85546875" style="216" customWidth="1"/>
    <col min="10247" max="10247" width="9.5703125" style="216" customWidth="1"/>
    <col min="10248" max="10249" width="12.28515625" style="216" customWidth="1"/>
    <col min="10250" max="10252" width="12.85546875" style="216" customWidth="1"/>
    <col min="10253" max="10253" width="12.7109375" style="216" customWidth="1"/>
    <col min="10254" max="10254" width="12.28515625" style="216" bestFit="1" customWidth="1"/>
    <col min="10255" max="10255" width="13.85546875" style="216" customWidth="1"/>
    <col min="10256" max="10496" width="9.140625" style="216"/>
    <col min="10497" max="10497" width="2.7109375" style="216" customWidth="1"/>
    <col min="10498" max="10498" width="9.140625" style="216"/>
    <col min="10499" max="10499" width="40.28515625" style="216" bestFit="1" customWidth="1"/>
    <col min="10500" max="10500" width="12" style="216" customWidth="1"/>
    <col min="10501" max="10501" width="10" style="216" customWidth="1"/>
    <col min="10502" max="10502" width="14.85546875" style="216" customWidth="1"/>
    <col min="10503" max="10503" width="9.5703125" style="216" customWidth="1"/>
    <col min="10504" max="10505" width="12.28515625" style="216" customWidth="1"/>
    <col min="10506" max="10508" width="12.85546875" style="216" customWidth="1"/>
    <col min="10509" max="10509" width="12.7109375" style="216" customWidth="1"/>
    <col min="10510" max="10510" width="12.28515625" style="216" bestFit="1" customWidth="1"/>
    <col min="10511" max="10511" width="13.85546875" style="216" customWidth="1"/>
    <col min="10512" max="10752" width="9.140625" style="216"/>
    <col min="10753" max="10753" width="2.7109375" style="216" customWidth="1"/>
    <col min="10754" max="10754" width="9.140625" style="216"/>
    <col min="10755" max="10755" width="40.28515625" style="216" bestFit="1" customWidth="1"/>
    <col min="10756" max="10756" width="12" style="216" customWidth="1"/>
    <col min="10757" max="10757" width="10" style="216" customWidth="1"/>
    <col min="10758" max="10758" width="14.85546875" style="216" customWidth="1"/>
    <col min="10759" max="10759" width="9.5703125" style="216" customWidth="1"/>
    <col min="10760" max="10761" width="12.28515625" style="216" customWidth="1"/>
    <col min="10762" max="10764" width="12.85546875" style="216" customWidth="1"/>
    <col min="10765" max="10765" width="12.7109375" style="216" customWidth="1"/>
    <col min="10766" max="10766" width="12.28515625" style="216" bestFit="1" customWidth="1"/>
    <col min="10767" max="10767" width="13.85546875" style="216" customWidth="1"/>
    <col min="10768" max="11008" width="9.140625" style="216"/>
    <col min="11009" max="11009" width="2.7109375" style="216" customWidth="1"/>
    <col min="11010" max="11010" width="9.140625" style="216"/>
    <col min="11011" max="11011" width="40.28515625" style="216" bestFit="1" customWidth="1"/>
    <col min="11012" max="11012" width="12" style="216" customWidth="1"/>
    <col min="11013" max="11013" width="10" style="216" customWidth="1"/>
    <col min="11014" max="11014" width="14.85546875" style="216" customWidth="1"/>
    <col min="11015" max="11015" width="9.5703125" style="216" customWidth="1"/>
    <col min="11016" max="11017" width="12.28515625" style="216" customWidth="1"/>
    <col min="11018" max="11020" width="12.85546875" style="216" customWidth="1"/>
    <col min="11021" max="11021" width="12.7109375" style="216" customWidth="1"/>
    <col min="11022" max="11022" width="12.28515625" style="216" bestFit="1" customWidth="1"/>
    <col min="11023" max="11023" width="13.85546875" style="216" customWidth="1"/>
    <col min="11024" max="11264" width="9.140625" style="216"/>
    <col min="11265" max="11265" width="2.7109375" style="216" customWidth="1"/>
    <col min="11266" max="11266" width="9.140625" style="216"/>
    <col min="11267" max="11267" width="40.28515625" style="216" bestFit="1" customWidth="1"/>
    <col min="11268" max="11268" width="12" style="216" customWidth="1"/>
    <col min="11269" max="11269" width="10" style="216" customWidth="1"/>
    <col min="11270" max="11270" width="14.85546875" style="216" customWidth="1"/>
    <col min="11271" max="11271" width="9.5703125" style="216" customWidth="1"/>
    <col min="11272" max="11273" width="12.28515625" style="216" customWidth="1"/>
    <col min="11274" max="11276" width="12.85546875" style="216" customWidth="1"/>
    <col min="11277" max="11277" width="12.7109375" style="216" customWidth="1"/>
    <col min="11278" max="11278" width="12.28515625" style="216" bestFit="1" customWidth="1"/>
    <col min="11279" max="11279" width="13.85546875" style="216" customWidth="1"/>
    <col min="11280" max="11520" width="9.140625" style="216"/>
    <col min="11521" max="11521" width="2.7109375" style="216" customWidth="1"/>
    <col min="11522" max="11522" width="9.140625" style="216"/>
    <col min="11523" max="11523" width="40.28515625" style="216" bestFit="1" customWidth="1"/>
    <col min="11524" max="11524" width="12" style="216" customWidth="1"/>
    <col min="11525" max="11525" width="10" style="216" customWidth="1"/>
    <col min="11526" max="11526" width="14.85546875" style="216" customWidth="1"/>
    <col min="11527" max="11527" width="9.5703125" style="216" customWidth="1"/>
    <col min="11528" max="11529" width="12.28515625" style="216" customWidth="1"/>
    <col min="11530" max="11532" width="12.85546875" style="216" customWidth="1"/>
    <col min="11533" max="11533" width="12.7109375" style="216" customWidth="1"/>
    <col min="11534" max="11534" width="12.28515625" style="216" bestFit="1" customWidth="1"/>
    <col min="11535" max="11535" width="13.85546875" style="216" customWidth="1"/>
    <col min="11536" max="11776" width="9.140625" style="216"/>
    <col min="11777" max="11777" width="2.7109375" style="216" customWidth="1"/>
    <col min="11778" max="11778" width="9.140625" style="216"/>
    <col min="11779" max="11779" width="40.28515625" style="216" bestFit="1" customWidth="1"/>
    <col min="11780" max="11780" width="12" style="216" customWidth="1"/>
    <col min="11781" max="11781" width="10" style="216" customWidth="1"/>
    <col min="11782" max="11782" width="14.85546875" style="216" customWidth="1"/>
    <col min="11783" max="11783" width="9.5703125" style="216" customWidth="1"/>
    <col min="11784" max="11785" width="12.28515625" style="216" customWidth="1"/>
    <col min="11786" max="11788" width="12.85546875" style="216" customWidth="1"/>
    <col min="11789" max="11789" width="12.7109375" style="216" customWidth="1"/>
    <col min="11790" max="11790" width="12.28515625" style="216" bestFit="1" customWidth="1"/>
    <col min="11791" max="11791" width="13.85546875" style="216" customWidth="1"/>
    <col min="11792" max="12032" width="9.140625" style="216"/>
    <col min="12033" max="12033" width="2.7109375" style="216" customWidth="1"/>
    <col min="12034" max="12034" width="9.140625" style="216"/>
    <col min="12035" max="12035" width="40.28515625" style="216" bestFit="1" customWidth="1"/>
    <col min="12036" max="12036" width="12" style="216" customWidth="1"/>
    <col min="12037" max="12037" width="10" style="216" customWidth="1"/>
    <col min="12038" max="12038" width="14.85546875" style="216" customWidth="1"/>
    <col min="12039" max="12039" width="9.5703125" style="216" customWidth="1"/>
    <col min="12040" max="12041" width="12.28515625" style="216" customWidth="1"/>
    <col min="12042" max="12044" width="12.85546875" style="216" customWidth="1"/>
    <col min="12045" max="12045" width="12.7109375" style="216" customWidth="1"/>
    <col min="12046" max="12046" width="12.28515625" style="216" bestFit="1" customWidth="1"/>
    <col min="12047" max="12047" width="13.85546875" style="216" customWidth="1"/>
    <col min="12048" max="12288" width="9.140625" style="216"/>
    <col min="12289" max="12289" width="2.7109375" style="216" customWidth="1"/>
    <col min="12290" max="12290" width="9.140625" style="216"/>
    <col min="12291" max="12291" width="40.28515625" style="216" bestFit="1" customWidth="1"/>
    <col min="12292" max="12292" width="12" style="216" customWidth="1"/>
    <col min="12293" max="12293" width="10" style="216" customWidth="1"/>
    <col min="12294" max="12294" width="14.85546875" style="216" customWidth="1"/>
    <col min="12295" max="12295" width="9.5703125" style="216" customWidth="1"/>
    <col min="12296" max="12297" width="12.28515625" style="216" customWidth="1"/>
    <col min="12298" max="12300" width="12.85546875" style="216" customWidth="1"/>
    <col min="12301" max="12301" width="12.7109375" style="216" customWidth="1"/>
    <col min="12302" max="12302" width="12.28515625" style="216" bestFit="1" customWidth="1"/>
    <col min="12303" max="12303" width="13.85546875" style="216" customWidth="1"/>
    <col min="12304" max="12544" width="9.140625" style="216"/>
    <col min="12545" max="12545" width="2.7109375" style="216" customWidth="1"/>
    <col min="12546" max="12546" width="9.140625" style="216"/>
    <col min="12547" max="12547" width="40.28515625" style="216" bestFit="1" customWidth="1"/>
    <col min="12548" max="12548" width="12" style="216" customWidth="1"/>
    <col min="12549" max="12549" width="10" style="216" customWidth="1"/>
    <col min="12550" max="12550" width="14.85546875" style="216" customWidth="1"/>
    <col min="12551" max="12551" width="9.5703125" style="216" customWidth="1"/>
    <col min="12552" max="12553" width="12.28515625" style="216" customWidth="1"/>
    <col min="12554" max="12556" width="12.85546875" style="216" customWidth="1"/>
    <col min="12557" max="12557" width="12.7109375" style="216" customWidth="1"/>
    <col min="12558" max="12558" width="12.28515625" style="216" bestFit="1" customWidth="1"/>
    <col min="12559" max="12559" width="13.85546875" style="216" customWidth="1"/>
    <col min="12560" max="12800" width="9.140625" style="216"/>
    <col min="12801" max="12801" width="2.7109375" style="216" customWidth="1"/>
    <col min="12802" max="12802" width="9.140625" style="216"/>
    <col min="12803" max="12803" width="40.28515625" style="216" bestFit="1" customWidth="1"/>
    <col min="12804" max="12804" width="12" style="216" customWidth="1"/>
    <col min="12805" max="12805" width="10" style="216" customWidth="1"/>
    <col min="12806" max="12806" width="14.85546875" style="216" customWidth="1"/>
    <col min="12807" max="12807" width="9.5703125" style="216" customWidth="1"/>
    <col min="12808" max="12809" width="12.28515625" style="216" customWidth="1"/>
    <col min="12810" max="12812" width="12.85546875" style="216" customWidth="1"/>
    <col min="12813" max="12813" width="12.7109375" style="216" customWidth="1"/>
    <col min="12814" max="12814" width="12.28515625" style="216" bestFit="1" customWidth="1"/>
    <col min="12815" max="12815" width="13.85546875" style="216" customWidth="1"/>
    <col min="12816" max="13056" width="9.140625" style="216"/>
    <col min="13057" max="13057" width="2.7109375" style="216" customWidth="1"/>
    <col min="13058" max="13058" width="9.140625" style="216"/>
    <col min="13059" max="13059" width="40.28515625" style="216" bestFit="1" customWidth="1"/>
    <col min="13060" max="13060" width="12" style="216" customWidth="1"/>
    <col min="13061" max="13061" width="10" style="216" customWidth="1"/>
    <col min="13062" max="13062" width="14.85546875" style="216" customWidth="1"/>
    <col min="13063" max="13063" width="9.5703125" style="216" customWidth="1"/>
    <col min="13064" max="13065" width="12.28515625" style="216" customWidth="1"/>
    <col min="13066" max="13068" width="12.85546875" style="216" customWidth="1"/>
    <col min="13069" max="13069" width="12.7109375" style="216" customWidth="1"/>
    <col min="13070" max="13070" width="12.28515625" style="216" bestFit="1" customWidth="1"/>
    <col min="13071" max="13071" width="13.85546875" style="216" customWidth="1"/>
    <col min="13072" max="13312" width="9.140625" style="216"/>
    <col min="13313" max="13313" width="2.7109375" style="216" customWidth="1"/>
    <col min="13314" max="13314" width="9.140625" style="216"/>
    <col min="13315" max="13315" width="40.28515625" style="216" bestFit="1" customWidth="1"/>
    <col min="13316" max="13316" width="12" style="216" customWidth="1"/>
    <col min="13317" max="13317" width="10" style="216" customWidth="1"/>
    <col min="13318" max="13318" width="14.85546875" style="216" customWidth="1"/>
    <col min="13319" max="13319" width="9.5703125" style="216" customWidth="1"/>
    <col min="13320" max="13321" width="12.28515625" style="216" customWidth="1"/>
    <col min="13322" max="13324" width="12.85546875" style="216" customWidth="1"/>
    <col min="13325" max="13325" width="12.7109375" style="216" customWidth="1"/>
    <col min="13326" max="13326" width="12.28515625" style="216" bestFit="1" customWidth="1"/>
    <col min="13327" max="13327" width="13.85546875" style="216" customWidth="1"/>
    <col min="13328" max="13568" width="9.140625" style="216"/>
    <col min="13569" max="13569" width="2.7109375" style="216" customWidth="1"/>
    <col min="13570" max="13570" width="9.140625" style="216"/>
    <col min="13571" max="13571" width="40.28515625" style="216" bestFit="1" customWidth="1"/>
    <col min="13572" max="13572" width="12" style="216" customWidth="1"/>
    <col min="13573" max="13573" width="10" style="216" customWidth="1"/>
    <col min="13574" max="13574" width="14.85546875" style="216" customWidth="1"/>
    <col min="13575" max="13575" width="9.5703125" style="216" customWidth="1"/>
    <col min="13576" max="13577" width="12.28515625" style="216" customWidth="1"/>
    <col min="13578" max="13580" width="12.85546875" style="216" customWidth="1"/>
    <col min="13581" max="13581" width="12.7109375" style="216" customWidth="1"/>
    <col min="13582" max="13582" width="12.28515625" style="216" bestFit="1" customWidth="1"/>
    <col min="13583" max="13583" width="13.85546875" style="216" customWidth="1"/>
    <col min="13584" max="13824" width="9.140625" style="216"/>
    <col min="13825" max="13825" width="2.7109375" style="216" customWidth="1"/>
    <col min="13826" max="13826" width="9.140625" style="216"/>
    <col min="13827" max="13827" width="40.28515625" style="216" bestFit="1" customWidth="1"/>
    <col min="13828" max="13828" width="12" style="216" customWidth="1"/>
    <col min="13829" max="13829" width="10" style="216" customWidth="1"/>
    <col min="13830" max="13830" width="14.85546875" style="216" customWidth="1"/>
    <col min="13831" max="13831" width="9.5703125" style="216" customWidth="1"/>
    <col min="13832" max="13833" width="12.28515625" style="216" customWidth="1"/>
    <col min="13834" max="13836" width="12.85546875" style="216" customWidth="1"/>
    <col min="13837" max="13837" width="12.7109375" style="216" customWidth="1"/>
    <col min="13838" max="13838" width="12.28515625" style="216" bestFit="1" customWidth="1"/>
    <col min="13839" max="13839" width="13.85546875" style="216" customWidth="1"/>
    <col min="13840" max="14080" width="9.140625" style="216"/>
    <col min="14081" max="14081" width="2.7109375" style="216" customWidth="1"/>
    <col min="14082" max="14082" width="9.140625" style="216"/>
    <col min="14083" max="14083" width="40.28515625" style="216" bestFit="1" customWidth="1"/>
    <col min="14084" max="14084" width="12" style="216" customWidth="1"/>
    <col min="14085" max="14085" width="10" style="216" customWidth="1"/>
    <col min="14086" max="14086" width="14.85546875" style="216" customWidth="1"/>
    <col min="14087" max="14087" width="9.5703125" style="216" customWidth="1"/>
    <col min="14088" max="14089" width="12.28515625" style="216" customWidth="1"/>
    <col min="14090" max="14092" width="12.85546875" style="216" customWidth="1"/>
    <col min="14093" max="14093" width="12.7109375" style="216" customWidth="1"/>
    <col min="14094" max="14094" width="12.28515625" style="216" bestFit="1" customWidth="1"/>
    <col min="14095" max="14095" width="13.85546875" style="216" customWidth="1"/>
    <col min="14096" max="14336" width="9.140625" style="216"/>
    <col min="14337" max="14337" width="2.7109375" style="216" customWidth="1"/>
    <col min="14338" max="14338" width="9.140625" style="216"/>
    <col min="14339" max="14339" width="40.28515625" style="216" bestFit="1" customWidth="1"/>
    <col min="14340" max="14340" width="12" style="216" customWidth="1"/>
    <col min="14341" max="14341" width="10" style="216" customWidth="1"/>
    <col min="14342" max="14342" width="14.85546875" style="216" customWidth="1"/>
    <col min="14343" max="14343" width="9.5703125" style="216" customWidth="1"/>
    <col min="14344" max="14345" width="12.28515625" style="216" customWidth="1"/>
    <col min="14346" max="14348" width="12.85546875" style="216" customWidth="1"/>
    <col min="14349" max="14349" width="12.7109375" style="216" customWidth="1"/>
    <col min="14350" max="14350" width="12.28515625" style="216" bestFit="1" customWidth="1"/>
    <col min="14351" max="14351" width="13.85546875" style="216" customWidth="1"/>
    <col min="14352" max="14592" width="9.140625" style="216"/>
    <col min="14593" max="14593" width="2.7109375" style="216" customWidth="1"/>
    <col min="14594" max="14594" width="9.140625" style="216"/>
    <col min="14595" max="14595" width="40.28515625" style="216" bestFit="1" customWidth="1"/>
    <col min="14596" max="14596" width="12" style="216" customWidth="1"/>
    <col min="14597" max="14597" width="10" style="216" customWidth="1"/>
    <col min="14598" max="14598" width="14.85546875" style="216" customWidth="1"/>
    <col min="14599" max="14599" width="9.5703125" style="216" customWidth="1"/>
    <col min="14600" max="14601" width="12.28515625" style="216" customWidth="1"/>
    <col min="14602" max="14604" width="12.85546875" style="216" customWidth="1"/>
    <col min="14605" max="14605" width="12.7109375" style="216" customWidth="1"/>
    <col min="14606" max="14606" width="12.28515625" style="216" bestFit="1" customWidth="1"/>
    <col min="14607" max="14607" width="13.85546875" style="216" customWidth="1"/>
    <col min="14608" max="14848" width="9.140625" style="216"/>
    <col min="14849" max="14849" width="2.7109375" style="216" customWidth="1"/>
    <col min="14850" max="14850" width="9.140625" style="216"/>
    <col min="14851" max="14851" width="40.28515625" style="216" bestFit="1" customWidth="1"/>
    <col min="14852" max="14852" width="12" style="216" customWidth="1"/>
    <col min="14853" max="14853" width="10" style="216" customWidth="1"/>
    <col min="14854" max="14854" width="14.85546875" style="216" customWidth="1"/>
    <col min="14855" max="14855" width="9.5703125" style="216" customWidth="1"/>
    <col min="14856" max="14857" width="12.28515625" style="216" customWidth="1"/>
    <col min="14858" max="14860" width="12.85546875" style="216" customWidth="1"/>
    <col min="14861" max="14861" width="12.7109375" style="216" customWidth="1"/>
    <col min="14862" max="14862" width="12.28515625" style="216" bestFit="1" customWidth="1"/>
    <col min="14863" max="14863" width="13.85546875" style="216" customWidth="1"/>
    <col min="14864" max="15104" width="9.140625" style="216"/>
    <col min="15105" max="15105" width="2.7109375" style="216" customWidth="1"/>
    <col min="15106" max="15106" width="9.140625" style="216"/>
    <col min="15107" max="15107" width="40.28515625" style="216" bestFit="1" customWidth="1"/>
    <col min="15108" max="15108" width="12" style="216" customWidth="1"/>
    <col min="15109" max="15109" width="10" style="216" customWidth="1"/>
    <col min="15110" max="15110" width="14.85546875" style="216" customWidth="1"/>
    <col min="15111" max="15111" width="9.5703125" style="216" customWidth="1"/>
    <col min="15112" max="15113" width="12.28515625" style="216" customWidth="1"/>
    <col min="15114" max="15116" width="12.85546875" style="216" customWidth="1"/>
    <col min="15117" max="15117" width="12.7109375" style="216" customWidth="1"/>
    <col min="15118" max="15118" width="12.28515625" style="216" bestFit="1" customWidth="1"/>
    <col min="15119" max="15119" width="13.85546875" style="216" customWidth="1"/>
    <col min="15120" max="15360" width="9.140625" style="216"/>
    <col min="15361" max="15361" width="2.7109375" style="216" customWidth="1"/>
    <col min="15362" max="15362" width="9.140625" style="216"/>
    <col min="15363" max="15363" width="40.28515625" style="216" bestFit="1" customWidth="1"/>
    <col min="15364" max="15364" width="12" style="216" customWidth="1"/>
    <col min="15365" max="15365" width="10" style="216" customWidth="1"/>
    <col min="15366" max="15366" width="14.85546875" style="216" customWidth="1"/>
    <col min="15367" max="15367" width="9.5703125" style="216" customWidth="1"/>
    <col min="15368" max="15369" width="12.28515625" style="216" customWidth="1"/>
    <col min="15370" max="15372" width="12.85546875" style="216" customWidth="1"/>
    <col min="15373" max="15373" width="12.7109375" style="216" customWidth="1"/>
    <col min="15374" max="15374" width="12.28515625" style="216" bestFit="1" customWidth="1"/>
    <col min="15375" max="15375" width="13.85546875" style="216" customWidth="1"/>
    <col min="15376" max="15616" width="9.140625" style="216"/>
    <col min="15617" max="15617" width="2.7109375" style="216" customWidth="1"/>
    <col min="15618" max="15618" width="9.140625" style="216"/>
    <col min="15619" max="15619" width="40.28515625" style="216" bestFit="1" customWidth="1"/>
    <col min="15620" max="15620" width="12" style="216" customWidth="1"/>
    <col min="15621" max="15621" width="10" style="216" customWidth="1"/>
    <col min="15622" max="15622" width="14.85546875" style="216" customWidth="1"/>
    <col min="15623" max="15623" width="9.5703125" style="216" customWidth="1"/>
    <col min="15624" max="15625" width="12.28515625" style="216" customWidth="1"/>
    <col min="15626" max="15628" width="12.85546875" style="216" customWidth="1"/>
    <col min="15629" max="15629" width="12.7109375" style="216" customWidth="1"/>
    <col min="15630" max="15630" width="12.28515625" style="216" bestFit="1" customWidth="1"/>
    <col min="15631" max="15631" width="13.85546875" style="216" customWidth="1"/>
    <col min="15632" max="15872" width="9.140625" style="216"/>
    <col min="15873" max="15873" width="2.7109375" style="216" customWidth="1"/>
    <col min="15874" max="15874" width="9.140625" style="216"/>
    <col min="15875" max="15875" width="40.28515625" style="216" bestFit="1" customWidth="1"/>
    <col min="15876" max="15876" width="12" style="216" customWidth="1"/>
    <col min="15877" max="15877" width="10" style="216" customWidth="1"/>
    <col min="15878" max="15878" width="14.85546875" style="216" customWidth="1"/>
    <col min="15879" max="15879" width="9.5703125" style="216" customWidth="1"/>
    <col min="15880" max="15881" width="12.28515625" style="216" customWidth="1"/>
    <col min="15882" max="15884" width="12.85546875" style="216" customWidth="1"/>
    <col min="15885" max="15885" width="12.7109375" style="216" customWidth="1"/>
    <col min="15886" max="15886" width="12.28515625" style="216" bestFit="1" customWidth="1"/>
    <col min="15887" max="15887" width="13.85546875" style="216" customWidth="1"/>
    <col min="15888" max="16128" width="9.140625" style="216"/>
    <col min="16129" max="16129" width="2.7109375" style="216" customWidth="1"/>
    <col min="16130" max="16130" width="9.140625" style="216"/>
    <col min="16131" max="16131" width="40.28515625" style="216" bestFit="1" customWidth="1"/>
    <col min="16132" max="16132" width="12" style="216" customWidth="1"/>
    <col min="16133" max="16133" width="10" style="216" customWidth="1"/>
    <col min="16134" max="16134" width="14.85546875" style="216" customWidth="1"/>
    <col min="16135" max="16135" width="9.5703125" style="216" customWidth="1"/>
    <col min="16136" max="16137" width="12.28515625" style="216" customWidth="1"/>
    <col min="16138" max="16140" width="12.85546875" style="216" customWidth="1"/>
    <col min="16141" max="16141" width="12.7109375" style="216" customWidth="1"/>
    <col min="16142" max="16142" width="12.28515625" style="216" bestFit="1" customWidth="1"/>
    <col min="16143" max="16143" width="13.85546875" style="216" customWidth="1"/>
    <col min="16144" max="16384" width="9.140625" style="216"/>
  </cols>
  <sheetData>
    <row r="1" spans="1:16" x14ac:dyDescent="0.2">
      <c r="N1" s="217" t="s">
        <v>419</v>
      </c>
      <c r="O1" s="766" t="str">
        <f>EBNUMBER</f>
        <v>EB-2014-0113</v>
      </c>
      <c r="P1" s="219"/>
    </row>
    <row r="2" spans="1:16" x14ac:dyDescent="0.2">
      <c r="N2" s="217" t="s">
        <v>420</v>
      </c>
      <c r="O2" s="767"/>
      <c r="P2" s="219"/>
    </row>
    <row r="3" spans="1:16" x14ac:dyDescent="0.2">
      <c r="N3" s="217" t="s">
        <v>421</v>
      </c>
      <c r="O3" s="767"/>
      <c r="P3" s="219"/>
    </row>
    <row r="4" spans="1:16" x14ac:dyDescent="0.2">
      <c r="N4" s="217" t="s">
        <v>422</v>
      </c>
      <c r="O4" s="767"/>
      <c r="P4" s="219"/>
    </row>
    <row r="5" spans="1:16" x14ac:dyDescent="0.2">
      <c r="N5" s="217" t="s">
        <v>423</v>
      </c>
      <c r="O5" s="768"/>
      <c r="P5" s="219"/>
    </row>
    <row r="6" spans="1:16" x14ac:dyDescent="0.2">
      <c r="N6" s="217"/>
      <c r="O6" s="766"/>
      <c r="P6" s="219"/>
    </row>
    <row r="7" spans="1:16" x14ac:dyDescent="0.2">
      <c r="N7" s="217" t="s">
        <v>424</v>
      </c>
      <c r="O7" s="768"/>
      <c r="P7" s="220"/>
    </row>
    <row r="9" spans="1:16" ht="18" x14ac:dyDescent="0.2">
      <c r="A9" s="1810" t="s">
        <v>938</v>
      </c>
      <c r="B9" s="1810"/>
      <c r="C9" s="1810"/>
      <c r="D9" s="1810"/>
      <c r="E9" s="1810"/>
      <c r="F9" s="1810"/>
      <c r="G9" s="1810"/>
      <c r="H9" s="1810"/>
      <c r="I9" s="1810"/>
      <c r="J9" s="1810"/>
      <c r="K9" s="1810"/>
      <c r="L9" s="1810"/>
      <c r="M9" s="1810"/>
      <c r="N9" s="1810"/>
      <c r="O9" s="1810"/>
    </row>
    <row r="10" spans="1:16" ht="18" x14ac:dyDescent="0.2">
      <c r="A10" s="1810" t="s">
        <v>3</v>
      </c>
      <c r="B10" s="1810"/>
      <c r="C10" s="1810"/>
      <c r="D10" s="1810"/>
      <c r="E10" s="1810"/>
      <c r="F10" s="1810"/>
      <c r="G10" s="1810"/>
      <c r="H10" s="1810"/>
      <c r="I10" s="1810"/>
      <c r="J10" s="1810"/>
      <c r="K10" s="1810"/>
      <c r="L10" s="1810"/>
      <c r="M10" s="1810"/>
      <c r="N10" s="1810"/>
      <c r="O10" s="1810"/>
    </row>
    <row r="11" spans="1:16" ht="22.5" customHeight="1" x14ac:dyDescent="0.2">
      <c r="A11" s="1877" t="s">
        <v>820</v>
      </c>
      <c r="B11" s="1877"/>
      <c r="C11" s="1877"/>
      <c r="D11" s="1877"/>
      <c r="E11" s="1877"/>
      <c r="F11" s="1877"/>
      <c r="G11" s="1877"/>
      <c r="H11" s="1877"/>
      <c r="I11" s="1877"/>
      <c r="J11" s="1877"/>
      <c r="K11" s="1877"/>
      <c r="L11" s="1877"/>
      <c r="M11" s="1877"/>
      <c r="N11" s="1877"/>
      <c r="O11" s="1877"/>
    </row>
    <row r="12" spans="1:16" ht="13.5" customHeight="1" x14ac:dyDescent="0.25">
      <c r="A12" s="682"/>
      <c r="B12" s="682"/>
      <c r="C12" s="676" t="s">
        <v>40</v>
      </c>
      <c r="D12" s="676">
        <v>2013</v>
      </c>
      <c r="E12" s="901" t="s">
        <v>931</v>
      </c>
      <c r="F12" s="682"/>
      <c r="G12" s="682"/>
      <c r="H12" s="682"/>
      <c r="I12" s="682"/>
      <c r="J12" s="682"/>
      <c r="K12" s="682"/>
      <c r="L12" s="682"/>
    </row>
    <row r="13" spans="1:16" ht="13.5" thickBot="1" x14ac:dyDescent="0.25"/>
    <row r="14" spans="1:16" ht="61.5" customHeight="1" x14ac:dyDescent="0.2">
      <c r="A14" s="1871" t="s">
        <v>4</v>
      </c>
      <c r="B14" s="1873" t="s">
        <v>346</v>
      </c>
      <c r="C14" s="221" t="s">
        <v>798</v>
      </c>
      <c r="D14" s="221" t="s">
        <v>348</v>
      </c>
      <c r="E14" s="221" t="s">
        <v>518</v>
      </c>
      <c r="F14" s="221" t="s">
        <v>519</v>
      </c>
      <c r="G14" s="221" t="s">
        <v>520</v>
      </c>
      <c r="H14" s="237" t="s">
        <v>521</v>
      </c>
      <c r="I14" s="222" t="s">
        <v>522</v>
      </c>
      <c r="J14" s="222" t="s">
        <v>797</v>
      </c>
      <c r="K14" s="1880" t="s">
        <v>708</v>
      </c>
      <c r="L14" s="222" t="s">
        <v>523</v>
      </c>
      <c r="M14" s="222" t="s">
        <v>787</v>
      </c>
      <c r="N14" s="1880" t="s">
        <v>720</v>
      </c>
      <c r="O14" s="222" t="s">
        <v>799</v>
      </c>
    </row>
    <row r="15" spans="1:16" ht="19.5" customHeight="1" thickBot="1" x14ac:dyDescent="0.25">
      <c r="A15" s="1878"/>
      <c r="B15" s="1879"/>
      <c r="C15" s="294" t="s">
        <v>5</v>
      </c>
      <c r="D15" s="294" t="s">
        <v>6</v>
      </c>
      <c r="E15" s="308" t="s">
        <v>524</v>
      </c>
      <c r="F15" s="294" t="s">
        <v>9</v>
      </c>
      <c r="G15" s="294" t="s">
        <v>10</v>
      </c>
      <c r="H15" s="309" t="s">
        <v>525</v>
      </c>
      <c r="I15" s="296" t="s">
        <v>526</v>
      </c>
      <c r="J15" s="310" t="s">
        <v>527</v>
      </c>
      <c r="K15" s="1881"/>
      <c r="L15" s="296" t="s">
        <v>528</v>
      </c>
      <c r="M15" s="296" t="s">
        <v>532</v>
      </c>
      <c r="N15" s="1882"/>
      <c r="O15" s="310" t="s">
        <v>714</v>
      </c>
    </row>
    <row r="16" spans="1:16" ht="25.5" x14ac:dyDescent="0.2">
      <c r="A16" s="843">
        <v>1611</v>
      </c>
      <c r="B16" s="839" t="s">
        <v>515</v>
      </c>
      <c r="C16" s="204"/>
      <c r="D16" s="204"/>
      <c r="E16" s="293"/>
      <c r="F16" s="293"/>
      <c r="G16" s="594">
        <f t="shared" ref="G16:G55" si="0">IF(F16=0,0,1/F16)</f>
        <v>0</v>
      </c>
      <c r="H16" s="796">
        <f t="shared" ref="H16:H55" si="1">IF(E16=0,0,+C16/E16)</f>
        <v>0</v>
      </c>
      <c r="I16" s="796">
        <f t="shared" ref="I16:I55" si="2">IF(F16=0,0,+(D16*0.5)/F16)</f>
        <v>0</v>
      </c>
      <c r="J16" s="796">
        <f t="shared" ref="J16:J55" si="3">IF(ISERROR(+H16+I16), 0, +H16+I16)</f>
        <v>0</v>
      </c>
      <c r="K16" s="204"/>
      <c r="L16" s="796">
        <f t="shared" ref="L16:L55" si="4">IF(ISERROR(+J16-K16), 0, +J16-K16)</f>
        <v>0</v>
      </c>
      <c r="M16" s="796">
        <f t="shared" ref="M16:M55" si="5">IF(F16=0,0,+(D16)/F16)</f>
        <v>0</v>
      </c>
      <c r="N16" s="204"/>
      <c r="O16" s="796">
        <f>IF(ISERROR(+M16+H16-N16), 0, +M16+H16-N16)</f>
        <v>0</v>
      </c>
    </row>
    <row r="17" spans="1:15" ht="25.5" x14ac:dyDescent="0.2">
      <c r="A17" s="828">
        <v>1612</v>
      </c>
      <c r="B17" s="783" t="s">
        <v>650</v>
      </c>
      <c r="C17" s="204"/>
      <c r="D17" s="204"/>
      <c r="E17" s="282"/>
      <c r="F17" s="282"/>
      <c r="G17" s="586">
        <f t="shared" si="0"/>
        <v>0</v>
      </c>
      <c r="H17" s="796">
        <f t="shared" si="1"/>
        <v>0</v>
      </c>
      <c r="I17" s="796">
        <f t="shared" si="2"/>
        <v>0</v>
      </c>
      <c r="J17" s="796">
        <f t="shared" si="3"/>
        <v>0</v>
      </c>
      <c r="K17" s="204"/>
      <c r="L17" s="796">
        <f t="shared" si="4"/>
        <v>0</v>
      </c>
      <c r="M17" s="796">
        <f t="shared" si="5"/>
        <v>0</v>
      </c>
      <c r="N17" s="204"/>
      <c r="O17" s="796">
        <f t="shared" ref="O17:O55" si="6">IF(ISERROR(+M17+H17-N17), 0, +M17+H17-N17)</f>
        <v>0</v>
      </c>
    </row>
    <row r="18" spans="1:15" x14ac:dyDescent="0.2">
      <c r="A18" s="829">
        <v>1805</v>
      </c>
      <c r="B18" s="786" t="s">
        <v>383</v>
      </c>
      <c r="C18" s="204"/>
      <c r="D18" s="204"/>
      <c r="E18" s="282"/>
      <c r="F18" s="282"/>
      <c r="G18" s="586">
        <f t="shared" si="0"/>
        <v>0</v>
      </c>
      <c r="H18" s="796">
        <f t="shared" si="1"/>
        <v>0</v>
      </c>
      <c r="I18" s="796">
        <f t="shared" si="2"/>
        <v>0</v>
      </c>
      <c r="J18" s="796">
        <f t="shared" si="3"/>
        <v>0</v>
      </c>
      <c r="K18" s="204"/>
      <c r="L18" s="796">
        <f t="shared" si="4"/>
        <v>0</v>
      </c>
      <c r="M18" s="796">
        <f t="shared" si="5"/>
        <v>0</v>
      </c>
      <c r="N18" s="204"/>
      <c r="O18" s="796">
        <f t="shared" si="6"/>
        <v>0</v>
      </c>
    </row>
    <row r="19" spans="1:15" x14ac:dyDescent="0.2">
      <c r="A19" s="828">
        <v>1808</v>
      </c>
      <c r="B19" s="787" t="s">
        <v>384</v>
      </c>
      <c r="C19" s="204"/>
      <c r="D19" s="204"/>
      <c r="E19" s="282"/>
      <c r="F19" s="282"/>
      <c r="G19" s="586">
        <f t="shared" si="0"/>
        <v>0</v>
      </c>
      <c r="H19" s="796">
        <f t="shared" si="1"/>
        <v>0</v>
      </c>
      <c r="I19" s="796">
        <f t="shared" si="2"/>
        <v>0</v>
      </c>
      <c r="J19" s="796">
        <f t="shared" si="3"/>
        <v>0</v>
      </c>
      <c r="K19" s="204"/>
      <c r="L19" s="796">
        <f t="shared" si="4"/>
        <v>0</v>
      </c>
      <c r="M19" s="796">
        <f t="shared" si="5"/>
        <v>0</v>
      </c>
      <c r="N19" s="204"/>
      <c r="O19" s="796">
        <f t="shared" si="6"/>
        <v>0</v>
      </c>
    </row>
    <row r="20" spans="1:15" x14ac:dyDescent="0.2">
      <c r="A20" s="828">
        <v>1810</v>
      </c>
      <c r="B20" s="787" t="s">
        <v>417</v>
      </c>
      <c r="C20" s="204"/>
      <c r="D20" s="204"/>
      <c r="E20" s="282"/>
      <c r="F20" s="282"/>
      <c r="G20" s="586">
        <f t="shared" si="0"/>
        <v>0</v>
      </c>
      <c r="H20" s="796">
        <f t="shared" si="1"/>
        <v>0</v>
      </c>
      <c r="I20" s="796">
        <f t="shared" si="2"/>
        <v>0</v>
      </c>
      <c r="J20" s="796">
        <f t="shared" si="3"/>
        <v>0</v>
      </c>
      <c r="K20" s="204"/>
      <c r="L20" s="796">
        <f t="shared" si="4"/>
        <v>0</v>
      </c>
      <c r="M20" s="796">
        <f t="shared" si="5"/>
        <v>0</v>
      </c>
      <c r="N20" s="204"/>
      <c r="O20" s="796">
        <f t="shared" si="6"/>
        <v>0</v>
      </c>
    </row>
    <row r="21" spans="1:15" x14ac:dyDescent="0.2">
      <c r="A21" s="828">
        <v>1815</v>
      </c>
      <c r="B21" s="787" t="s">
        <v>385</v>
      </c>
      <c r="C21" s="204"/>
      <c r="D21" s="204"/>
      <c r="E21" s="282"/>
      <c r="F21" s="282"/>
      <c r="G21" s="586">
        <f t="shared" si="0"/>
        <v>0</v>
      </c>
      <c r="H21" s="796">
        <f t="shared" si="1"/>
        <v>0</v>
      </c>
      <c r="I21" s="796">
        <f t="shared" si="2"/>
        <v>0</v>
      </c>
      <c r="J21" s="796">
        <f t="shared" si="3"/>
        <v>0</v>
      </c>
      <c r="K21" s="204"/>
      <c r="L21" s="796">
        <f t="shared" si="4"/>
        <v>0</v>
      </c>
      <c r="M21" s="796">
        <f t="shared" si="5"/>
        <v>0</v>
      </c>
      <c r="N21" s="204"/>
      <c r="O21" s="796">
        <f t="shared" si="6"/>
        <v>0</v>
      </c>
    </row>
    <row r="22" spans="1:15" x14ac:dyDescent="0.2">
      <c r="A22" s="828">
        <v>1820</v>
      </c>
      <c r="B22" s="783" t="s">
        <v>306</v>
      </c>
      <c r="C22" s="204"/>
      <c r="D22" s="204"/>
      <c r="E22" s="282"/>
      <c r="F22" s="282"/>
      <c r="G22" s="586">
        <f t="shared" si="0"/>
        <v>0</v>
      </c>
      <c r="H22" s="796">
        <f t="shared" si="1"/>
        <v>0</v>
      </c>
      <c r="I22" s="796">
        <f t="shared" si="2"/>
        <v>0</v>
      </c>
      <c r="J22" s="796">
        <f t="shared" si="3"/>
        <v>0</v>
      </c>
      <c r="K22" s="204"/>
      <c r="L22" s="796">
        <f t="shared" si="4"/>
        <v>0</v>
      </c>
      <c r="M22" s="796">
        <f t="shared" si="5"/>
        <v>0</v>
      </c>
      <c r="N22" s="204"/>
      <c r="O22" s="796">
        <f t="shared" si="6"/>
        <v>0</v>
      </c>
    </row>
    <row r="23" spans="1:15" x14ac:dyDescent="0.2">
      <c r="A23" s="828">
        <v>1825</v>
      </c>
      <c r="B23" s="787" t="s">
        <v>386</v>
      </c>
      <c r="C23" s="204"/>
      <c r="D23" s="204"/>
      <c r="E23" s="282"/>
      <c r="F23" s="282"/>
      <c r="G23" s="586">
        <f t="shared" si="0"/>
        <v>0</v>
      </c>
      <c r="H23" s="796">
        <f t="shared" si="1"/>
        <v>0</v>
      </c>
      <c r="I23" s="796">
        <f t="shared" si="2"/>
        <v>0</v>
      </c>
      <c r="J23" s="796">
        <f t="shared" si="3"/>
        <v>0</v>
      </c>
      <c r="K23" s="204"/>
      <c r="L23" s="796">
        <f t="shared" si="4"/>
        <v>0</v>
      </c>
      <c r="M23" s="796">
        <f t="shared" si="5"/>
        <v>0</v>
      </c>
      <c r="N23" s="204"/>
      <c r="O23" s="796">
        <f t="shared" si="6"/>
        <v>0</v>
      </c>
    </row>
    <row r="24" spans="1:15" x14ac:dyDescent="0.2">
      <c r="A24" s="828">
        <v>1830</v>
      </c>
      <c r="B24" s="787" t="s">
        <v>387</v>
      </c>
      <c r="C24" s="204"/>
      <c r="D24" s="204"/>
      <c r="E24" s="282"/>
      <c r="F24" s="282"/>
      <c r="G24" s="586">
        <f t="shared" si="0"/>
        <v>0</v>
      </c>
      <c r="H24" s="796">
        <f t="shared" si="1"/>
        <v>0</v>
      </c>
      <c r="I24" s="796">
        <f t="shared" si="2"/>
        <v>0</v>
      </c>
      <c r="J24" s="796">
        <f t="shared" si="3"/>
        <v>0</v>
      </c>
      <c r="K24" s="204"/>
      <c r="L24" s="796">
        <f t="shared" si="4"/>
        <v>0</v>
      </c>
      <c r="M24" s="796">
        <f t="shared" si="5"/>
        <v>0</v>
      </c>
      <c r="N24" s="204"/>
      <c r="O24" s="796">
        <f t="shared" si="6"/>
        <v>0</v>
      </c>
    </row>
    <row r="25" spans="1:15" x14ac:dyDescent="0.2">
      <c r="A25" s="828">
        <v>1835</v>
      </c>
      <c r="B25" s="787" t="s">
        <v>307</v>
      </c>
      <c r="C25" s="204"/>
      <c r="D25" s="204"/>
      <c r="E25" s="282"/>
      <c r="F25" s="282"/>
      <c r="G25" s="586">
        <f t="shared" si="0"/>
        <v>0</v>
      </c>
      <c r="H25" s="796">
        <f t="shared" si="1"/>
        <v>0</v>
      </c>
      <c r="I25" s="796">
        <f t="shared" si="2"/>
        <v>0</v>
      </c>
      <c r="J25" s="796">
        <f t="shared" si="3"/>
        <v>0</v>
      </c>
      <c r="K25" s="204"/>
      <c r="L25" s="796">
        <f t="shared" si="4"/>
        <v>0</v>
      </c>
      <c r="M25" s="796">
        <f t="shared" si="5"/>
        <v>0</v>
      </c>
      <c r="N25" s="204"/>
      <c r="O25" s="796">
        <f t="shared" si="6"/>
        <v>0</v>
      </c>
    </row>
    <row r="26" spans="1:15" x14ac:dyDescent="0.2">
      <c r="A26" s="828">
        <v>1840</v>
      </c>
      <c r="B26" s="787" t="s">
        <v>308</v>
      </c>
      <c r="C26" s="204"/>
      <c r="D26" s="204"/>
      <c r="E26" s="282"/>
      <c r="F26" s="282"/>
      <c r="G26" s="586">
        <f t="shared" si="0"/>
        <v>0</v>
      </c>
      <c r="H26" s="796">
        <f t="shared" si="1"/>
        <v>0</v>
      </c>
      <c r="I26" s="796">
        <f t="shared" si="2"/>
        <v>0</v>
      </c>
      <c r="J26" s="796">
        <f t="shared" si="3"/>
        <v>0</v>
      </c>
      <c r="K26" s="204"/>
      <c r="L26" s="796">
        <f t="shared" si="4"/>
        <v>0</v>
      </c>
      <c r="M26" s="796">
        <f t="shared" si="5"/>
        <v>0</v>
      </c>
      <c r="N26" s="204"/>
      <c r="O26" s="796">
        <f t="shared" si="6"/>
        <v>0</v>
      </c>
    </row>
    <row r="27" spans="1:15" x14ac:dyDescent="0.2">
      <c r="A27" s="828">
        <v>1845</v>
      </c>
      <c r="B27" s="787" t="s">
        <v>309</v>
      </c>
      <c r="C27" s="204"/>
      <c r="D27" s="204"/>
      <c r="E27" s="282"/>
      <c r="F27" s="282"/>
      <c r="G27" s="586">
        <f t="shared" si="0"/>
        <v>0</v>
      </c>
      <c r="H27" s="796">
        <f t="shared" si="1"/>
        <v>0</v>
      </c>
      <c r="I27" s="796">
        <f t="shared" si="2"/>
        <v>0</v>
      </c>
      <c r="J27" s="796">
        <f t="shared" si="3"/>
        <v>0</v>
      </c>
      <c r="K27" s="204"/>
      <c r="L27" s="796">
        <f t="shared" si="4"/>
        <v>0</v>
      </c>
      <c r="M27" s="796">
        <f t="shared" si="5"/>
        <v>0</v>
      </c>
      <c r="N27" s="204"/>
      <c r="O27" s="796">
        <f t="shared" si="6"/>
        <v>0</v>
      </c>
    </row>
    <row r="28" spans="1:15" x14ac:dyDescent="0.2">
      <c r="A28" s="828">
        <v>1850</v>
      </c>
      <c r="B28" s="787" t="s">
        <v>388</v>
      </c>
      <c r="C28" s="204"/>
      <c r="D28" s="204"/>
      <c r="E28" s="282"/>
      <c r="F28" s="282"/>
      <c r="G28" s="586">
        <f t="shared" si="0"/>
        <v>0</v>
      </c>
      <c r="H28" s="796">
        <f t="shared" si="1"/>
        <v>0</v>
      </c>
      <c r="I28" s="796">
        <f t="shared" si="2"/>
        <v>0</v>
      </c>
      <c r="J28" s="796">
        <f t="shared" si="3"/>
        <v>0</v>
      </c>
      <c r="K28" s="204"/>
      <c r="L28" s="796">
        <f t="shared" si="4"/>
        <v>0</v>
      </c>
      <c r="M28" s="796">
        <f t="shared" si="5"/>
        <v>0</v>
      </c>
      <c r="N28" s="204"/>
      <c r="O28" s="796">
        <f t="shared" si="6"/>
        <v>0</v>
      </c>
    </row>
    <row r="29" spans="1:15" x14ac:dyDescent="0.2">
      <c r="A29" s="828">
        <v>1855</v>
      </c>
      <c r="B29" s="787" t="s">
        <v>310</v>
      </c>
      <c r="C29" s="204"/>
      <c r="D29" s="204"/>
      <c r="E29" s="282"/>
      <c r="F29" s="282"/>
      <c r="G29" s="586">
        <f t="shared" si="0"/>
        <v>0</v>
      </c>
      <c r="H29" s="796">
        <f t="shared" si="1"/>
        <v>0</v>
      </c>
      <c r="I29" s="796">
        <f t="shared" si="2"/>
        <v>0</v>
      </c>
      <c r="J29" s="796">
        <f t="shared" si="3"/>
        <v>0</v>
      </c>
      <c r="K29" s="204"/>
      <c r="L29" s="796">
        <f t="shared" si="4"/>
        <v>0</v>
      </c>
      <c r="M29" s="796">
        <f t="shared" si="5"/>
        <v>0</v>
      </c>
      <c r="N29" s="204"/>
      <c r="O29" s="796">
        <f t="shared" si="6"/>
        <v>0</v>
      </c>
    </row>
    <row r="30" spans="1:15" x14ac:dyDescent="0.2">
      <c r="A30" s="828">
        <v>1860</v>
      </c>
      <c r="B30" s="787" t="s">
        <v>389</v>
      </c>
      <c r="C30" s="204"/>
      <c r="D30" s="204"/>
      <c r="E30" s="282"/>
      <c r="F30" s="282"/>
      <c r="G30" s="586">
        <f t="shared" si="0"/>
        <v>0</v>
      </c>
      <c r="H30" s="796">
        <f t="shared" si="1"/>
        <v>0</v>
      </c>
      <c r="I30" s="796">
        <f t="shared" si="2"/>
        <v>0</v>
      </c>
      <c r="J30" s="796">
        <f t="shared" si="3"/>
        <v>0</v>
      </c>
      <c r="K30" s="204"/>
      <c r="L30" s="796">
        <f t="shared" si="4"/>
        <v>0</v>
      </c>
      <c r="M30" s="796">
        <f t="shared" si="5"/>
        <v>0</v>
      </c>
      <c r="N30" s="204"/>
      <c r="O30" s="796">
        <f t="shared" si="6"/>
        <v>0</v>
      </c>
    </row>
    <row r="31" spans="1:15" x14ac:dyDescent="0.2">
      <c r="A31" s="829">
        <v>1860</v>
      </c>
      <c r="B31" s="786" t="s">
        <v>311</v>
      </c>
      <c r="C31" s="204"/>
      <c r="D31" s="204"/>
      <c r="E31" s="282"/>
      <c r="F31" s="282"/>
      <c r="G31" s="586">
        <f t="shared" si="0"/>
        <v>0</v>
      </c>
      <c r="H31" s="796">
        <f t="shared" si="1"/>
        <v>0</v>
      </c>
      <c r="I31" s="796">
        <f t="shared" si="2"/>
        <v>0</v>
      </c>
      <c r="J31" s="796">
        <f t="shared" si="3"/>
        <v>0</v>
      </c>
      <c r="K31" s="204"/>
      <c r="L31" s="796">
        <f t="shared" si="4"/>
        <v>0</v>
      </c>
      <c r="M31" s="796">
        <f t="shared" si="5"/>
        <v>0</v>
      </c>
      <c r="N31" s="204"/>
      <c r="O31" s="796">
        <f t="shared" si="6"/>
        <v>0</v>
      </c>
    </row>
    <row r="32" spans="1:15" x14ac:dyDescent="0.2">
      <c r="A32" s="829">
        <v>1905</v>
      </c>
      <c r="B32" s="786" t="s">
        <v>383</v>
      </c>
      <c r="C32" s="204"/>
      <c r="D32" s="204"/>
      <c r="E32" s="282"/>
      <c r="F32" s="282"/>
      <c r="G32" s="586">
        <f t="shared" si="0"/>
        <v>0</v>
      </c>
      <c r="H32" s="796">
        <f t="shared" si="1"/>
        <v>0</v>
      </c>
      <c r="I32" s="796">
        <f t="shared" si="2"/>
        <v>0</v>
      </c>
      <c r="J32" s="796">
        <f t="shared" si="3"/>
        <v>0</v>
      </c>
      <c r="K32" s="204"/>
      <c r="L32" s="796">
        <f t="shared" si="4"/>
        <v>0</v>
      </c>
      <c r="M32" s="796">
        <f t="shared" si="5"/>
        <v>0</v>
      </c>
      <c r="N32" s="204"/>
      <c r="O32" s="796">
        <f t="shared" si="6"/>
        <v>0</v>
      </c>
    </row>
    <row r="33" spans="1:15" x14ac:dyDescent="0.2">
      <c r="A33" s="828">
        <v>1908</v>
      </c>
      <c r="B33" s="787" t="s">
        <v>391</v>
      </c>
      <c r="C33" s="204"/>
      <c r="D33" s="204"/>
      <c r="E33" s="282"/>
      <c r="F33" s="282"/>
      <c r="G33" s="586">
        <f t="shared" si="0"/>
        <v>0</v>
      </c>
      <c r="H33" s="796">
        <f t="shared" si="1"/>
        <v>0</v>
      </c>
      <c r="I33" s="796">
        <f t="shared" si="2"/>
        <v>0</v>
      </c>
      <c r="J33" s="796">
        <f t="shared" si="3"/>
        <v>0</v>
      </c>
      <c r="K33" s="204"/>
      <c r="L33" s="796">
        <f t="shared" si="4"/>
        <v>0</v>
      </c>
      <c r="M33" s="796">
        <f t="shared" si="5"/>
        <v>0</v>
      </c>
      <c r="N33" s="204"/>
      <c r="O33" s="796">
        <f t="shared" si="6"/>
        <v>0</v>
      </c>
    </row>
    <row r="34" spans="1:15" x14ac:dyDescent="0.2">
      <c r="A34" s="828">
        <v>1910</v>
      </c>
      <c r="B34" s="787" t="s">
        <v>417</v>
      </c>
      <c r="C34" s="204"/>
      <c r="D34" s="204"/>
      <c r="E34" s="282"/>
      <c r="F34" s="282"/>
      <c r="G34" s="586">
        <f t="shared" si="0"/>
        <v>0</v>
      </c>
      <c r="H34" s="796">
        <f t="shared" si="1"/>
        <v>0</v>
      </c>
      <c r="I34" s="796">
        <f t="shared" si="2"/>
        <v>0</v>
      </c>
      <c r="J34" s="796">
        <f t="shared" si="3"/>
        <v>0</v>
      </c>
      <c r="K34" s="204"/>
      <c r="L34" s="796">
        <f t="shared" si="4"/>
        <v>0</v>
      </c>
      <c r="M34" s="796">
        <f t="shared" si="5"/>
        <v>0</v>
      </c>
      <c r="N34" s="204"/>
      <c r="O34" s="796">
        <f t="shared" si="6"/>
        <v>0</v>
      </c>
    </row>
    <row r="35" spans="1:15" x14ac:dyDescent="0.2">
      <c r="A35" s="828">
        <v>1915</v>
      </c>
      <c r="B35" s="787" t="s">
        <v>312</v>
      </c>
      <c r="C35" s="204"/>
      <c r="D35" s="204"/>
      <c r="E35" s="282"/>
      <c r="F35" s="282"/>
      <c r="G35" s="586">
        <f t="shared" si="0"/>
        <v>0</v>
      </c>
      <c r="H35" s="796">
        <f t="shared" si="1"/>
        <v>0</v>
      </c>
      <c r="I35" s="796">
        <f t="shared" si="2"/>
        <v>0</v>
      </c>
      <c r="J35" s="796">
        <f t="shared" si="3"/>
        <v>0</v>
      </c>
      <c r="K35" s="204"/>
      <c r="L35" s="796">
        <f t="shared" si="4"/>
        <v>0</v>
      </c>
      <c r="M35" s="796">
        <f t="shared" si="5"/>
        <v>0</v>
      </c>
      <c r="N35" s="204"/>
      <c r="O35" s="796">
        <f t="shared" si="6"/>
        <v>0</v>
      </c>
    </row>
    <row r="36" spans="1:15" x14ac:dyDescent="0.2">
      <c r="A36" s="828">
        <v>1915</v>
      </c>
      <c r="B36" s="787" t="s">
        <v>313</v>
      </c>
      <c r="C36" s="204"/>
      <c r="D36" s="204"/>
      <c r="E36" s="282"/>
      <c r="F36" s="282"/>
      <c r="G36" s="586">
        <f t="shared" si="0"/>
        <v>0</v>
      </c>
      <c r="H36" s="796">
        <f t="shared" si="1"/>
        <v>0</v>
      </c>
      <c r="I36" s="796">
        <f t="shared" si="2"/>
        <v>0</v>
      </c>
      <c r="J36" s="796">
        <f t="shared" si="3"/>
        <v>0</v>
      </c>
      <c r="K36" s="204"/>
      <c r="L36" s="796">
        <f t="shared" si="4"/>
        <v>0</v>
      </c>
      <c r="M36" s="796">
        <f t="shared" si="5"/>
        <v>0</v>
      </c>
      <c r="N36" s="204"/>
      <c r="O36" s="796">
        <f t="shared" si="6"/>
        <v>0</v>
      </c>
    </row>
    <row r="37" spans="1:15" x14ac:dyDescent="0.2">
      <c r="A37" s="828">
        <v>1920</v>
      </c>
      <c r="B37" s="787" t="s">
        <v>314</v>
      </c>
      <c r="C37" s="204"/>
      <c r="D37" s="204"/>
      <c r="E37" s="282"/>
      <c r="F37" s="282"/>
      <c r="G37" s="586">
        <f t="shared" si="0"/>
        <v>0</v>
      </c>
      <c r="H37" s="796">
        <f t="shared" si="1"/>
        <v>0</v>
      </c>
      <c r="I37" s="796">
        <f t="shared" si="2"/>
        <v>0</v>
      </c>
      <c r="J37" s="796">
        <f t="shared" si="3"/>
        <v>0</v>
      </c>
      <c r="K37" s="204"/>
      <c r="L37" s="796">
        <f t="shared" si="4"/>
        <v>0</v>
      </c>
      <c r="M37" s="796">
        <f t="shared" si="5"/>
        <v>0</v>
      </c>
      <c r="N37" s="204"/>
      <c r="O37" s="796">
        <f t="shared" si="6"/>
        <v>0</v>
      </c>
    </row>
    <row r="38" spans="1:15" x14ac:dyDescent="0.2">
      <c r="A38" s="830">
        <v>1920</v>
      </c>
      <c r="B38" s="783" t="s">
        <v>316</v>
      </c>
      <c r="C38" s="204"/>
      <c r="D38" s="204"/>
      <c r="E38" s="282"/>
      <c r="F38" s="282"/>
      <c r="G38" s="586">
        <f t="shared" si="0"/>
        <v>0</v>
      </c>
      <c r="H38" s="796">
        <f t="shared" si="1"/>
        <v>0</v>
      </c>
      <c r="I38" s="796">
        <f t="shared" si="2"/>
        <v>0</v>
      </c>
      <c r="J38" s="796">
        <f t="shared" si="3"/>
        <v>0</v>
      </c>
      <c r="K38" s="204"/>
      <c r="L38" s="796">
        <f t="shared" si="4"/>
        <v>0</v>
      </c>
      <c r="M38" s="796">
        <f t="shared" si="5"/>
        <v>0</v>
      </c>
      <c r="N38" s="204"/>
      <c r="O38" s="796">
        <f t="shared" si="6"/>
        <v>0</v>
      </c>
    </row>
    <row r="39" spans="1:15" x14ac:dyDescent="0.2">
      <c r="A39" s="830">
        <v>1920</v>
      </c>
      <c r="B39" s="783" t="s">
        <v>315</v>
      </c>
      <c r="C39" s="204"/>
      <c r="D39" s="204"/>
      <c r="E39" s="282"/>
      <c r="F39" s="282"/>
      <c r="G39" s="586">
        <f t="shared" si="0"/>
        <v>0</v>
      </c>
      <c r="H39" s="796">
        <f t="shared" si="1"/>
        <v>0</v>
      </c>
      <c r="I39" s="796">
        <f t="shared" si="2"/>
        <v>0</v>
      </c>
      <c r="J39" s="796">
        <f t="shared" si="3"/>
        <v>0</v>
      </c>
      <c r="K39" s="204"/>
      <c r="L39" s="796">
        <f t="shared" si="4"/>
        <v>0</v>
      </c>
      <c r="M39" s="796">
        <f t="shared" si="5"/>
        <v>0</v>
      </c>
      <c r="N39" s="204"/>
      <c r="O39" s="796">
        <f t="shared" si="6"/>
        <v>0</v>
      </c>
    </row>
    <row r="40" spans="1:15" x14ac:dyDescent="0.2">
      <c r="A40" s="828">
        <v>1930</v>
      </c>
      <c r="B40" s="787" t="s">
        <v>404</v>
      </c>
      <c r="C40" s="204"/>
      <c r="D40" s="204"/>
      <c r="E40" s="282"/>
      <c r="F40" s="282"/>
      <c r="G40" s="586">
        <f t="shared" si="0"/>
        <v>0</v>
      </c>
      <c r="H40" s="796">
        <f t="shared" si="1"/>
        <v>0</v>
      </c>
      <c r="I40" s="796">
        <f t="shared" si="2"/>
        <v>0</v>
      </c>
      <c r="J40" s="796">
        <f t="shared" si="3"/>
        <v>0</v>
      </c>
      <c r="K40" s="204"/>
      <c r="L40" s="796">
        <f t="shared" si="4"/>
        <v>0</v>
      </c>
      <c r="M40" s="796">
        <f t="shared" si="5"/>
        <v>0</v>
      </c>
      <c r="N40" s="204"/>
      <c r="O40" s="796">
        <f t="shared" si="6"/>
        <v>0</v>
      </c>
    </row>
    <row r="41" spans="1:15" x14ac:dyDescent="0.2">
      <c r="A41" s="828">
        <v>1935</v>
      </c>
      <c r="B41" s="787" t="s">
        <v>405</v>
      </c>
      <c r="C41" s="204"/>
      <c r="D41" s="204"/>
      <c r="E41" s="282"/>
      <c r="F41" s="282"/>
      <c r="G41" s="586">
        <f t="shared" si="0"/>
        <v>0</v>
      </c>
      <c r="H41" s="796">
        <f t="shared" si="1"/>
        <v>0</v>
      </c>
      <c r="I41" s="796">
        <f t="shared" si="2"/>
        <v>0</v>
      </c>
      <c r="J41" s="796">
        <f t="shared" si="3"/>
        <v>0</v>
      </c>
      <c r="K41" s="204"/>
      <c r="L41" s="796">
        <f t="shared" si="4"/>
        <v>0</v>
      </c>
      <c r="M41" s="796">
        <f t="shared" si="5"/>
        <v>0</v>
      </c>
      <c r="N41" s="204"/>
      <c r="O41" s="796">
        <f t="shared" si="6"/>
        <v>0</v>
      </c>
    </row>
    <row r="42" spans="1:15" x14ac:dyDescent="0.2">
      <c r="A42" s="828">
        <v>1940</v>
      </c>
      <c r="B42" s="787" t="s">
        <v>406</v>
      </c>
      <c r="C42" s="204"/>
      <c r="D42" s="204"/>
      <c r="E42" s="282"/>
      <c r="F42" s="282"/>
      <c r="G42" s="586">
        <f t="shared" si="0"/>
        <v>0</v>
      </c>
      <c r="H42" s="796">
        <f t="shared" si="1"/>
        <v>0</v>
      </c>
      <c r="I42" s="796">
        <f t="shared" si="2"/>
        <v>0</v>
      </c>
      <c r="J42" s="796">
        <f t="shared" si="3"/>
        <v>0</v>
      </c>
      <c r="K42" s="204"/>
      <c r="L42" s="796">
        <f t="shared" si="4"/>
        <v>0</v>
      </c>
      <c r="M42" s="796">
        <f t="shared" si="5"/>
        <v>0</v>
      </c>
      <c r="N42" s="204"/>
      <c r="O42" s="796">
        <f t="shared" si="6"/>
        <v>0</v>
      </c>
    </row>
    <row r="43" spans="1:15" x14ac:dyDescent="0.2">
      <c r="A43" s="828">
        <v>1945</v>
      </c>
      <c r="B43" s="787" t="s">
        <v>407</v>
      </c>
      <c r="C43" s="204"/>
      <c r="D43" s="204"/>
      <c r="E43" s="282"/>
      <c r="F43" s="282"/>
      <c r="G43" s="586">
        <f t="shared" si="0"/>
        <v>0</v>
      </c>
      <c r="H43" s="796">
        <f t="shared" si="1"/>
        <v>0</v>
      </c>
      <c r="I43" s="796">
        <f t="shared" si="2"/>
        <v>0</v>
      </c>
      <c r="J43" s="796">
        <f t="shared" si="3"/>
        <v>0</v>
      </c>
      <c r="K43" s="204"/>
      <c r="L43" s="796">
        <f t="shared" si="4"/>
        <v>0</v>
      </c>
      <c r="M43" s="796">
        <f t="shared" si="5"/>
        <v>0</v>
      </c>
      <c r="N43" s="204"/>
      <c r="O43" s="796">
        <f t="shared" si="6"/>
        <v>0</v>
      </c>
    </row>
    <row r="44" spans="1:15" x14ac:dyDescent="0.2">
      <c r="A44" s="828">
        <v>1950</v>
      </c>
      <c r="B44" s="787" t="s">
        <v>317</v>
      </c>
      <c r="C44" s="204"/>
      <c r="D44" s="204"/>
      <c r="E44" s="282"/>
      <c r="F44" s="282"/>
      <c r="G44" s="586">
        <f t="shared" si="0"/>
        <v>0</v>
      </c>
      <c r="H44" s="796">
        <f t="shared" si="1"/>
        <v>0</v>
      </c>
      <c r="I44" s="796">
        <f t="shared" si="2"/>
        <v>0</v>
      </c>
      <c r="J44" s="796">
        <f t="shared" si="3"/>
        <v>0</v>
      </c>
      <c r="K44" s="204"/>
      <c r="L44" s="796">
        <f t="shared" si="4"/>
        <v>0</v>
      </c>
      <c r="M44" s="796">
        <f t="shared" si="5"/>
        <v>0</v>
      </c>
      <c r="N44" s="204"/>
      <c r="O44" s="796">
        <f t="shared" si="6"/>
        <v>0</v>
      </c>
    </row>
    <row r="45" spans="1:15" x14ac:dyDescent="0.2">
      <c r="A45" s="828">
        <v>1955</v>
      </c>
      <c r="B45" s="787" t="s">
        <v>408</v>
      </c>
      <c r="C45" s="204"/>
      <c r="D45" s="204"/>
      <c r="E45" s="282"/>
      <c r="F45" s="282"/>
      <c r="G45" s="586">
        <f t="shared" si="0"/>
        <v>0</v>
      </c>
      <c r="H45" s="796">
        <f t="shared" si="1"/>
        <v>0</v>
      </c>
      <c r="I45" s="796">
        <f t="shared" si="2"/>
        <v>0</v>
      </c>
      <c r="J45" s="796">
        <f t="shared" si="3"/>
        <v>0</v>
      </c>
      <c r="K45" s="204"/>
      <c r="L45" s="796">
        <f t="shared" si="4"/>
        <v>0</v>
      </c>
      <c r="M45" s="796">
        <f t="shared" si="5"/>
        <v>0</v>
      </c>
      <c r="N45" s="204"/>
      <c r="O45" s="796">
        <f t="shared" si="6"/>
        <v>0</v>
      </c>
    </row>
    <row r="46" spans="1:15" x14ac:dyDescent="0.2">
      <c r="A46" s="831">
        <v>1955</v>
      </c>
      <c r="B46" s="790" t="s">
        <v>318</v>
      </c>
      <c r="C46" s="204"/>
      <c r="D46" s="204"/>
      <c r="E46" s="282"/>
      <c r="F46" s="282"/>
      <c r="G46" s="586">
        <f t="shared" si="0"/>
        <v>0</v>
      </c>
      <c r="H46" s="796">
        <f t="shared" si="1"/>
        <v>0</v>
      </c>
      <c r="I46" s="796">
        <f t="shared" si="2"/>
        <v>0</v>
      </c>
      <c r="J46" s="796">
        <f t="shared" si="3"/>
        <v>0</v>
      </c>
      <c r="K46" s="204"/>
      <c r="L46" s="796">
        <f t="shared" si="4"/>
        <v>0</v>
      </c>
      <c r="M46" s="796">
        <f t="shared" si="5"/>
        <v>0</v>
      </c>
      <c r="N46" s="204"/>
      <c r="O46" s="796">
        <f t="shared" si="6"/>
        <v>0</v>
      </c>
    </row>
    <row r="47" spans="1:15" x14ac:dyDescent="0.2">
      <c r="A47" s="830">
        <v>1960</v>
      </c>
      <c r="B47" s="783" t="s">
        <v>319</v>
      </c>
      <c r="C47" s="204"/>
      <c r="D47" s="204"/>
      <c r="E47" s="282"/>
      <c r="F47" s="282"/>
      <c r="G47" s="586">
        <f t="shared" si="0"/>
        <v>0</v>
      </c>
      <c r="H47" s="796">
        <f t="shared" si="1"/>
        <v>0</v>
      </c>
      <c r="I47" s="796">
        <f t="shared" si="2"/>
        <v>0</v>
      </c>
      <c r="J47" s="796">
        <f t="shared" si="3"/>
        <v>0</v>
      </c>
      <c r="K47" s="204"/>
      <c r="L47" s="796">
        <f t="shared" si="4"/>
        <v>0</v>
      </c>
      <c r="M47" s="796">
        <f t="shared" si="5"/>
        <v>0</v>
      </c>
      <c r="N47" s="204"/>
      <c r="O47" s="796">
        <f t="shared" si="6"/>
        <v>0</v>
      </c>
    </row>
    <row r="48" spans="1:15" x14ac:dyDescent="0.2">
      <c r="A48" s="830">
        <v>1970</v>
      </c>
      <c r="B48" s="900" t="s">
        <v>929</v>
      </c>
      <c r="C48" s="204"/>
      <c r="D48" s="204"/>
      <c r="E48" s="282"/>
      <c r="F48" s="282"/>
      <c r="G48" s="586">
        <f t="shared" si="0"/>
        <v>0</v>
      </c>
      <c r="H48" s="796">
        <f t="shared" si="1"/>
        <v>0</v>
      </c>
      <c r="I48" s="796">
        <f t="shared" si="2"/>
        <v>0</v>
      </c>
      <c r="J48" s="796">
        <f t="shared" si="3"/>
        <v>0</v>
      </c>
      <c r="K48" s="204"/>
      <c r="L48" s="796">
        <f t="shared" si="4"/>
        <v>0</v>
      </c>
      <c r="M48" s="796">
        <f t="shared" si="5"/>
        <v>0</v>
      </c>
      <c r="N48" s="204"/>
      <c r="O48" s="796">
        <f t="shared" si="6"/>
        <v>0</v>
      </c>
    </row>
    <row r="49" spans="1:15" x14ac:dyDescent="0.2">
      <c r="A49" s="828">
        <v>1975</v>
      </c>
      <c r="B49" s="787" t="s">
        <v>409</v>
      </c>
      <c r="C49" s="204"/>
      <c r="D49" s="204"/>
      <c r="E49" s="282"/>
      <c r="F49" s="282"/>
      <c r="G49" s="586">
        <f t="shared" si="0"/>
        <v>0</v>
      </c>
      <c r="H49" s="796">
        <f t="shared" si="1"/>
        <v>0</v>
      </c>
      <c r="I49" s="796">
        <f t="shared" si="2"/>
        <v>0</v>
      </c>
      <c r="J49" s="796">
        <f t="shared" si="3"/>
        <v>0</v>
      </c>
      <c r="K49" s="204"/>
      <c r="L49" s="796">
        <f t="shared" si="4"/>
        <v>0</v>
      </c>
      <c r="M49" s="796">
        <f t="shared" si="5"/>
        <v>0</v>
      </c>
      <c r="N49" s="204"/>
      <c r="O49" s="796">
        <f t="shared" si="6"/>
        <v>0</v>
      </c>
    </row>
    <row r="50" spans="1:15" x14ac:dyDescent="0.2">
      <c r="A50" s="828">
        <v>1980</v>
      </c>
      <c r="B50" s="787" t="s">
        <v>410</v>
      </c>
      <c r="C50" s="204"/>
      <c r="D50" s="204"/>
      <c r="E50" s="282"/>
      <c r="F50" s="282"/>
      <c r="G50" s="586">
        <f t="shared" si="0"/>
        <v>0</v>
      </c>
      <c r="H50" s="796">
        <f t="shared" si="1"/>
        <v>0</v>
      </c>
      <c r="I50" s="796">
        <f t="shared" si="2"/>
        <v>0</v>
      </c>
      <c r="J50" s="796">
        <f t="shared" si="3"/>
        <v>0</v>
      </c>
      <c r="K50" s="204"/>
      <c r="L50" s="796">
        <f t="shared" si="4"/>
        <v>0</v>
      </c>
      <c r="M50" s="796">
        <f t="shared" si="5"/>
        <v>0</v>
      </c>
      <c r="N50" s="204"/>
      <c r="O50" s="796">
        <f t="shared" si="6"/>
        <v>0</v>
      </c>
    </row>
    <row r="51" spans="1:15" x14ac:dyDescent="0.2">
      <c r="A51" s="828">
        <v>1985</v>
      </c>
      <c r="B51" s="787" t="s">
        <v>411</v>
      </c>
      <c r="C51" s="204"/>
      <c r="D51" s="204"/>
      <c r="E51" s="282"/>
      <c r="F51" s="282"/>
      <c r="G51" s="586">
        <f t="shared" si="0"/>
        <v>0</v>
      </c>
      <c r="H51" s="796">
        <f t="shared" si="1"/>
        <v>0</v>
      </c>
      <c r="I51" s="796">
        <f t="shared" si="2"/>
        <v>0</v>
      </c>
      <c r="J51" s="796">
        <f t="shared" si="3"/>
        <v>0</v>
      </c>
      <c r="K51" s="204"/>
      <c r="L51" s="796">
        <f t="shared" si="4"/>
        <v>0</v>
      </c>
      <c r="M51" s="796">
        <f t="shared" si="5"/>
        <v>0</v>
      </c>
      <c r="N51" s="204"/>
      <c r="O51" s="796">
        <f t="shared" si="6"/>
        <v>0</v>
      </c>
    </row>
    <row r="52" spans="1:15" x14ac:dyDescent="0.2">
      <c r="A52" s="828">
        <v>1990</v>
      </c>
      <c r="B52" s="791" t="s">
        <v>774</v>
      </c>
      <c r="C52" s="204"/>
      <c r="D52" s="204"/>
      <c r="E52" s="282"/>
      <c r="F52" s="282"/>
      <c r="G52" s="586">
        <f t="shared" si="0"/>
        <v>0</v>
      </c>
      <c r="H52" s="796">
        <f t="shared" si="1"/>
        <v>0</v>
      </c>
      <c r="I52" s="796">
        <f t="shared" si="2"/>
        <v>0</v>
      </c>
      <c r="J52" s="796">
        <f t="shared" si="3"/>
        <v>0</v>
      </c>
      <c r="K52" s="204"/>
      <c r="L52" s="796">
        <f t="shared" si="4"/>
        <v>0</v>
      </c>
      <c r="M52" s="796">
        <f t="shared" si="5"/>
        <v>0</v>
      </c>
      <c r="N52" s="204"/>
      <c r="O52" s="796">
        <f t="shared" si="6"/>
        <v>0</v>
      </c>
    </row>
    <row r="53" spans="1:15" x14ac:dyDescent="0.2">
      <c r="A53" s="828">
        <v>1995</v>
      </c>
      <c r="B53" s="787" t="s">
        <v>412</v>
      </c>
      <c r="C53" s="204"/>
      <c r="D53" s="204"/>
      <c r="E53" s="282"/>
      <c r="F53" s="282"/>
      <c r="G53" s="586">
        <f t="shared" si="0"/>
        <v>0</v>
      </c>
      <c r="H53" s="796">
        <f t="shared" si="1"/>
        <v>0</v>
      </c>
      <c r="I53" s="796">
        <f t="shared" si="2"/>
        <v>0</v>
      </c>
      <c r="J53" s="796">
        <f t="shared" si="3"/>
        <v>0</v>
      </c>
      <c r="K53" s="204"/>
      <c r="L53" s="796">
        <f t="shared" si="4"/>
        <v>0</v>
      </c>
      <c r="M53" s="796">
        <f t="shared" si="5"/>
        <v>0</v>
      </c>
      <c r="N53" s="204"/>
      <c r="O53" s="796">
        <f t="shared" si="6"/>
        <v>0</v>
      </c>
    </row>
    <row r="54" spans="1:15" x14ac:dyDescent="0.2">
      <c r="A54" s="227" t="s">
        <v>13</v>
      </c>
      <c r="B54" s="228"/>
      <c r="C54" s="204"/>
      <c r="D54" s="204"/>
      <c r="E54" s="282"/>
      <c r="F54" s="282"/>
      <c r="G54" s="586">
        <f t="shared" si="0"/>
        <v>0</v>
      </c>
      <c r="H54" s="796">
        <f t="shared" si="1"/>
        <v>0</v>
      </c>
      <c r="I54" s="796">
        <f t="shared" si="2"/>
        <v>0</v>
      </c>
      <c r="J54" s="796">
        <f t="shared" si="3"/>
        <v>0</v>
      </c>
      <c r="K54" s="204"/>
      <c r="L54" s="796">
        <f t="shared" si="4"/>
        <v>0</v>
      </c>
      <c r="M54" s="796">
        <f t="shared" si="5"/>
        <v>0</v>
      </c>
      <c r="N54" s="204"/>
      <c r="O54" s="796">
        <f t="shared" si="6"/>
        <v>0</v>
      </c>
    </row>
    <row r="55" spans="1:15" ht="13.5" thickBot="1" x14ac:dyDescent="0.25">
      <c r="A55" s="229"/>
      <c r="B55" s="230"/>
      <c r="C55" s="204"/>
      <c r="D55" s="204"/>
      <c r="E55" s="289"/>
      <c r="F55" s="289"/>
      <c r="G55" s="587">
        <f t="shared" si="0"/>
        <v>0</v>
      </c>
      <c r="H55" s="796">
        <f t="shared" si="1"/>
        <v>0</v>
      </c>
      <c r="I55" s="796">
        <f t="shared" si="2"/>
        <v>0</v>
      </c>
      <c r="J55" s="796">
        <f t="shared" si="3"/>
        <v>0</v>
      </c>
      <c r="K55" s="204"/>
      <c r="L55" s="796">
        <f t="shared" si="4"/>
        <v>0</v>
      </c>
      <c r="M55" s="796">
        <f t="shared" si="5"/>
        <v>0</v>
      </c>
      <c r="N55" s="204"/>
      <c r="O55" s="796">
        <f t="shared" si="6"/>
        <v>0</v>
      </c>
    </row>
    <row r="56" spans="1:15" ht="14.25" thickTop="1" thickBot="1" x14ac:dyDescent="0.25">
      <c r="A56" s="231"/>
      <c r="B56" s="232" t="s">
        <v>413</v>
      </c>
      <c r="C56" s="796">
        <f>SUM(C16:C55)</f>
        <v>0</v>
      </c>
      <c r="D56" s="796">
        <f>SUM(D16:D55)</f>
        <v>0</v>
      </c>
      <c r="E56" s="235"/>
      <c r="F56" s="292"/>
      <c r="G56" s="596"/>
      <c r="H56" s="796">
        <f t="shared" ref="H56:O56" si="7">SUM(H16:H55)</f>
        <v>0</v>
      </c>
      <c r="I56" s="796">
        <f t="shared" si="7"/>
        <v>0</v>
      </c>
      <c r="J56" s="796">
        <f t="shared" si="7"/>
        <v>0</v>
      </c>
      <c r="K56" s="796">
        <f t="shared" si="7"/>
        <v>0</v>
      </c>
      <c r="L56" s="796">
        <f t="shared" si="7"/>
        <v>0</v>
      </c>
      <c r="M56" s="796">
        <f t="shared" si="7"/>
        <v>0</v>
      </c>
      <c r="N56" s="796">
        <f>SUM(N16:N55)</f>
        <v>0</v>
      </c>
      <c r="O56" s="796">
        <f t="shared" si="7"/>
        <v>0</v>
      </c>
    </row>
    <row r="57" spans="1:15" x14ac:dyDescent="0.2">
      <c r="K57" s="597"/>
    </row>
    <row r="58" spans="1:15" x14ac:dyDescent="0.2">
      <c r="A58" s="217" t="s">
        <v>15</v>
      </c>
    </row>
    <row r="60" spans="1:15" x14ac:dyDescent="0.2">
      <c r="A60" s="284">
        <v>1</v>
      </c>
      <c r="B60" s="1857" t="s">
        <v>607</v>
      </c>
      <c r="C60" s="1857"/>
      <c r="D60" s="1857"/>
      <c r="E60" s="1857"/>
      <c r="F60" s="1857"/>
      <c r="G60" s="1857"/>
      <c r="H60" s="1857"/>
      <c r="I60" s="1857"/>
      <c r="J60" s="1857"/>
      <c r="K60" s="1857"/>
      <c r="L60" s="1857"/>
      <c r="M60" s="1857"/>
      <c r="N60" s="1857"/>
      <c r="O60" s="1857"/>
    </row>
    <row r="61" spans="1:15" x14ac:dyDescent="0.2">
      <c r="A61" s="284">
        <v>2</v>
      </c>
      <c r="B61" s="1887" t="s">
        <v>1934</v>
      </c>
      <c r="C61" s="1887"/>
      <c r="D61" s="1887"/>
      <c r="E61" s="1887"/>
      <c r="F61" s="1887"/>
      <c r="G61" s="1887"/>
      <c r="H61" s="1887"/>
      <c r="I61" s="1887"/>
      <c r="J61" s="1887"/>
      <c r="K61" s="1887"/>
      <c r="L61" s="1887"/>
      <c r="M61" s="1887"/>
      <c r="N61" s="1887"/>
      <c r="O61" s="1887"/>
    </row>
    <row r="62" spans="1:15" ht="41.25" customHeight="1" x14ac:dyDescent="0.2">
      <c r="A62" s="284">
        <v>3</v>
      </c>
      <c r="B62" s="1790" t="s">
        <v>932</v>
      </c>
      <c r="C62" s="1790"/>
      <c r="D62" s="1790"/>
      <c r="E62" s="1790"/>
      <c r="F62" s="1790"/>
      <c r="G62" s="1790"/>
      <c r="H62" s="1790"/>
      <c r="I62" s="1790"/>
      <c r="J62" s="1790"/>
      <c r="K62" s="1790"/>
      <c r="L62" s="1790"/>
      <c r="M62" s="1790"/>
      <c r="N62" s="1790"/>
      <c r="O62" s="1790"/>
    </row>
    <row r="63" spans="1:15" ht="55.5" customHeight="1" x14ac:dyDescent="0.2">
      <c r="A63" s="284">
        <v>4</v>
      </c>
      <c r="B63" s="1790" t="s">
        <v>939</v>
      </c>
      <c r="C63" s="1790"/>
      <c r="D63" s="1790"/>
      <c r="E63" s="1790"/>
      <c r="F63" s="1790"/>
      <c r="G63" s="1790"/>
      <c r="H63" s="1790"/>
      <c r="I63" s="1790"/>
      <c r="J63" s="1790"/>
      <c r="K63" s="1790"/>
      <c r="L63" s="1790"/>
      <c r="M63" s="1790"/>
      <c r="N63" s="1790"/>
      <c r="O63" s="1790"/>
    </row>
    <row r="64" spans="1:15" ht="12.75" customHeight="1" x14ac:dyDescent="0.2">
      <c r="A64" s="284">
        <v>5</v>
      </c>
      <c r="B64" s="1857" t="s">
        <v>606</v>
      </c>
      <c r="C64" s="1857"/>
      <c r="D64" s="1857"/>
      <c r="E64" s="1857"/>
      <c r="F64" s="1857"/>
      <c r="G64" s="1857"/>
      <c r="H64" s="1857"/>
      <c r="I64" s="1857"/>
      <c r="J64" s="1857"/>
      <c r="K64" s="1857"/>
      <c r="L64" s="1857"/>
      <c r="M64" s="1857"/>
      <c r="N64" s="1857"/>
      <c r="O64" s="1857"/>
    </row>
    <row r="65" spans="1:15" ht="12.75" customHeight="1" x14ac:dyDescent="0.2">
      <c r="A65" s="286">
        <v>6</v>
      </c>
      <c r="B65" s="1790" t="s">
        <v>718</v>
      </c>
      <c r="C65" s="1790"/>
      <c r="D65" s="1790"/>
      <c r="E65" s="1790"/>
      <c r="F65" s="1790"/>
      <c r="G65" s="1790"/>
      <c r="H65" s="1790"/>
      <c r="I65" s="1790"/>
      <c r="J65" s="1790"/>
      <c r="K65" s="1790"/>
      <c r="L65" s="1790"/>
      <c r="M65" s="1790"/>
      <c r="N65" s="1790"/>
      <c r="O65" s="1790"/>
    </row>
    <row r="67" spans="1:15" x14ac:dyDescent="0.2">
      <c r="A67" s="217" t="s">
        <v>325</v>
      </c>
      <c r="B67" s="1886" t="s">
        <v>270</v>
      </c>
      <c r="C67" s="1886"/>
      <c r="D67" s="1886"/>
      <c r="E67" s="1886"/>
      <c r="F67" s="1886"/>
      <c r="G67" s="1886"/>
      <c r="H67" s="1886"/>
      <c r="I67" s="1886"/>
      <c r="J67" s="1886"/>
      <c r="K67" s="1886"/>
      <c r="L67" s="1886"/>
    </row>
    <row r="68" spans="1:15" x14ac:dyDescent="0.2">
      <c r="B68" s="1886"/>
      <c r="C68" s="1886"/>
      <c r="D68" s="1886"/>
      <c r="E68" s="1886"/>
      <c r="F68" s="1886"/>
      <c r="G68" s="1886"/>
      <c r="H68" s="1886"/>
      <c r="I68" s="1886"/>
      <c r="J68" s="1886"/>
      <c r="K68" s="1886"/>
      <c r="L68" s="1886"/>
    </row>
    <row r="69" spans="1:15" x14ac:dyDescent="0.2">
      <c r="B69" s="1886"/>
      <c r="C69" s="1886"/>
      <c r="D69" s="1886"/>
      <c r="E69" s="1886"/>
      <c r="F69" s="1886"/>
      <c r="G69" s="1886"/>
      <c r="H69" s="1886"/>
      <c r="I69" s="1886"/>
      <c r="J69" s="1886"/>
      <c r="K69" s="1886"/>
      <c r="L69" s="1886"/>
    </row>
    <row r="77" spans="1:15" x14ac:dyDescent="0.2">
      <c r="B77" s="236"/>
      <c r="C77" s="236"/>
      <c r="D77" s="236"/>
      <c r="E77" s="236"/>
      <c r="F77" s="236"/>
      <c r="G77" s="236"/>
      <c r="H77" s="236"/>
      <c r="I77" s="236"/>
      <c r="J77" s="236"/>
      <c r="K77" s="236"/>
      <c r="L77" s="236"/>
    </row>
    <row r="78" spans="1:15" x14ac:dyDescent="0.2">
      <c r="A78" s="236"/>
      <c r="B78" s="236"/>
      <c r="C78" s="236"/>
      <c r="D78" s="236"/>
      <c r="E78" s="236"/>
      <c r="F78" s="236"/>
      <c r="G78" s="236"/>
      <c r="H78" s="236"/>
      <c r="I78" s="236"/>
      <c r="J78" s="236"/>
      <c r="K78" s="236"/>
      <c r="L78" s="236"/>
    </row>
    <row r="80" spans="1:15" x14ac:dyDescent="0.2">
      <c r="L80" s="236"/>
    </row>
    <row r="81" spans="1:12" ht="12.75" customHeight="1" x14ac:dyDescent="0.2">
      <c r="L81" s="236"/>
    </row>
    <row r="82" spans="1:12" x14ac:dyDescent="0.2">
      <c r="L82" s="236"/>
    </row>
    <row r="83" spans="1:12" x14ac:dyDescent="0.2">
      <c r="L83" s="236"/>
    </row>
    <row r="84" spans="1:12" x14ac:dyDescent="0.2">
      <c r="A84" s="684"/>
      <c r="B84" s="684"/>
      <c r="C84" s="684"/>
      <c r="D84" s="684"/>
      <c r="E84" s="684"/>
      <c r="F84" s="684"/>
      <c r="G84" s="684"/>
      <c r="H84" s="236"/>
      <c r="I84" s="236"/>
      <c r="J84" s="236"/>
      <c r="K84" s="236"/>
      <c r="L84" s="236"/>
    </row>
    <row r="85" spans="1:12" x14ac:dyDescent="0.2">
      <c r="A85" s="684"/>
      <c r="B85" s="684"/>
      <c r="C85" s="684"/>
      <c r="D85" s="684"/>
      <c r="E85" s="684"/>
      <c r="F85" s="684"/>
      <c r="G85" s="684"/>
      <c r="H85" s="236"/>
      <c r="I85" s="236"/>
      <c r="J85" s="236"/>
      <c r="K85" s="236"/>
      <c r="L85" s="236"/>
    </row>
    <row r="86" spans="1:12" x14ac:dyDescent="0.2">
      <c r="L86" s="236"/>
    </row>
    <row r="87" spans="1:12" x14ac:dyDescent="0.2">
      <c r="H87" s="687"/>
      <c r="I87" s="687"/>
      <c r="J87" s="687"/>
      <c r="K87" s="687"/>
      <c r="L87" s="236"/>
    </row>
    <row r="88" spans="1:12" ht="14.25" x14ac:dyDescent="0.2">
      <c r="A88" s="238"/>
      <c r="B88" s="689"/>
      <c r="C88" s="689"/>
      <c r="D88" s="689"/>
      <c r="E88" s="689"/>
      <c r="F88" s="689"/>
      <c r="G88" s="687"/>
      <c r="H88" s="687"/>
      <c r="I88" s="687"/>
      <c r="J88" s="687"/>
      <c r="K88" s="687"/>
      <c r="L88" s="236"/>
    </row>
    <row r="89" spans="1:12" ht="14.25" x14ac:dyDescent="0.2">
      <c r="A89" s="238"/>
      <c r="B89" s="689"/>
      <c r="C89" s="689"/>
      <c r="D89" s="689"/>
      <c r="E89" s="689"/>
      <c r="F89" s="689"/>
      <c r="G89" s="687"/>
      <c r="H89" s="687"/>
      <c r="I89" s="687"/>
      <c r="J89" s="687"/>
      <c r="K89" s="687"/>
      <c r="L89" s="236"/>
    </row>
    <row r="91" spans="1:12" x14ac:dyDescent="0.2">
      <c r="A91" s="236"/>
    </row>
    <row r="92" spans="1:12" x14ac:dyDescent="0.2">
      <c r="A92" s="236"/>
    </row>
  </sheetData>
  <mergeCells count="14">
    <mergeCell ref="A9:O9"/>
    <mergeCell ref="A10:O10"/>
    <mergeCell ref="A14:A15"/>
    <mergeCell ref="B14:B15"/>
    <mergeCell ref="K14:K15"/>
    <mergeCell ref="N14:N15"/>
    <mergeCell ref="A11:O11"/>
    <mergeCell ref="B67:L69"/>
    <mergeCell ref="B60:O60"/>
    <mergeCell ref="B61:O61"/>
    <mergeCell ref="B62:O62"/>
    <mergeCell ref="B63:O63"/>
    <mergeCell ref="B64:O64"/>
    <mergeCell ref="B65:O65"/>
  </mergeCells>
  <dataValidations count="1">
    <dataValidation allowBlank="1" showInputMessage="1" showErrorMessage="1" promptTitle="Date Format" prompt="E.g:  &quot;August 1, 2011&quot;" sqref="WVU983049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L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L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L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L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L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L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L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L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L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L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L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L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L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L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L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dataValidations>
  <printOptions horizontalCentered="1"/>
  <pageMargins left="0.74803149606299213" right="0.74803149606299213" top="0.70866141732283472" bottom="0.39370078740157483" header="0.39370078740157483" footer="0.27559055118110237"/>
  <pageSetup scale="5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L77"/>
  <sheetViews>
    <sheetView showGridLines="0" zoomScaleNormal="100" workbookViewId="0">
      <selection activeCell="I2" sqref="I2"/>
    </sheetView>
  </sheetViews>
  <sheetFormatPr defaultRowHeight="12.75" x14ac:dyDescent="0.2"/>
  <cols>
    <col min="1" max="1" width="9.140625" style="216"/>
    <col min="2" max="2" width="40.28515625" style="216" bestFit="1" customWidth="1"/>
    <col min="3" max="3" width="10" style="216" customWidth="1"/>
    <col min="4" max="4" width="10.140625" style="216" customWidth="1"/>
    <col min="5" max="5" width="12.28515625" style="216" customWidth="1"/>
    <col min="6" max="7" width="15.7109375" style="216" customWidth="1"/>
    <col min="8" max="8" width="12.7109375" style="216" customWidth="1"/>
    <col min="9" max="9" width="12.85546875" style="216" customWidth="1"/>
    <col min="10" max="10" width="14.42578125" style="216" customWidth="1"/>
    <col min="11" max="255" width="9.140625" style="216"/>
    <col min="256" max="256" width="2.7109375" style="216" customWidth="1"/>
    <col min="257" max="257" width="9.140625" style="216"/>
    <col min="258" max="258" width="40.28515625" style="216" bestFit="1" customWidth="1"/>
    <col min="259" max="259" width="10" style="216" customWidth="1"/>
    <col min="260" max="260" width="10.140625" style="216" customWidth="1"/>
    <col min="261" max="261" width="12.28515625" style="216" customWidth="1"/>
    <col min="262" max="262" width="15.7109375" style="216" customWidth="1"/>
    <col min="263" max="263" width="12.85546875" style="216" customWidth="1"/>
    <col min="264" max="264" width="12.7109375" style="216" customWidth="1"/>
    <col min="265" max="265" width="12.85546875" style="216" customWidth="1"/>
    <col min="266" max="266" width="14.42578125" style="216" customWidth="1"/>
    <col min="267" max="511" width="9.140625" style="216"/>
    <col min="512" max="512" width="2.7109375" style="216" customWidth="1"/>
    <col min="513" max="513" width="9.140625" style="216"/>
    <col min="514" max="514" width="40.28515625" style="216" bestFit="1" customWidth="1"/>
    <col min="515" max="515" width="10" style="216" customWidth="1"/>
    <col min="516" max="516" width="10.140625" style="216" customWidth="1"/>
    <col min="517" max="517" width="12.28515625" style="216" customWidth="1"/>
    <col min="518" max="518" width="15.7109375" style="216" customWidth="1"/>
    <col min="519" max="519" width="12.85546875" style="216" customWidth="1"/>
    <col min="520" max="520" width="12.7109375" style="216" customWidth="1"/>
    <col min="521" max="521" width="12.85546875" style="216" customWidth="1"/>
    <col min="522" max="522" width="14.42578125" style="216" customWidth="1"/>
    <col min="523" max="767" width="9.140625" style="216"/>
    <col min="768" max="768" width="2.7109375" style="216" customWidth="1"/>
    <col min="769" max="769" width="9.140625" style="216"/>
    <col min="770" max="770" width="40.28515625" style="216" bestFit="1" customWidth="1"/>
    <col min="771" max="771" width="10" style="216" customWidth="1"/>
    <col min="772" max="772" width="10.140625" style="216" customWidth="1"/>
    <col min="773" max="773" width="12.28515625" style="216" customWidth="1"/>
    <col min="774" max="774" width="15.7109375" style="216" customWidth="1"/>
    <col min="775" max="775" width="12.85546875" style="216" customWidth="1"/>
    <col min="776" max="776" width="12.7109375" style="216" customWidth="1"/>
    <col min="777" max="777" width="12.85546875" style="216" customWidth="1"/>
    <col min="778" max="778" width="14.42578125" style="216" customWidth="1"/>
    <col min="779" max="1023" width="9.140625" style="216"/>
    <col min="1024" max="1024" width="2.7109375" style="216" customWidth="1"/>
    <col min="1025" max="1025" width="9.140625" style="216"/>
    <col min="1026" max="1026" width="40.28515625" style="216" bestFit="1" customWidth="1"/>
    <col min="1027" max="1027" width="10" style="216" customWidth="1"/>
    <col min="1028" max="1028" width="10.140625" style="216" customWidth="1"/>
    <col min="1029" max="1029" width="12.28515625" style="216" customWidth="1"/>
    <col min="1030" max="1030" width="15.7109375" style="216" customWidth="1"/>
    <col min="1031" max="1031" width="12.85546875" style="216" customWidth="1"/>
    <col min="1032" max="1032" width="12.7109375" style="216" customWidth="1"/>
    <col min="1033" max="1033" width="12.85546875" style="216" customWidth="1"/>
    <col min="1034" max="1034" width="14.42578125" style="216" customWidth="1"/>
    <col min="1035" max="1279" width="9.140625" style="216"/>
    <col min="1280" max="1280" width="2.7109375" style="216" customWidth="1"/>
    <col min="1281" max="1281" width="9.140625" style="216"/>
    <col min="1282" max="1282" width="40.28515625" style="216" bestFit="1" customWidth="1"/>
    <col min="1283" max="1283" width="10" style="216" customWidth="1"/>
    <col min="1284" max="1284" width="10.140625" style="216" customWidth="1"/>
    <col min="1285" max="1285" width="12.28515625" style="216" customWidth="1"/>
    <col min="1286" max="1286" width="15.7109375" style="216" customWidth="1"/>
    <col min="1287" max="1287" width="12.85546875" style="216" customWidth="1"/>
    <col min="1288" max="1288" width="12.7109375" style="216" customWidth="1"/>
    <col min="1289" max="1289" width="12.85546875" style="216" customWidth="1"/>
    <col min="1290" max="1290" width="14.42578125" style="216" customWidth="1"/>
    <col min="1291" max="1535" width="9.140625" style="216"/>
    <col min="1536" max="1536" width="2.7109375" style="216" customWidth="1"/>
    <col min="1537" max="1537" width="9.140625" style="216"/>
    <col min="1538" max="1538" width="40.28515625" style="216" bestFit="1" customWidth="1"/>
    <col min="1539" max="1539" width="10" style="216" customWidth="1"/>
    <col min="1540" max="1540" width="10.140625" style="216" customWidth="1"/>
    <col min="1541" max="1541" width="12.28515625" style="216" customWidth="1"/>
    <col min="1542" max="1542" width="15.7109375" style="216" customWidth="1"/>
    <col min="1543" max="1543" width="12.85546875" style="216" customWidth="1"/>
    <col min="1544" max="1544" width="12.7109375" style="216" customWidth="1"/>
    <col min="1545" max="1545" width="12.85546875" style="216" customWidth="1"/>
    <col min="1546" max="1546" width="14.42578125" style="216" customWidth="1"/>
    <col min="1547" max="1791" width="9.140625" style="216"/>
    <col min="1792" max="1792" width="2.7109375" style="216" customWidth="1"/>
    <col min="1793" max="1793" width="9.140625" style="216"/>
    <col min="1794" max="1794" width="40.28515625" style="216" bestFit="1" customWidth="1"/>
    <col min="1795" max="1795" width="10" style="216" customWidth="1"/>
    <col min="1796" max="1796" width="10.140625" style="216" customWidth="1"/>
    <col min="1797" max="1797" width="12.28515625" style="216" customWidth="1"/>
    <col min="1798" max="1798" width="15.7109375" style="216" customWidth="1"/>
    <col min="1799" max="1799" width="12.85546875" style="216" customWidth="1"/>
    <col min="1800" max="1800" width="12.7109375" style="216" customWidth="1"/>
    <col min="1801" max="1801" width="12.85546875" style="216" customWidth="1"/>
    <col min="1802" max="1802" width="14.42578125" style="216" customWidth="1"/>
    <col min="1803" max="2047" width="9.140625" style="216"/>
    <col min="2048" max="2048" width="2.7109375" style="216" customWidth="1"/>
    <col min="2049" max="2049" width="9.140625" style="216"/>
    <col min="2050" max="2050" width="40.28515625" style="216" bestFit="1" customWidth="1"/>
    <col min="2051" max="2051" width="10" style="216" customWidth="1"/>
    <col min="2052" max="2052" width="10.140625" style="216" customWidth="1"/>
    <col min="2053" max="2053" width="12.28515625" style="216" customWidth="1"/>
    <col min="2054" max="2054" width="15.7109375" style="216" customWidth="1"/>
    <col min="2055" max="2055" width="12.85546875" style="216" customWidth="1"/>
    <col min="2056" max="2056" width="12.7109375" style="216" customWidth="1"/>
    <col min="2057" max="2057" width="12.85546875" style="216" customWidth="1"/>
    <col min="2058" max="2058" width="14.42578125" style="216" customWidth="1"/>
    <col min="2059" max="2303" width="9.140625" style="216"/>
    <col min="2304" max="2304" width="2.7109375" style="216" customWidth="1"/>
    <col min="2305" max="2305" width="9.140625" style="216"/>
    <col min="2306" max="2306" width="40.28515625" style="216" bestFit="1" customWidth="1"/>
    <col min="2307" max="2307" width="10" style="216" customWidth="1"/>
    <col min="2308" max="2308" width="10.140625" style="216" customWidth="1"/>
    <col min="2309" max="2309" width="12.28515625" style="216" customWidth="1"/>
    <col min="2310" max="2310" width="15.7109375" style="216" customWidth="1"/>
    <col min="2311" max="2311" width="12.85546875" style="216" customWidth="1"/>
    <col min="2312" max="2312" width="12.7109375" style="216" customWidth="1"/>
    <col min="2313" max="2313" width="12.85546875" style="216" customWidth="1"/>
    <col min="2314" max="2314" width="14.42578125" style="216" customWidth="1"/>
    <col min="2315" max="2559" width="9.140625" style="216"/>
    <col min="2560" max="2560" width="2.7109375" style="216" customWidth="1"/>
    <col min="2561" max="2561" width="9.140625" style="216"/>
    <col min="2562" max="2562" width="40.28515625" style="216" bestFit="1" customWidth="1"/>
    <col min="2563" max="2563" width="10" style="216" customWidth="1"/>
    <col min="2564" max="2564" width="10.140625" style="216" customWidth="1"/>
    <col min="2565" max="2565" width="12.28515625" style="216" customWidth="1"/>
    <col min="2566" max="2566" width="15.7109375" style="216" customWidth="1"/>
    <col min="2567" max="2567" width="12.85546875" style="216" customWidth="1"/>
    <col min="2568" max="2568" width="12.7109375" style="216" customWidth="1"/>
    <col min="2569" max="2569" width="12.85546875" style="216" customWidth="1"/>
    <col min="2570" max="2570" width="14.42578125" style="216" customWidth="1"/>
    <col min="2571" max="2815" width="9.140625" style="216"/>
    <col min="2816" max="2816" width="2.7109375" style="216" customWidth="1"/>
    <col min="2817" max="2817" width="9.140625" style="216"/>
    <col min="2818" max="2818" width="40.28515625" style="216" bestFit="1" customWidth="1"/>
    <col min="2819" max="2819" width="10" style="216" customWidth="1"/>
    <col min="2820" max="2820" width="10.140625" style="216" customWidth="1"/>
    <col min="2821" max="2821" width="12.28515625" style="216" customWidth="1"/>
    <col min="2822" max="2822" width="15.7109375" style="216" customWidth="1"/>
    <col min="2823" max="2823" width="12.85546875" style="216" customWidth="1"/>
    <col min="2824" max="2824" width="12.7109375" style="216" customWidth="1"/>
    <col min="2825" max="2825" width="12.85546875" style="216" customWidth="1"/>
    <col min="2826" max="2826" width="14.42578125" style="216" customWidth="1"/>
    <col min="2827" max="3071" width="9.140625" style="216"/>
    <col min="3072" max="3072" width="2.7109375" style="216" customWidth="1"/>
    <col min="3073" max="3073" width="9.140625" style="216"/>
    <col min="3074" max="3074" width="40.28515625" style="216" bestFit="1" customWidth="1"/>
    <col min="3075" max="3075" width="10" style="216" customWidth="1"/>
    <col min="3076" max="3076" width="10.140625" style="216" customWidth="1"/>
    <col min="3077" max="3077" width="12.28515625" style="216" customWidth="1"/>
    <col min="3078" max="3078" width="15.7109375" style="216" customWidth="1"/>
    <col min="3079" max="3079" width="12.85546875" style="216" customWidth="1"/>
    <col min="3080" max="3080" width="12.7109375" style="216" customWidth="1"/>
    <col min="3081" max="3081" width="12.85546875" style="216" customWidth="1"/>
    <col min="3082" max="3082" width="14.42578125" style="216" customWidth="1"/>
    <col min="3083" max="3327" width="9.140625" style="216"/>
    <col min="3328" max="3328" width="2.7109375" style="216" customWidth="1"/>
    <col min="3329" max="3329" width="9.140625" style="216"/>
    <col min="3330" max="3330" width="40.28515625" style="216" bestFit="1" customWidth="1"/>
    <col min="3331" max="3331" width="10" style="216" customWidth="1"/>
    <col min="3332" max="3332" width="10.140625" style="216" customWidth="1"/>
    <col min="3333" max="3333" width="12.28515625" style="216" customWidth="1"/>
    <col min="3334" max="3334" width="15.7109375" style="216" customWidth="1"/>
    <col min="3335" max="3335" width="12.85546875" style="216" customWidth="1"/>
    <col min="3336" max="3336" width="12.7109375" style="216" customWidth="1"/>
    <col min="3337" max="3337" width="12.85546875" style="216" customWidth="1"/>
    <col min="3338" max="3338" width="14.42578125" style="216" customWidth="1"/>
    <col min="3339" max="3583" width="9.140625" style="216"/>
    <col min="3584" max="3584" width="2.7109375" style="216" customWidth="1"/>
    <col min="3585" max="3585" width="9.140625" style="216"/>
    <col min="3586" max="3586" width="40.28515625" style="216" bestFit="1" customWidth="1"/>
    <col min="3587" max="3587" width="10" style="216" customWidth="1"/>
    <col min="3588" max="3588" width="10.140625" style="216" customWidth="1"/>
    <col min="3589" max="3589" width="12.28515625" style="216" customWidth="1"/>
    <col min="3590" max="3590" width="15.7109375" style="216" customWidth="1"/>
    <col min="3591" max="3591" width="12.85546875" style="216" customWidth="1"/>
    <col min="3592" max="3592" width="12.7109375" style="216" customWidth="1"/>
    <col min="3593" max="3593" width="12.85546875" style="216" customWidth="1"/>
    <col min="3594" max="3594" width="14.42578125" style="216" customWidth="1"/>
    <col min="3595" max="3839" width="9.140625" style="216"/>
    <col min="3840" max="3840" width="2.7109375" style="216" customWidth="1"/>
    <col min="3841" max="3841" width="9.140625" style="216"/>
    <col min="3842" max="3842" width="40.28515625" style="216" bestFit="1" customWidth="1"/>
    <col min="3843" max="3843" width="10" style="216" customWidth="1"/>
    <col min="3844" max="3844" width="10.140625" style="216" customWidth="1"/>
    <col min="3845" max="3845" width="12.28515625" style="216" customWidth="1"/>
    <col min="3846" max="3846" width="15.7109375" style="216" customWidth="1"/>
    <col min="3847" max="3847" width="12.85546875" style="216" customWidth="1"/>
    <col min="3848" max="3848" width="12.7109375" style="216" customWidth="1"/>
    <col min="3849" max="3849" width="12.85546875" style="216" customWidth="1"/>
    <col min="3850" max="3850" width="14.42578125" style="216" customWidth="1"/>
    <col min="3851" max="4095" width="9.140625" style="216"/>
    <col min="4096" max="4096" width="2.7109375" style="216" customWidth="1"/>
    <col min="4097" max="4097" width="9.140625" style="216"/>
    <col min="4098" max="4098" width="40.28515625" style="216" bestFit="1" customWidth="1"/>
    <col min="4099" max="4099" width="10" style="216" customWidth="1"/>
    <col min="4100" max="4100" width="10.140625" style="216" customWidth="1"/>
    <col min="4101" max="4101" width="12.28515625" style="216" customWidth="1"/>
    <col min="4102" max="4102" width="15.7109375" style="216" customWidth="1"/>
    <col min="4103" max="4103" width="12.85546875" style="216" customWidth="1"/>
    <col min="4104" max="4104" width="12.7109375" style="216" customWidth="1"/>
    <col min="4105" max="4105" width="12.85546875" style="216" customWidth="1"/>
    <col min="4106" max="4106" width="14.42578125" style="216" customWidth="1"/>
    <col min="4107" max="4351" width="9.140625" style="216"/>
    <col min="4352" max="4352" width="2.7109375" style="216" customWidth="1"/>
    <col min="4353" max="4353" width="9.140625" style="216"/>
    <col min="4354" max="4354" width="40.28515625" style="216" bestFit="1" customWidth="1"/>
    <col min="4355" max="4355" width="10" style="216" customWidth="1"/>
    <col min="4356" max="4356" width="10.140625" style="216" customWidth="1"/>
    <col min="4357" max="4357" width="12.28515625" style="216" customWidth="1"/>
    <col min="4358" max="4358" width="15.7109375" style="216" customWidth="1"/>
    <col min="4359" max="4359" width="12.85546875" style="216" customWidth="1"/>
    <col min="4360" max="4360" width="12.7109375" style="216" customWidth="1"/>
    <col min="4361" max="4361" width="12.85546875" style="216" customWidth="1"/>
    <col min="4362" max="4362" width="14.42578125" style="216" customWidth="1"/>
    <col min="4363" max="4607" width="9.140625" style="216"/>
    <col min="4608" max="4608" width="2.7109375" style="216" customWidth="1"/>
    <col min="4609" max="4609" width="9.140625" style="216"/>
    <col min="4610" max="4610" width="40.28515625" style="216" bestFit="1" customWidth="1"/>
    <col min="4611" max="4611" width="10" style="216" customWidth="1"/>
    <col min="4612" max="4612" width="10.140625" style="216" customWidth="1"/>
    <col min="4613" max="4613" width="12.28515625" style="216" customWidth="1"/>
    <col min="4614" max="4614" width="15.7109375" style="216" customWidth="1"/>
    <col min="4615" max="4615" width="12.85546875" style="216" customWidth="1"/>
    <col min="4616" max="4616" width="12.7109375" style="216" customWidth="1"/>
    <col min="4617" max="4617" width="12.85546875" style="216" customWidth="1"/>
    <col min="4618" max="4618" width="14.42578125" style="216" customWidth="1"/>
    <col min="4619" max="4863" width="9.140625" style="216"/>
    <col min="4864" max="4864" width="2.7109375" style="216" customWidth="1"/>
    <col min="4865" max="4865" width="9.140625" style="216"/>
    <col min="4866" max="4866" width="40.28515625" style="216" bestFit="1" customWidth="1"/>
    <col min="4867" max="4867" width="10" style="216" customWidth="1"/>
    <col min="4868" max="4868" width="10.140625" style="216" customWidth="1"/>
    <col min="4869" max="4869" width="12.28515625" style="216" customWidth="1"/>
    <col min="4870" max="4870" width="15.7109375" style="216" customWidth="1"/>
    <col min="4871" max="4871" width="12.85546875" style="216" customWidth="1"/>
    <col min="4872" max="4872" width="12.7109375" style="216" customWidth="1"/>
    <col min="4873" max="4873" width="12.85546875" style="216" customWidth="1"/>
    <col min="4874" max="4874" width="14.42578125" style="216" customWidth="1"/>
    <col min="4875" max="5119" width="9.140625" style="216"/>
    <col min="5120" max="5120" width="2.7109375" style="216" customWidth="1"/>
    <col min="5121" max="5121" width="9.140625" style="216"/>
    <col min="5122" max="5122" width="40.28515625" style="216" bestFit="1" customWidth="1"/>
    <col min="5123" max="5123" width="10" style="216" customWidth="1"/>
    <col min="5124" max="5124" width="10.140625" style="216" customWidth="1"/>
    <col min="5125" max="5125" width="12.28515625" style="216" customWidth="1"/>
    <col min="5126" max="5126" width="15.7109375" style="216" customWidth="1"/>
    <col min="5127" max="5127" width="12.85546875" style="216" customWidth="1"/>
    <col min="5128" max="5128" width="12.7109375" style="216" customWidth="1"/>
    <col min="5129" max="5129" width="12.85546875" style="216" customWidth="1"/>
    <col min="5130" max="5130" width="14.42578125" style="216" customWidth="1"/>
    <col min="5131" max="5375" width="9.140625" style="216"/>
    <col min="5376" max="5376" width="2.7109375" style="216" customWidth="1"/>
    <col min="5377" max="5377" width="9.140625" style="216"/>
    <col min="5378" max="5378" width="40.28515625" style="216" bestFit="1" customWidth="1"/>
    <col min="5379" max="5379" width="10" style="216" customWidth="1"/>
    <col min="5380" max="5380" width="10.140625" style="216" customWidth="1"/>
    <col min="5381" max="5381" width="12.28515625" style="216" customWidth="1"/>
    <col min="5382" max="5382" width="15.7109375" style="216" customWidth="1"/>
    <col min="5383" max="5383" width="12.85546875" style="216" customWidth="1"/>
    <col min="5384" max="5384" width="12.7109375" style="216" customWidth="1"/>
    <col min="5385" max="5385" width="12.85546875" style="216" customWidth="1"/>
    <col min="5386" max="5386" width="14.42578125" style="216" customWidth="1"/>
    <col min="5387" max="5631" width="9.140625" style="216"/>
    <col min="5632" max="5632" width="2.7109375" style="216" customWidth="1"/>
    <col min="5633" max="5633" width="9.140625" style="216"/>
    <col min="5634" max="5634" width="40.28515625" style="216" bestFit="1" customWidth="1"/>
    <col min="5635" max="5635" width="10" style="216" customWidth="1"/>
    <col min="5636" max="5636" width="10.140625" style="216" customWidth="1"/>
    <col min="5637" max="5637" width="12.28515625" style="216" customWidth="1"/>
    <col min="5638" max="5638" width="15.7109375" style="216" customWidth="1"/>
    <col min="5639" max="5639" width="12.85546875" style="216" customWidth="1"/>
    <col min="5640" max="5640" width="12.7109375" style="216" customWidth="1"/>
    <col min="5641" max="5641" width="12.85546875" style="216" customWidth="1"/>
    <col min="5642" max="5642" width="14.42578125" style="216" customWidth="1"/>
    <col min="5643" max="5887" width="9.140625" style="216"/>
    <col min="5888" max="5888" width="2.7109375" style="216" customWidth="1"/>
    <col min="5889" max="5889" width="9.140625" style="216"/>
    <col min="5890" max="5890" width="40.28515625" style="216" bestFit="1" customWidth="1"/>
    <col min="5891" max="5891" width="10" style="216" customWidth="1"/>
    <col min="5892" max="5892" width="10.140625" style="216" customWidth="1"/>
    <col min="5893" max="5893" width="12.28515625" style="216" customWidth="1"/>
    <col min="5894" max="5894" width="15.7109375" style="216" customWidth="1"/>
    <col min="5895" max="5895" width="12.85546875" style="216" customWidth="1"/>
    <col min="5896" max="5896" width="12.7109375" style="216" customWidth="1"/>
    <col min="5897" max="5897" width="12.85546875" style="216" customWidth="1"/>
    <col min="5898" max="5898" width="14.42578125" style="216" customWidth="1"/>
    <col min="5899" max="6143" width="9.140625" style="216"/>
    <col min="6144" max="6144" width="2.7109375" style="216" customWidth="1"/>
    <col min="6145" max="6145" width="9.140625" style="216"/>
    <col min="6146" max="6146" width="40.28515625" style="216" bestFit="1" customWidth="1"/>
    <col min="6147" max="6147" width="10" style="216" customWidth="1"/>
    <col min="6148" max="6148" width="10.140625" style="216" customWidth="1"/>
    <col min="6149" max="6149" width="12.28515625" style="216" customWidth="1"/>
    <col min="6150" max="6150" width="15.7109375" style="216" customWidth="1"/>
    <col min="6151" max="6151" width="12.85546875" style="216" customWidth="1"/>
    <col min="6152" max="6152" width="12.7109375" style="216" customWidth="1"/>
    <col min="6153" max="6153" width="12.85546875" style="216" customWidth="1"/>
    <col min="6154" max="6154" width="14.42578125" style="216" customWidth="1"/>
    <col min="6155" max="6399" width="9.140625" style="216"/>
    <col min="6400" max="6400" width="2.7109375" style="216" customWidth="1"/>
    <col min="6401" max="6401" width="9.140625" style="216"/>
    <col min="6402" max="6402" width="40.28515625" style="216" bestFit="1" customWidth="1"/>
    <col min="6403" max="6403" width="10" style="216" customWidth="1"/>
    <col min="6404" max="6404" width="10.140625" style="216" customWidth="1"/>
    <col min="6405" max="6405" width="12.28515625" style="216" customWidth="1"/>
    <col min="6406" max="6406" width="15.7109375" style="216" customWidth="1"/>
    <col min="6407" max="6407" width="12.85546875" style="216" customWidth="1"/>
    <col min="6408" max="6408" width="12.7109375" style="216" customWidth="1"/>
    <col min="6409" max="6409" width="12.85546875" style="216" customWidth="1"/>
    <col min="6410" max="6410" width="14.42578125" style="216" customWidth="1"/>
    <col min="6411" max="6655" width="9.140625" style="216"/>
    <col min="6656" max="6656" width="2.7109375" style="216" customWidth="1"/>
    <col min="6657" max="6657" width="9.140625" style="216"/>
    <col min="6658" max="6658" width="40.28515625" style="216" bestFit="1" customWidth="1"/>
    <col min="6659" max="6659" width="10" style="216" customWidth="1"/>
    <col min="6660" max="6660" width="10.140625" style="216" customWidth="1"/>
    <col min="6661" max="6661" width="12.28515625" style="216" customWidth="1"/>
    <col min="6662" max="6662" width="15.7109375" style="216" customWidth="1"/>
    <col min="6663" max="6663" width="12.85546875" style="216" customWidth="1"/>
    <col min="6664" max="6664" width="12.7109375" style="216" customWidth="1"/>
    <col min="6665" max="6665" width="12.85546875" style="216" customWidth="1"/>
    <col min="6666" max="6666" width="14.42578125" style="216" customWidth="1"/>
    <col min="6667" max="6911" width="9.140625" style="216"/>
    <col min="6912" max="6912" width="2.7109375" style="216" customWidth="1"/>
    <col min="6913" max="6913" width="9.140625" style="216"/>
    <col min="6914" max="6914" width="40.28515625" style="216" bestFit="1" customWidth="1"/>
    <col min="6915" max="6915" width="10" style="216" customWidth="1"/>
    <col min="6916" max="6916" width="10.140625" style="216" customWidth="1"/>
    <col min="6917" max="6917" width="12.28515625" style="216" customWidth="1"/>
    <col min="6918" max="6918" width="15.7109375" style="216" customWidth="1"/>
    <col min="6919" max="6919" width="12.85546875" style="216" customWidth="1"/>
    <col min="6920" max="6920" width="12.7109375" style="216" customWidth="1"/>
    <col min="6921" max="6921" width="12.85546875" style="216" customWidth="1"/>
    <col min="6922" max="6922" width="14.42578125" style="216" customWidth="1"/>
    <col min="6923" max="7167" width="9.140625" style="216"/>
    <col min="7168" max="7168" width="2.7109375" style="216" customWidth="1"/>
    <col min="7169" max="7169" width="9.140625" style="216"/>
    <col min="7170" max="7170" width="40.28515625" style="216" bestFit="1" customWidth="1"/>
    <col min="7171" max="7171" width="10" style="216" customWidth="1"/>
    <col min="7172" max="7172" width="10.140625" style="216" customWidth="1"/>
    <col min="7173" max="7173" width="12.28515625" style="216" customWidth="1"/>
    <col min="7174" max="7174" width="15.7109375" style="216" customWidth="1"/>
    <col min="7175" max="7175" width="12.85546875" style="216" customWidth="1"/>
    <col min="7176" max="7176" width="12.7109375" style="216" customWidth="1"/>
    <col min="7177" max="7177" width="12.85546875" style="216" customWidth="1"/>
    <col min="7178" max="7178" width="14.42578125" style="216" customWidth="1"/>
    <col min="7179" max="7423" width="9.140625" style="216"/>
    <col min="7424" max="7424" width="2.7109375" style="216" customWidth="1"/>
    <col min="7425" max="7425" width="9.140625" style="216"/>
    <col min="7426" max="7426" width="40.28515625" style="216" bestFit="1" customWidth="1"/>
    <col min="7427" max="7427" width="10" style="216" customWidth="1"/>
    <col min="7428" max="7428" width="10.140625" style="216" customWidth="1"/>
    <col min="7429" max="7429" width="12.28515625" style="216" customWidth="1"/>
    <col min="7430" max="7430" width="15.7109375" style="216" customWidth="1"/>
    <col min="7431" max="7431" width="12.85546875" style="216" customWidth="1"/>
    <col min="7432" max="7432" width="12.7109375" style="216" customWidth="1"/>
    <col min="7433" max="7433" width="12.85546875" style="216" customWidth="1"/>
    <col min="7434" max="7434" width="14.42578125" style="216" customWidth="1"/>
    <col min="7435" max="7679" width="9.140625" style="216"/>
    <col min="7680" max="7680" width="2.7109375" style="216" customWidth="1"/>
    <col min="7681" max="7681" width="9.140625" style="216"/>
    <col min="7682" max="7682" width="40.28515625" style="216" bestFit="1" customWidth="1"/>
    <col min="7683" max="7683" width="10" style="216" customWidth="1"/>
    <col min="7684" max="7684" width="10.140625" style="216" customWidth="1"/>
    <col min="7685" max="7685" width="12.28515625" style="216" customWidth="1"/>
    <col min="7686" max="7686" width="15.7109375" style="216" customWidth="1"/>
    <col min="7687" max="7687" width="12.85546875" style="216" customWidth="1"/>
    <col min="7688" max="7688" width="12.7109375" style="216" customWidth="1"/>
    <col min="7689" max="7689" width="12.85546875" style="216" customWidth="1"/>
    <col min="7690" max="7690" width="14.42578125" style="216" customWidth="1"/>
    <col min="7691" max="7935" width="9.140625" style="216"/>
    <col min="7936" max="7936" width="2.7109375" style="216" customWidth="1"/>
    <col min="7937" max="7937" width="9.140625" style="216"/>
    <col min="7938" max="7938" width="40.28515625" style="216" bestFit="1" customWidth="1"/>
    <col min="7939" max="7939" width="10" style="216" customWidth="1"/>
    <col min="7940" max="7940" width="10.140625" style="216" customWidth="1"/>
    <col min="7941" max="7941" width="12.28515625" style="216" customWidth="1"/>
    <col min="7942" max="7942" width="15.7109375" style="216" customWidth="1"/>
    <col min="7943" max="7943" width="12.85546875" style="216" customWidth="1"/>
    <col min="7944" max="7944" width="12.7109375" style="216" customWidth="1"/>
    <col min="7945" max="7945" width="12.85546875" style="216" customWidth="1"/>
    <col min="7946" max="7946" width="14.42578125" style="216" customWidth="1"/>
    <col min="7947" max="8191" width="9.140625" style="216"/>
    <col min="8192" max="8192" width="2.7109375" style="216" customWidth="1"/>
    <col min="8193" max="8193" width="9.140625" style="216"/>
    <col min="8194" max="8194" width="40.28515625" style="216" bestFit="1" customWidth="1"/>
    <col min="8195" max="8195" width="10" style="216" customWidth="1"/>
    <col min="8196" max="8196" width="10.140625" style="216" customWidth="1"/>
    <col min="8197" max="8197" width="12.28515625" style="216" customWidth="1"/>
    <col min="8198" max="8198" width="15.7109375" style="216" customWidth="1"/>
    <col min="8199" max="8199" width="12.85546875" style="216" customWidth="1"/>
    <col min="8200" max="8200" width="12.7109375" style="216" customWidth="1"/>
    <col min="8201" max="8201" width="12.85546875" style="216" customWidth="1"/>
    <col min="8202" max="8202" width="14.42578125" style="216" customWidth="1"/>
    <col min="8203" max="8447" width="9.140625" style="216"/>
    <col min="8448" max="8448" width="2.7109375" style="216" customWidth="1"/>
    <col min="8449" max="8449" width="9.140625" style="216"/>
    <col min="8450" max="8450" width="40.28515625" style="216" bestFit="1" customWidth="1"/>
    <col min="8451" max="8451" width="10" style="216" customWidth="1"/>
    <col min="8452" max="8452" width="10.140625" style="216" customWidth="1"/>
    <col min="8453" max="8453" width="12.28515625" style="216" customWidth="1"/>
    <col min="8454" max="8454" width="15.7109375" style="216" customWidth="1"/>
    <col min="8455" max="8455" width="12.85546875" style="216" customWidth="1"/>
    <col min="8456" max="8456" width="12.7109375" style="216" customWidth="1"/>
    <col min="8457" max="8457" width="12.85546875" style="216" customWidth="1"/>
    <col min="8458" max="8458" width="14.42578125" style="216" customWidth="1"/>
    <col min="8459" max="8703" width="9.140625" style="216"/>
    <col min="8704" max="8704" width="2.7109375" style="216" customWidth="1"/>
    <col min="8705" max="8705" width="9.140625" style="216"/>
    <col min="8706" max="8706" width="40.28515625" style="216" bestFit="1" customWidth="1"/>
    <col min="8707" max="8707" width="10" style="216" customWidth="1"/>
    <col min="8708" max="8708" width="10.140625" style="216" customWidth="1"/>
    <col min="8709" max="8709" width="12.28515625" style="216" customWidth="1"/>
    <col min="8710" max="8710" width="15.7109375" style="216" customWidth="1"/>
    <col min="8711" max="8711" width="12.85546875" style="216" customWidth="1"/>
    <col min="8712" max="8712" width="12.7109375" style="216" customWidth="1"/>
    <col min="8713" max="8713" width="12.85546875" style="216" customWidth="1"/>
    <col min="8714" max="8714" width="14.42578125" style="216" customWidth="1"/>
    <col min="8715" max="8959" width="9.140625" style="216"/>
    <col min="8960" max="8960" width="2.7109375" style="216" customWidth="1"/>
    <col min="8961" max="8961" width="9.140625" style="216"/>
    <col min="8962" max="8962" width="40.28515625" style="216" bestFit="1" customWidth="1"/>
    <col min="8963" max="8963" width="10" style="216" customWidth="1"/>
    <col min="8964" max="8964" width="10.140625" style="216" customWidth="1"/>
    <col min="8965" max="8965" width="12.28515625" style="216" customWidth="1"/>
    <col min="8966" max="8966" width="15.7109375" style="216" customWidth="1"/>
    <col min="8967" max="8967" width="12.85546875" style="216" customWidth="1"/>
    <col min="8968" max="8968" width="12.7109375" style="216" customWidth="1"/>
    <col min="8969" max="8969" width="12.85546875" style="216" customWidth="1"/>
    <col min="8970" max="8970" width="14.42578125" style="216" customWidth="1"/>
    <col min="8971" max="9215" width="9.140625" style="216"/>
    <col min="9216" max="9216" width="2.7109375" style="216" customWidth="1"/>
    <col min="9217" max="9217" width="9.140625" style="216"/>
    <col min="9218" max="9218" width="40.28515625" style="216" bestFit="1" customWidth="1"/>
    <col min="9219" max="9219" width="10" style="216" customWidth="1"/>
    <col min="9220" max="9220" width="10.140625" style="216" customWidth="1"/>
    <col min="9221" max="9221" width="12.28515625" style="216" customWidth="1"/>
    <col min="9222" max="9222" width="15.7109375" style="216" customWidth="1"/>
    <col min="9223" max="9223" width="12.85546875" style="216" customWidth="1"/>
    <col min="9224" max="9224" width="12.7109375" style="216" customWidth="1"/>
    <col min="9225" max="9225" width="12.85546875" style="216" customWidth="1"/>
    <col min="9226" max="9226" width="14.42578125" style="216" customWidth="1"/>
    <col min="9227" max="9471" width="9.140625" style="216"/>
    <col min="9472" max="9472" width="2.7109375" style="216" customWidth="1"/>
    <col min="9473" max="9473" width="9.140625" style="216"/>
    <col min="9474" max="9474" width="40.28515625" style="216" bestFit="1" customWidth="1"/>
    <col min="9475" max="9475" width="10" style="216" customWidth="1"/>
    <col min="9476" max="9476" width="10.140625" style="216" customWidth="1"/>
    <col min="9477" max="9477" width="12.28515625" style="216" customWidth="1"/>
    <col min="9478" max="9478" width="15.7109375" style="216" customWidth="1"/>
    <col min="9479" max="9479" width="12.85546875" style="216" customWidth="1"/>
    <col min="9480" max="9480" width="12.7109375" style="216" customWidth="1"/>
    <col min="9481" max="9481" width="12.85546875" style="216" customWidth="1"/>
    <col min="9482" max="9482" width="14.42578125" style="216" customWidth="1"/>
    <col min="9483" max="9727" width="9.140625" style="216"/>
    <col min="9728" max="9728" width="2.7109375" style="216" customWidth="1"/>
    <col min="9729" max="9729" width="9.140625" style="216"/>
    <col min="9730" max="9730" width="40.28515625" style="216" bestFit="1" customWidth="1"/>
    <col min="9731" max="9731" width="10" style="216" customWidth="1"/>
    <col min="9732" max="9732" width="10.140625" style="216" customWidth="1"/>
    <col min="9733" max="9733" width="12.28515625" style="216" customWidth="1"/>
    <col min="9734" max="9734" width="15.7109375" style="216" customWidth="1"/>
    <col min="9735" max="9735" width="12.85546875" style="216" customWidth="1"/>
    <col min="9736" max="9736" width="12.7109375" style="216" customWidth="1"/>
    <col min="9737" max="9737" width="12.85546875" style="216" customWidth="1"/>
    <col min="9738" max="9738" width="14.42578125" style="216" customWidth="1"/>
    <col min="9739" max="9983" width="9.140625" style="216"/>
    <col min="9984" max="9984" width="2.7109375" style="216" customWidth="1"/>
    <col min="9985" max="9985" width="9.140625" style="216"/>
    <col min="9986" max="9986" width="40.28515625" style="216" bestFit="1" customWidth="1"/>
    <col min="9987" max="9987" width="10" style="216" customWidth="1"/>
    <col min="9988" max="9988" width="10.140625" style="216" customWidth="1"/>
    <col min="9989" max="9989" width="12.28515625" style="216" customWidth="1"/>
    <col min="9990" max="9990" width="15.7109375" style="216" customWidth="1"/>
    <col min="9991" max="9991" width="12.85546875" style="216" customWidth="1"/>
    <col min="9992" max="9992" width="12.7109375" style="216" customWidth="1"/>
    <col min="9993" max="9993" width="12.85546875" style="216" customWidth="1"/>
    <col min="9994" max="9994" width="14.42578125" style="216" customWidth="1"/>
    <col min="9995" max="10239" width="9.140625" style="216"/>
    <col min="10240" max="10240" width="2.7109375" style="216" customWidth="1"/>
    <col min="10241" max="10241" width="9.140625" style="216"/>
    <col min="10242" max="10242" width="40.28515625" style="216" bestFit="1" customWidth="1"/>
    <col min="10243" max="10243" width="10" style="216" customWidth="1"/>
    <col min="10244" max="10244" width="10.140625" style="216" customWidth="1"/>
    <col min="10245" max="10245" width="12.28515625" style="216" customWidth="1"/>
    <col min="10246" max="10246" width="15.7109375" style="216" customWidth="1"/>
    <col min="10247" max="10247" width="12.85546875" style="216" customWidth="1"/>
    <col min="10248" max="10248" width="12.7109375" style="216" customWidth="1"/>
    <col min="10249" max="10249" width="12.85546875" style="216" customWidth="1"/>
    <col min="10250" max="10250" width="14.42578125" style="216" customWidth="1"/>
    <col min="10251" max="10495" width="9.140625" style="216"/>
    <col min="10496" max="10496" width="2.7109375" style="216" customWidth="1"/>
    <col min="10497" max="10497" width="9.140625" style="216"/>
    <col min="10498" max="10498" width="40.28515625" style="216" bestFit="1" customWidth="1"/>
    <col min="10499" max="10499" width="10" style="216" customWidth="1"/>
    <col min="10500" max="10500" width="10.140625" style="216" customWidth="1"/>
    <col min="10501" max="10501" width="12.28515625" style="216" customWidth="1"/>
    <col min="10502" max="10502" width="15.7109375" style="216" customWidth="1"/>
    <col min="10503" max="10503" width="12.85546875" style="216" customWidth="1"/>
    <col min="10504" max="10504" width="12.7109375" style="216" customWidth="1"/>
    <col min="10505" max="10505" width="12.85546875" style="216" customWidth="1"/>
    <col min="10506" max="10506" width="14.42578125" style="216" customWidth="1"/>
    <col min="10507" max="10751" width="9.140625" style="216"/>
    <col min="10752" max="10752" width="2.7109375" style="216" customWidth="1"/>
    <col min="10753" max="10753" width="9.140625" style="216"/>
    <col min="10754" max="10754" width="40.28515625" style="216" bestFit="1" customWidth="1"/>
    <col min="10755" max="10755" width="10" style="216" customWidth="1"/>
    <col min="10756" max="10756" width="10.140625" style="216" customWidth="1"/>
    <col min="10757" max="10757" width="12.28515625" style="216" customWidth="1"/>
    <col min="10758" max="10758" width="15.7109375" style="216" customWidth="1"/>
    <col min="10759" max="10759" width="12.85546875" style="216" customWidth="1"/>
    <col min="10760" max="10760" width="12.7109375" style="216" customWidth="1"/>
    <col min="10761" max="10761" width="12.85546875" style="216" customWidth="1"/>
    <col min="10762" max="10762" width="14.42578125" style="216" customWidth="1"/>
    <col min="10763" max="11007" width="9.140625" style="216"/>
    <col min="11008" max="11008" width="2.7109375" style="216" customWidth="1"/>
    <col min="11009" max="11009" width="9.140625" style="216"/>
    <col min="11010" max="11010" width="40.28515625" style="216" bestFit="1" customWidth="1"/>
    <col min="11011" max="11011" width="10" style="216" customWidth="1"/>
    <col min="11012" max="11012" width="10.140625" style="216" customWidth="1"/>
    <col min="11013" max="11013" width="12.28515625" style="216" customWidth="1"/>
    <col min="11014" max="11014" width="15.7109375" style="216" customWidth="1"/>
    <col min="11015" max="11015" width="12.85546875" style="216" customWidth="1"/>
    <col min="11016" max="11016" width="12.7109375" style="216" customWidth="1"/>
    <col min="11017" max="11017" width="12.85546875" style="216" customWidth="1"/>
    <col min="11018" max="11018" width="14.42578125" style="216" customWidth="1"/>
    <col min="11019" max="11263" width="9.140625" style="216"/>
    <col min="11264" max="11264" width="2.7109375" style="216" customWidth="1"/>
    <col min="11265" max="11265" width="9.140625" style="216"/>
    <col min="11266" max="11266" width="40.28515625" style="216" bestFit="1" customWidth="1"/>
    <col min="11267" max="11267" width="10" style="216" customWidth="1"/>
    <col min="11268" max="11268" width="10.140625" style="216" customWidth="1"/>
    <col min="11269" max="11269" width="12.28515625" style="216" customWidth="1"/>
    <col min="11270" max="11270" width="15.7109375" style="216" customWidth="1"/>
    <col min="11271" max="11271" width="12.85546875" style="216" customWidth="1"/>
    <col min="11272" max="11272" width="12.7109375" style="216" customWidth="1"/>
    <col min="11273" max="11273" width="12.85546875" style="216" customWidth="1"/>
    <col min="11274" max="11274" width="14.42578125" style="216" customWidth="1"/>
    <col min="11275" max="11519" width="9.140625" style="216"/>
    <col min="11520" max="11520" width="2.7109375" style="216" customWidth="1"/>
    <col min="11521" max="11521" width="9.140625" style="216"/>
    <col min="11522" max="11522" width="40.28515625" style="216" bestFit="1" customWidth="1"/>
    <col min="11523" max="11523" width="10" style="216" customWidth="1"/>
    <col min="11524" max="11524" width="10.140625" style="216" customWidth="1"/>
    <col min="11525" max="11525" width="12.28515625" style="216" customWidth="1"/>
    <col min="11526" max="11526" width="15.7109375" style="216" customWidth="1"/>
    <col min="11527" max="11527" width="12.85546875" style="216" customWidth="1"/>
    <col min="11528" max="11528" width="12.7109375" style="216" customWidth="1"/>
    <col min="11529" max="11529" width="12.85546875" style="216" customWidth="1"/>
    <col min="11530" max="11530" width="14.42578125" style="216" customWidth="1"/>
    <col min="11531" max="11775" width="9.140625" style="216"/>
    <col min="11776" max="11776" width="2.7109375" style="216" customWidth="1"/>
    <col min="11777" max="11777" width="9.140625" style="216"/>
    <col min="11778" max="11778" width="40.28515625" style="216" bestFit="1" customWidth="1"/>
    <col min="11779" max="11779" width="10" style="216" customWidth="1"/>
    <col min="11780" max="11780" width="10.140625" style="216" customWidth="1"/>
    <col min="11781" max="11781" width="12.28515625" style="216" customWidth="1"/>
    <col min="11782" max="11782" width="15.7109375" style="216" customWidth="1"/>
    <col min="11783" max="11783" width="12.85546875" style="216" customWidth="1"/>
    <col min="11784" max="11784" width="12.7109375" style="216" customWidth="1"/>
    <col min="11785" max="11785" width="12.85546875" style="216" customWidth="1"/>
    <col min="11786" max="11786" width="14.42578125" style="216" customWidth="1"/>
    <col min="11787" max="12031" width="9.140625" style="216"/>
    <col min="12032" max="12032" width="2.7109375" style="216" customWidth="1"/>
    <col min="12033" max="12033" width="9.140625" style="216"/>
    <col min="12034" max="12034" width="40.28515625" style="216" bestFit="1" customWidth="1"/>
    <col min="12035" max="12035" width="10" style="216" customWidth="1"/>
    <col min="12036" max="12036" width="10.140625" style="216" customWidth="1"/>
    <col min="12037" max="12037" width="12.28515625" style="216" customWidth="1"/>
    <col min="12038" max="12038" width="15.7109375" style="216" customWidth="1"/>
    <col min="12039" max="12039" width="12.85546875" style="216" customWidth="1"/>
    <col min="12040" max="12040" width="12.7109375" style="216" customWidth="1"/>
    <col min="12041" max="12041" width="12.85546875" style="216" customWidth="1"/>
    <col min="12042" max="12042" width="14.42578125" style="216" customWidth="1"/>
    <col min="12043" max="12287" width="9.140625" style="216"/>
    <col min="12288" max="12288" width="2.7109375" style="216" customWidth="1"/>
    <col min="12289" max="12289" width="9.140625" style="216"/>
    <col min="12290" max="12290" width="40.28515625" style="216" bestFit="1" customWidth="1"/>
    <col min="12291" max="12291" width="10" style="216" customWidth="1"/>
    <col min="12292" max="12292" width="10.140625" style="216" customWidth="1"/>
    <col min="12293" max="12293" width="12.28515625" style="216" customWidth="1"/>
    <col min="12294" max="12294" width="15.7109375" style="216" customWidth="1"/>
    <col min="12295" max="12295" width="12.85546875" style="216" customWidth="1"/>
    <col min="12296" max="12296" width="12.7109375" style="216" customWidth="1"/>
    <col min="12297" max="12297" width="12.85546875" style="216" customWidth="1"/>
    <col min="12298" max="12298" width="14.42578125" style="216" customWidth="1"/>
    <col min="12299" max="12543" width="9.140625" style="216"/>
    <col min="12544" max="12544" width="2.7109375" style="216" customWidth="1"/>
    <col min="12545" max="12545" width="9.140625" style="216"/>
    <col min="12546" max="12546" width="40.28515625" style="216" bestFit="1" customWidth="1"/>
    <col min="12547" max="12547" width="10" style="216" customWidth="1"/>
    <col min="12548" max="12548" width="10.140625" style="216" customWidth="1"/>
    <col min="12549" max="12549" width="12.28515625" style="216" customWidth="1"/>
    <col min="12550" max="12550" width="15.7109375" style="216" customWidth="1"/>
    <col min="12551" max="12551" width="12.85546875" style="216" customWidth="1"/>
    <col min="12552" max="12552" width="12.7109375" style="216" customWidth="1"/>
    <col min="12553" max="12553" width="12.85546875" style="216" customWidth="1"/>
    <col min="12554" max="12554" width="14.42578125" style="216" customWidth="1"/>
    <col min="12555" max="12799" width="9.140625" style="216"/>
    <col min="12800" max="12800" width="2.7109375" style="216" customWidth="1"/>
    <col min="12801" max="12801" width="9.140625" style="216"/>
    <col min="12802" max="12802" width="40.28515625" style="216" bestFit="1" customWidth="1"/>
    <col min="12803" max="12803" width="10" style="216" customWidth="1"/>
    <col min="12804" max="12804" width="10.140625" style="216" customWidth="1"/>
    <col min="12805" max="12805" width="12.28515625" style="216" customWidth="1"/>
    <col min="12806" max="12806" width="15.7109375" style="216" customWidth="1"/>
    <col min="12807" max="12807" width="12.85546875" style="216" customWidth="1"/>
    <col min="12808" max="12808" width="12.7109375" style="216" customWidth="1"/>
    <col min="12809" max="12809" width="12.85546875" style="216" customWidth="1"/>
    <col min="12810" max="12810" width="14.42578125" style="216" customWidth="1"/>
    <col min="12811" max="13055" width="9.140625" style="216"/>
    <col min="13056" max="13056" width="2.7109375" style="216" customWidth="1"/>
    <col min="13057" max="13057" width="9.140625" style="216"/>
    <col min="13058" max="13058" width="40.28515625" style="216" bestFit="1" customWidth="1"/>
    <col min="13059" max="13059" width="10" style="216" customWidth="1"/>
    <col min="13060" max="13060" width="10.140625" style="216" customWidth="1"/>
    <col min="13061" max="13061" width="12.28515625" style="216" customWidth="1"/>
    <col min="13062" max="13062" width="15.7109375" style="216" customWidth="1"/>
    <col min="13063" max="13063" width="12.85546875" style="216" customWidth="1"/>
    <col min="13064" max="13064" width="12.7109375" style="216" customWidth="1"/>
    <col min="13065" max="13065" width="12.85546875" style="216" customWidth="1"/>
    <col min="13066" max="13066" width="14.42578125" style="216" customWidth="1"/>
    <col min="13067" max="13311" width="9.140625" style="216"/>
    <col min="13312" max="13312" width="2.7109375" style="216" customWidth="1"/>
    <col min="13313" max="13313" width="9.140625" style="216"/>
    <col min="13314" max="13314" width="40.28515625" style="216" bestFit="1" customWidth="1"/>
    <col min="13315" max="13315" width="10" style="216" customWidth="1"/>
    <col min="13316" max="13316" width="10.140625" style="216" customWidth="1"/>
    <col min="13317" max="13317" width="12.28515625" style="216" customWidth="1"/>
    <col min="13318" max="13318" width="15.7109375" style="216" customWidth="1"/>
    <col min="13319" max="13319" width="12.85546875" style="216" customWidth="1"/>
    <col min="13320" max="13320" width="12.7109375" style="216" customWidth="1"/>
    <col min="13321" max="13321" width="12.85546875" style="216" customWidth="1"/>
    <col min="13322" max="13322" width="14.42578125" style="216" customWidth="1"/>
    <col min="13323" max="13567" width="9.140625" style="216"/>
    <col min="13568" max="13568" width="2.7109375" style="216" customWidth="1"/>
    <col min="13569" max="13569" width="9.140625" style="216"/>
    <col min="13570" max="13570" width="40.28515625" style="216" bestFit="1" customWidth="1"/>
    <col min="13571" max="13571" width="10" style="216" customWidth="1"/>
    <col min="13572" max="13572" width="10.140625" style="216" customWidth="1"/>
    <col min="13573" max="13573" width="12.28515625" style="216" customWidth="1"/>
    <col min="13574" max="13574" width="15.7109375" style="216" customWidth="1"/>
    <col min="13575" max="13575" width="12.85546875" style="216" customWidth="1"/>
    <col min="13576" max="13576" width="12.7109375" style="216" customWidth="1"/>
    <col min="13577" max="13577" width="12.85546875" style="216" customWidth="1"/>
    <col min="13578" max="13578" width="14.42578125" style="216" customWidth="1"/>
    <col min="13579" max="13823" width="9.140625" style="216"/>
    <col min="13824" max="13824" width="2.7109375" style="216" customWidth="1"/>
    <col min="13825" max="13825" width="9.140625" style="216"/>
    <col min="13826" max="13826" width="40.28515625" style="216" bestFit="1" customWidth="1"/>
    <col min="13827" max="13827" width="10" style="216" customWidth="1"/>
    <col min="13828" max="13828" width="10.140625" style="216" customWidth="1"/>
    <col min="13829" max="13829" width="12.28515625" style="216" customWidth="1"/>
    <col min="13830" max="13830" width="15.7109375" style="216" customWidth="1"/>
    <col min="13831" max="13831" width="12.85546875" style="216" customWidth="1"/>
    <col min="13832" max="13832" width="12.7109375" style="216" customWidth="1"/>
    <col min="13833" max="13833" width="12.85546875" style="216" customWidth="1"/>
    <col min="13834" max="13834" width="14.42578125" style="216" customWidth="1"/>
    <col min="13835" max="14079" width="9.140625" style="216"/>
    <col min="14080" max="14080" width="2.7109375" style="216" customWidth="1"/>
    <col min="14081" max="14081" width="9.140625" style="216"/>
    <col min="14082" max="14082" width="40.28515625" style="216" bestFit="1" customWidth="1"/>
    <col min="14083" max="14083" width="10" style="216" customWidth="1"/>
    <col min="14084" max="14084" width="10.140625" style="216" customWidth="1"/>
    <col min="14085" max="14085" width="12.28515625" style="216" customWidth="1"/>
    <col min="14086" max="14086" width="15.7109375" style="216" customWidth="1"/>
    <col min="14087" max="14087" width="12.85546875" style="216" customWidth="1"/>
    <col min="14088" max="14088" width="12.7109375" style="216" customWidth="1"/>
    <col min="14089" max="14089" width="12.85546875" style="216" customWidth="1"/>
    <col min="14090" max="14090" width="14.42578125" style="216" customWidth="1"/>
    <col min="14091" max="14335" width="9.140625" style="216"/>
    <col min="14336" max="14336" width="2.7109375" style="216" customWidth="1"/>
    <col min="14337" max="14337" width="9.140625" style="216"/>
    <col min="14338" max="14338" width="40.28515625" style="216" bestFit="1" customWidth="1"/>
    <col min="14339" max="14339" width="10" style="216" customWidth="1"/>
    <col min="14340" max="14340" width="10.140625" style="216" customWidth="1"/>
    <col min="14341" max="14341" width="12.28515625" style="216" customWidth="1"/>
    <col min="14342" max="14342" width="15.7109375" style="216" customWidth="1"/>
    <col min="14343" max="14343" width="12.85546875" style="216" customWidth="1"/>
    <col min="14344" max="14344" width="12.7109375" style="216" customWidth="1"/>
    <col min="14345" max="14345" width="12.85546875" style="216" customWidth="1"/>
    <col min="14346" max="14346" width="14.42578125" style="216" customWidth="1"/>
    <col min="14347" max="14591" width="9.140625" style="216"/>
    <col min="14592" max="14592" width="2.7109375" style="216" customWidth="1"/>
    <col min="14593" max="14593" width="9.140625" style="216"/>
    <col min="14594" max="14594" width="40.28515625" style="216" bestFit="1" customWidth="1"/>
    <col min="14595" max="14595" width="10" style="216" customWidth="1"/>
    <col min="14596" max="14596" width="10.140625" style="216" customWidth="1"/>
    <col min="14597" max="14597" width="12.28515625" style="216" customWidth="1"/>
    <col min="14598" max="14598" width="15.7109375" style="216" customWidth="1"/>
    <col min="14599" max="14599" width="12.85546875" style="216" customWidth="1"/>
    <col min="14600" max="14600" width="12.7109375" style="216" customWidth="1"/>
    <col min="14601" max="14601" width="12.85546875" style="216" customWidth="1"/>
    <col min="14602" max="14602" width="14.42578125" style="216" customWidth="1"/>
    <col min="14603" max="14847" width="9.140625" style="216"/>
    <col min="14848" max="14848" width="2.7109375" style="216" customWidth="1"/>
    <col min="14849" max="14849" width="9.140625" style="216"/>
    <col min="14850" max="14850" width="40.28515625" style="216" bestFit="1" customWidth="1"/>
    <col min="14851" max="14851" width="10" style="216" customWidth="1"/>
    <col min="14852" max="14852" width="10.140625" style="216" customWidth="1"/>
    <col min="14853" max="14853" width="12.28515625" style="216" customWidth="1"/>
    <col min="14854" max="14854" width="15.7109375" style="216" customWidth="1"/>
    <col min="14855" max="14855" width="12.85546875" style="216" customWidth="1"/>
    <col min="14856" max="14856" width="12.7109375" style="216" customWidth="1"/>
    <col min="14857" max="14857" width="12.85546875" style="216" customWidth="1"/>
    <col min="14858" max="14858" width="14.42578125" style="216" customWidth="1"/>
    <col min="14859" max="15103" width="9.140625" style="216"/>
    <col min="15104" max="15104" width="2.7109375" style="216" customWidth="1"/>
    <col min="15105" max="15105" width="9.140625" style="216"/>
    <col min="15106" max="15106" width="40.28515625" style="216" bestFit="1" customWidth="1"/>
    <col min="15107" max="15107" width="10" style="216" customWidth="1"/>
    <col min="15108" max="15108" width="10.140625" style="216" customWidth="1"/>
    <col min="15109" max="15109" width="12.28515625" style="216" customWidth="1"/>
    <col min="15110" max="15110" width="15.7109375" style="216" customWidth="1"/>
    <col min="15111" max="15111" width="12.85546875" style="216" customWidth="1"/>
    <col min="15112" max="15112" width="12.7109375" style="216" customWidth="1"/>
    <col min="15113" max="15113" width="12.85546875" style="216" customWidth="1"/>
    <col min="15114" max="15114" width="14.42578125" style="216" customWidth="1"/>
    <col min="15115" max="15359" width="9.140625" style="216"/>
    <col min="15360" max="15360" width="2.7109375" style="216" customWidth="1"/>
    <col min="15361" max="15361" width="9.140625" style="216"/>
    <col min="15362" max="15362" width="40.28515625" style="216" bestFit="1" customWidth="1"/>
    <col min="15363" max="15363" width="10" style="216" customWidth="1"/>
    <col min="15364" max="15364" width="10.140625" style="216" customWidth="1"/>
    <col min="15365" max="15365" width="12.28515625" style="216" customWidth="1"/>
    <col min="15366" max="15366" width="15.7109375" style="216" customWidth="1"/>
    <col min="15367" max="15367" width="12.85546875" style="216" customWidth="1"/>
    <col min="15368" max="15368" width="12.7109375" style="216" customWidth="1"/>
    <col min="15369" max="15369" width="12.85546875" style="216" customWidth="1"/>
    <col min="15370" max="15370" width="14.42578125" style="216" customWidth="1"/>
    <col min="15371" max="15615" width="9.140625" style="216"/>
    <col min="15616" max="15616" width="2.7109375" style="216" customWidth="1"/>
    <col min="15617" max="15617" width="9.140625" style="216"/>
    <col min="15618" max="15618" width="40.28515625" style="216" bestFit="1" customWidth="1"/>
    <col min="15619" max="15619" width="10" style="216" customWidth="1"/>
    <col min="15620" max="15620" width="10.140625" style="216" customWidth="1"/>
    <col min="15621" max="15621" width="12.28515625" style="216" customWidth="1"/>
    <col min="15622" max="15622" width="15.7109375" style="216" customWidth="1"/>
    <col min="15623" max="15623" width="12.85546875" style="216" customWidth="1"/>
    <col min="15624" max="15624" width="12.7109375" style="216" customWidth="1"/>
    <col min="15625" max="15625" width="12.85546875" style="216" customWidth="1"/>
    <col min="15626" max="15626" width="14.42578125" style="216" customWidth="1"/>
    <col min="15627" max="15871" width="9.140625" style="216"/>
    <col min="15872" max="15872" width="2.7109375" style="216" customWidth="1"/>
    <col min="15873" max="15873" width="9.140625" style="216"/>
    <col min="15874" max="15874" width="40.28515625" style="216" bestFit="1" customWidth="1"/>
    <col min="15875" max="15875" width="10" style="216" customWidth="1"/>
    <col min="15876" max="15876" width="10.140625" style="216" customWidth="1"/>
    <col min="15877" max="15877" width="12.28515625" style="216" customWidth="1"/>
    <col min="15878" max="15878" width="15.7109375" style="216" customWidth="1"/>
    <col min="15879" max="15879" width="12.85546875" style="216" customWidth="1"/>
    <col min="15880" max="15880" width="12.7109375" style="216" customWidth="1"/>
    <col min="15881" max="15881" width="12.85546875" style="216" customWidth="1"/>
    <col min="15882" max="15882" width="14.42578125" style="216" customWidth="1"/>
    <col min="15883" max="16127" width="9.140625" style="216"/>
    <col min="16128" max="16128" width="2.7109375" style="216" customWidth="1"/>
    <col min="16129" max="16129" width="9.140625" style="216"/>
    <col min="16130" max="16130" width="40.28515625" style="216" bestFit="1" customWidth="1"/>
    <col min="16131" max="16131" width="10" style="216" customWidth="1"/>
    <col min="16132" max="16132" width="10.140625" style="216" customWidth="1"/>
    <col min="16133" max="16133" width="12.28515625" style="216" customWidth="1"/>
    <col min="16134" max="16134" width="15.7109375" style="216" customWidth="1"/>
    <col min="16135" max="16135" width="12.85546875" style="216" customWidth="1"/>
    <col min="16136" max="16136" width="12.7109375" style="216" customWidth="1"/>
    <col min="16137" max="16137" width="12.85546875" style="216" customWidth="1"/>
    <col min="16138" max="16138" width="14.42578125" style="216" customWidth="1"/>
    <col min="16139" max="16384" width="9.140625" style="216"/>
  </cols>
  <sheetData>
    <row r="1" spans="1:12" x14ac:dyDescent="0.2">
      <c r="I1" s="217" t="s">
        <v>419</v>
      </c>
      <c r="J1" s="766" t="str">
        <f>EBNUMBER</f>
        <v>EB-2014-0113</v>
      </c>
      <c r="K1" s="219"/>
    </row>
    <row r="2" spans="1:12" x14ac:dyDescent="0.2">
      <c r="I2" s="217" t="s">
        <v>420</v>
      </c>
      <c r="J2" s="767"/>
      <c r="K2" s="219"/>
    </row>
    <row r="3" spans="1:12" x14ac:dyDescent="0.2">
      <c r="I3" s="217" t="s">
        <v>421</v>
      </c>
      <c r="J3" s="767"/>
      <c r="K3" s="219"/>
    </row>
    <row r="4" spans="1:12" x14ac:dyDescent="0.2">
      <c r="I4" s="217" t="s">
        <v>422</v>
      </c>
      <c r="J4" s="767"/>
      <c r="K4" s="219"/>
    </row>
    <row r="5" spans="1:12" x14ac:dyDescent="0.2">
      <c r="I5" s="217" t="s">
        <v>423</v>
      </c>
      <c r="J5" s="768"/>
      <c r="K5" s="219"/>
    </row>
    <row r="6" spans="1:12" x14ac:dyDescent="0.2">
      <c r="I6" s="217"/>
      <c r="J6" s="766"/>
      <c r="K6" s="219"/>
    </row>
    <row r="7" spans="1:12" x14ac:dyDescent="0.2">
      <c r="I7" s="217" t="s">
        <v>424</v>
      </c>
      <c r="J7" s="768"/>
      <c r="K7" s="220"/>
    </row>
    <row r="9" spans="1:12" ht="18" x14ac:dyDescent="0.2">
      <c r="A9" s="1809" t="s">
        <v>940</v>
      </c>
      <c r="B9" s="1809"/>
      <c r="C9" s="1809"/>
      <c r="D9" s="1809"/>
      <c r="E9" s="1809"/>
      <c r="F9" s="1809"/>
      <c r="G9" s="1809"/>
      <c r="H9" s="1809"/>
      <c r="I9" s="1809"/>
      <c r="J9" s="1809"/>
    </row>
    <row r="10" spans="1:12" ht="18" x14ac:dyDescent="0.2">
      <c r="A10" s="1809" t="s">
        <v>3</v>
      </c>
      <c r="B10" s="1809"/>
      <c r="C10" s="1809"/>
      <c r="D10" s="1809"/>
      <c r="E10" s="1809"/>
      <c r="F10" s="1809"/>
      <c r="G10" s="1809"/>
      <c r="H10" s="1809"/>
      <c r="I10" s="1809"/>
      <c r="J10" s="1809"/>
    </row>
    <row r="11" spans="1:12" ht="23.25" customHeight="1" x14ac:dyDescent="0.2">
      <c r="A11" s="1877" t="s">
        <v>820</v>
      </c>
      <c r="B11" s="1877"/>
      <c r="C11" s="1877"/>
      <c r="D11" s="1877"/>
      <c r="E11" s="1877"/>
      <c r="F11" s="1877"/>
      <c r="G11" s="1877"/>
      <c r="H11" s="1877"/>
      <c r="I11" s="1877"/>
      <c r="J11" s="1877"/>
      <c r="K11" s="1877"/>
      <c r="L11" s="1877"/>
    </row>
    <row r="12" spans="1:12" ht="13.5" customHeight="1" x14ac:dyDescent="0.25">
      <c r="A12" s="1005"/>
      <c r="B12" s="1005"/>
      <c r="C12" s="311" t="s">
        <v>40</v>
      </c>
      <c r="D12" s="664">
        <v>2014</v>
      </c>
      <c r="E12" s="901" t="s">
        <v>931</v>
      </c>
      <c r="F12" s="1005"/>
      <c r="G12" s="1005"/>
      <c r="H12" s="1005"/>
    </row>
    <row r="13" spans="1:12" ht="13.5" thickBot="1" x14ac:dyDescent="0.25"/>
    <row r="14" spans="1:12" ht="62.25" customHeight="1" x14ac:dyDescent="0.2">
      <c r="A14" s="1871" t="s">
        <v>4</v>
      </c>
      <c r="B14" s="1873" t="s">
        <v>346</v>
      </c>
      <c r="C14" s="221" t="s">
        <v>348</v>
      </c>
      <c r="D14" s="221" t="s">
        <v>530</v>
      </c>
      <c r="E14" s="221" t="s">
        <v>520</v>
      </c>
      <c r="F14" s="222" t="s">
        <v>791</v>
      </c>
      <c r="G14" s="1880" t="s">
        <v>792</v>
      </c>
      <c r="H14" s="222" t="s">
        <v>523</v>
      </c>
    </row>
    <row r="15" spans="1:12" ht="52.5" customHeight="1" thickBot="1" x14ac:dyDescent="0.25">
      <c r="A15" s="1878"/>
      <c r="B15" s="1879"/>
      <c r="C15" s="294" t="s">
        <v>6</v>
      </c>
      <c r="D15" s="294" t="s">
        <v>9</v>
      </c>
      <c r="E15" s="294" t="s">
        <v>10</v>
      </c>
      <c r="F15" s="295" t="s">
        <v>793</v>
      </c>
      <c r="G15" s="1881"/>
      <c r="H15" s="296" t="s">
        <v>517</v>
      </c>
    </row>
    <row r="16" spans="1:12" ht="25.5" x14ac:dyDescent="0.2">
      <c r="A16" s="843">
        <v>1611</v>
      </c>
      <c r="B16" s="839" t="s">
        <v>515</v>
      </c>
      <c r="C16" s="204"/>
      <c r="D16" s="293"/>
      <c r="E16" s="594">
        <f t="shared" ref="E16:E55" si="0">IF(D16=0,0,1/D16)</f>
        <v>0</v>
      </c>
      <c r="F16" s="796">
        <f>IF(D16=0,'App.2-CT_NewCGAAP_DepExp_2013'!O16,+'App.2-CT_NewCGAAP_DepExp_2013'!O16+((C16*0.5)/D16))</f>
        <v>0</v>
      </c>
      <c r="G16" s="204"/>
      <c r="H16" s="796">
        <f t="shared" ref="H16:H55" si="1">IF(ISERROR(+F16-G16), 0, +F16-G16)</f>
        <v>0</v>
      </c>
    </row>
    <row r="17" spans="1:8" ht="25.5" x14ac:dyDescent="0.2">
      <c r="A17" s="828">
        <v>1612</v>
      </c>
      <c r="B17" s="783" t="s">
        <v>650</v>
      </c>
      <c r="C17" s="204"/>
      <c r="D17" s="282"/>
      <c r="E17" s="586">
        <f t="shared" si="0"/>
        <v>0</v>
      </c>
      <c r="F17" s="796">
        <f>IF(D17=0,'App.2-CT_NewCGAAP_DepExp_2013'!O17,+'App.2-CT_NewCGAAP_DepExp_2013'!O17+((C17*0.5)/D17))</f>
        <v>0</v>
      </c>
      <c r="G17" s="204"/>
      <c r="H17" s="796">
        <f t="shared" si="1"/>
        <v>0</v>
      </c>
    </row>
    <row r="18" spans="1:8" x14ac:dyDescent="0.2">
      <c r="A18" s="829">
        <v>1805</v>
      </c>
      <c r="B18" s="786" t="s">
        <v>383</v>
      </c>
      <c r="C18" s="204"/>
      <c r="D18" s="282"/>
      <c r="E18" s="586">
        <f t="shared" si="0"/>
        <v>0</v>
      </c>
      <c r="F18" s="796">
        <f>IF(D18=0,'App.2-CT_NewCGAAP_DepExp_2013'!O18,+'App.2-CT_NewCGAAP_DepExp_2013'!O18+((C18*0.5)/D18))</f>
        <v>0</v>
      </c>
      <c r="G18" s="204"/>
      <c r="H18" s="796">
        <f t="shared" si="1"/>
        <v>0</v>
      </c>
    </row>
    <row r="19" spans="1:8" x14ac:dyDescent="0.2">
      <c r="A19" s="828">
        <v>1808</v>
      </c>
      <c r="B19" s="787" t="s">
        <v>384</v>
      </c>
      <c r="C19" s="204"/>
      <c r="D19" s="282"/>
      <c r="E19" s="586">
        <f t="shared" si="0"/>
        <v>0</v>
      </c>
      <c r="F19" s="796">
        <f>IF(D19=0,'App.2-CT_NewCGAAP_DepExp_2013'!O19,+'App.2-CT_NewCGAAP_DepExp_2013'!O19+((C19*0.5)/D19))</f>
        <v>0</v>
      </c>
      <c r="G19" s="204"/>
      <c r="H19" s="796">
        <f t="shared" si="1"/>
        <v>0</v>
      </c>
    </row>
    <row r="20" spans="1:8" x14ac:dyDescent="0.2">
      <c r="A20" s="828">
        <v>1810</v>
      </c>
      <c r="B20" s="787" t="s">
        <v>417</v>
      </c>
      <c r="C20" s="204"/>
      <c r="D20" s="282"/>
      <c r="E20" s="586">
        <f t="shared" si="0"/>
        <v>0</v>
      </c>
      <c r="F20" s="796">
        <f>IF(D20=0,'App.2-CT_NewCGAAP_DepExp_2013'!O20,+'App.2-CT_NewCGAAP_DepExp_2013'!O20+((C20*0.5)/D20))</f>
        <v>0</v>
      </c>
      <c r="G20" s="204"/>
      <c r="H20" s="796">
        <f t="shared" si="1"/>
        <v>0</v>
      </c>
    </row>
    <row r="21" spans="1:8" x14ac:dyDescent="0.2">
      <c r="A21" s="828">
        <v>1815</v>
      </c>
      <c r="B21" s="787" t="s">
        <v>385</v>
      </c>
      <c r="C21" s="204"/>
      <c r="D21" s="282"/>
      <c r="E21" s="586">
        <f t="shared" si="0"/>
        <v>0</v>
      </c>
      <c r="F21" s="796">
        <f>IF(D21=0,'App.2-CT_NewCGAAP_DepExp_2013'!O21,+'App.2-CT_NewCGAAP_DepExp_2013'!O21+((C21*0.5)/D21))</f>
        <v>0</v>
      </c>
      <c r="G21" s="204"/>
      <c r="H21" s="796">
        <f t="shared" si="1"/>
        <v>0</v>
      </c>
    </row>
    <row r="22" spans="1:8" x14ac:dyDescent="0.2">
      <c r="A22" s="828">
        <v>1820</v>
      </c>
      <c r="B22" s="783" t="s">
        <v>306</v>
      </c>
      <c r="C22" s="204"/>
      <c r="D22" s="282"/>
      <c r="E22" s="586">
        <f t="shared" si="0"/>
        <v>0</v>
      </c>
      <c r="F22" s="796">
        <f>IF(D22=0,'App.2-CT_NewCGAAP_DepExp_2013'!O22,+'App.2-CT_NewCGAAP_DepExp_2013'!O22+((C22*0.5)/D22))</f>
        <v>0</v>
      </c>
      <c r="G22" s="204"/>
      <c r="H22" s="796">
        <f t="shared" si="1"/>
        <v>0</v>
      </c>
    </row>
    <row r="23" spans="1:8" x14ac:dyDescent="0.2">
      <c r="A23" s="828">
        <v>1825</v>
      </c>
      <c r="B23" s="787" t="s">
        <v>386</v>
      </c>
      <c r="C23" s="204"/>
      <c r="D23" s="282"/>
      <c r="E23" s="586">
        <f t="shared" si="0"/>
        <v>0</v>
      </c>
      <c r="F23" s="796">
        <f>IF(D23=0,'App.2-CT_NewCGAAP_DepExp_2013'!O23,+'App.2-CT_NewCGAAP_DepExp_2013'!O23+((C23*0.5)/D23))</f>
        <v>0</v>
      </c>
      <c r="G23" s="204"/>
      <c r="H23" s="796">
        <f t="shared" si="1"/>
        <v>0</v>
      </c>
    </row>
    <row r="24" spans="1:8" x14ac:dyDescent="0.2">
      <c r="A24" s="828">
        <v>1830</v>
      </c>
      <c r="B24" s="787" t="s">
        <v>387</v>
      </c>
      <c r="C24" s="204"/>
      <c r="D24" s="282"/>
      <c r="E24" s="586">
        <f t="shared" si="0"/>
        <v>0</v>
      </c>
      <c r="F24" s="796">
        <f>IF(D24=0,'App.2-CT_NewCGAAP_DepExp_2013'!O24,+'App.2-CT_NewCGAAP_DepExp_2013'!O24+((C24*0.5)/D24))</f>
        <v>0</v>
      </c>
      <c r="G24" s="204"/>
      <c r="H24" s="796">
        <f t="shared" si="1"/>
        <v>0</v>
      </c>
    </row>
    <row r="25" spans="1:8" x14ac:dyDescent="0.2">
      <c r="A25" s="828">
        <v>1835</v>
      </c>
      <c r="B25" s="787" t="s">
        <v>307</v>
      </c>
      <c r="C25" s="204"/>
      <c r="D25" s="282"/>
      <c r="E25" s="586">
        <f t="shared" si="0"/>
        <v>0</v>
      </c>
      <c r="F25" s="796">
        <f>IF(D25=0,'App.2-CT_NewCGAAP_DepExp_2013'!O25,+'App.2-CT_NewCGAAP_DepExp_2013'!O25+((C25*0.5)/D25))</f>
        <v>0</v>
      </c>
      <c r="G25" s="204"/>
      <c r="H25" s="796">
        <f t="shared" si="1"/>
        <v>0</v>
      </c>
    </row>
    <row r="26" spans="1:8" x14ac:dyDescent="0.2">
      <c r="A26" s="828">
        <v>1840</v>
      </c>
      <c r="B26" s="787" t="s">
        <v>308</v>
      </c>
      <c r="C26" s="204"/>
      <c r="D26" s="282"/>
      <c r="E26" s="586">
        <f t="shared" si="0"/>
        <v>0</v>
      </c>
      <c r="F26" s="796">
        <f>IF(D26=0,'App.2-CT_NewCGAAP_DepExp_2013'!O26,+'App.2-CT_NewCGAAP_DepExp_2013'!O26+((C26*0.5)/D26))</f>
        <v>0</v>
      </c>
      <c r="G26" s="204"/>
      <c r="H26" s="796">
        <f t="shared" si="1"/>
        <v>0</v>
      </c>
    </row>
    <row r="27" spans="1:8" x14ac:dyDescent="0.2">
      <c r="A27" s="828">
        <v>1845</v>
      </c>
      <c r="B27" s="787" t="s">
        <v>309</v>
      </c>
      <c r="C27" s="204"/>
      <c r="D27" s="282"/>
      <c r="E27" s="586">
        <f t="shared" si="0"/>
        <v>0</v>
      </c>
      <c r="F27" s="796">
        <f>IF(D27=0,'App.2-CT_NewCGAAP_DepExp_2013'!O27,+'App.2-CT_NewCGAAP_DepExp_2013'!O27+((C27*0.5)/D27))</f>
        <v>0</v>
      </c>
      <c r="G27" s="204"/>
      <c r="H27" s="796">
        <f t="shared" si="1"/>
        <v>0</v>
      </c>
    </row>
    <row r="28" spans="1:8" x14ac:dyDescent="0.2">
      <c r="A28" s="828">
        <v>1850</v>
      </c>
      <c r="B28" s="787" t="s">
        <v>388</v>
      </c>
      <c r="C28" s="204"/>
      <c r="D28" s="282"/>
      <c r="E28" s="586">
        <f t="shared" si="0"/>
        <v>0</v>
      </c>
      <c r="F28" s="796">
        <f>IF(D28=0,'App.2-CT_NewCGAAP_DepExp_2013'!O28,+'App.2-CT_NewCGAAP_DepExp_2013'!O28+((C28*0.5)/D28))</f>
        <v>0</v>
      </c>
      <c r="G28" s="204"/>
      <c r="H28" s="796">
        <f t="shared" si="1"/>
        <v>0</v>
      </c>
    </row>
    <row r="29" spans="1:8" x14ac:dyDescent="0.2">
      <c r="A29" s="828">
        <v>1855</v>
      </c>
      <c r="B29" s="787" t="s">
        <v>310</v>
      </c>
      <c r="C29" s="204"/>
      <c r="D29" s="282"/>
      <c r="E29" s="586">
        <f t="shared" si="0"/>
        <v>0</v>
      </c>
      <c r="F29" s="796">
        <f>IF(D29=0,'App.2-CT_NewCGAAP_DepExp_2013'!O29,+'App.2-CT_NewCGAAP_DepExp_2013'!O29+((C29*0.5)/D29))</f>
        <v>0</v>
      </c>
      <c r="G29" s="204"/>
      <c r="H29" s="796">
        <f t="shared" si="1"/>
        <v>0</v>
      </c>
    </row>
    <row r="30" spans="1:8" x14ac:dyDescent="0.2">
      <c r="A30" s="828">
        <v>1860</v>
      </c>
      <c r="B30" s="787" t="s">
        <v>389</v>
      </c>
      <c r="C30" s="204"/>
      <c r="D30" s="282"/>
      <c r="E30" s="586">
        <f t="shared" si="0"/>
        <v>0</v>
      </c>
      <c r="F30" s="796">
        <f>IF(D30=0,'App.2-CT_NewCGAAP_DepExp_2013'!O30,+'App.2-CT_NewCGAAP_DepExp_2013'!O30+((C30*0.5)/D30))</f>
        <v>0</v>
      </c>
      <c r="G30" s="204"/>
      <c r="H30" s="796">
        <f t="shared" si="1"/>
        <v>0</v>
      </c>
    </row>
    <row r="31" spans="1:8" x14ac:dyDescent="0.2">
      <c r="A31" s="829">
        <v>1860</v>
      </c>
      <c r="B31" s="786" t="s">
        <v>311</v>
      </c>
      <c r="C31" s="204"/>
      <c r="D31" s="282"/>
      <c r="E31" s="586">
        <f t="shared" si="0"/>
        <v>0</v>
      </c>
      <c r="F31" s="796">
        <f>IF(D31=0,'App.2-CT_NewCGAAP_DepExp_2013'!O31,+'App.2-CT_NewCGAAP_DepExp_2013'!O31+((C31*0.5)/D31))</f>
        <v>0</v>
      </c>
      <c r="G31" s="204"/>
      <c r="H31" s="796">
        <f t="shared" si="1"/>
        <v>0</v>
      </c>
    </row>
    <row r="32" spans="1:8" x14ac:dyDescent="0.2">
      <c r="A32" s="829">
        <v>1905</v>
      </c>
      <c r="B32" s="786" t="s">
        <v>383</v>
      </c>
      <c r="C32" s="204"/>
      <c r="D32" s="282"/>
      <c r="E32" s="586">
        <f t="shared" si="0"/>
        <v>0</v>
      </c>
      <c r="F32" s="796">
        <f>IF(D32=0,'App.2-CT_NewCGAAP_DepExp_2013'!O32,+'App.2-CT_NewCGAAP_DepExp_2013'!O32+((C32*0.5)/D32))</f>
        <v>0</v>
      </c>
      <c r="G32" s="204"/>
      <c r="H32" s="796">
        <f t="shared" si="1"/>
        <v>0</v>
      </c>
    </row>
    <row r="33" spans="1:8" x14ac:dyDescent="0.2">
      <c r="A33" s="828">
        <v>1908</v>
      </c>
      <c r="B33" s="787" t="s">
        <v>391</v>
      </c>
      <c r="C33" s="204"/>
      <c r="D33" s="282"/>
      <c r="E33" s="586">
        <f t="shared" si="0"/>
        <v>0</v>
      </c>
      <c r="F33" s="796">
        <f>IF(D33=0,'App.2-CT_NewCGAAP_DepExp_2013'!O33,+'App.2-CT_NewCGAAP_DepExp_2013'!O33+((C33*0.5)/D33))</f>
        <v>0</v>
      </c>
      <c r="G33" s="204"/>
      <c r="H33" s="796">
        <f t="shared" si="1"/>
        <v>0</v>
      </c>
    </row>
    <row r="34" spans="1:8" x14ac:dyDescent="0.2">
      <c r="A34" s="828">
        <v>1910</v>
      </c>
      <c r="B34" s="787" t="s">
        <v>417</v>
      </c>
      <c r="C34" s="204"/>
      <c r="D34" s="282"/>
      <c r="E34" s="586">
        <f t="shared" si="0"/>
        <v>0</v>
      </c>
      <c r="F34" s="796">
        <f>IF(D34=0,'App.2-CT_NewCGAAP_DepExp_2013'!O34,+'App.2-CT_NewCGAAP_DepExp_2013'!O34+((C34*0.5)/D34))</f>
        <v>0</v>
      </c>
      <c r="G34" s="204"/>
      <c r="H34" s="796">
        <f t="shared" si="1"/>
        <v>0</v>
      </c>
    </row>
    <row r="35" spans="1:8" x14ac:dyDescent="0.2">
      <c r="A35" s="828">
        <v>1915</v>
      </c>
      <c r="B35" s="787" t="s">
        <v>312</v>
      </c>
      <c r="C35" s="204"/>
      <c r="D35" s="282"/>
      <c r="E35" s="586">
        <f t="shared" si="0"/>
        <v>0</v>
      </c>
      <c r="F35" s="796">
        <f>IF(D35=0,'App.2-CT_NewCGAAP_DepExp_2013'!O35,+'App.2-CT_NewCGAAP_DepExp_2013'!O35+((C35*0.5)/D35))</f>
        <v>0</v>
      </c>
      <c r="G35" s="204"/>
      <c r="H35" s="796">
        <f t="shared" si="1"/>
        <v>0</v>
      </c>
    </row>
    <row r="36" spans="1:8" x14ac:dyDescent="0.2">
      <c r="A36" s="828">
        <v>1915</v>
      </c>
      <c r="B36" s="787" t="s">
        <v>313</v>
      </c>
      <c r="C36" s="204"/>
      <c r="D36" s="282"/>
      <c r="E36" s="586">
        <f t="shared" si="0"/>
        <v>0</v>
      </c>
      <c r="F36" s="796">
        <f>IF(D36=0,'App.2-CT_NewCGAAP_DepExp_2013'!O36,+'App.2-CT_NewCGAAP_DepExp_2013'!O36+((C36*0.5)/D36))</f>
        <v>0</v>
      </c>
      <c r="G36" s="204"/>
      <c r="H36" s="796">
        <f t="shared" si="1"/>
        <v>0</v>
      </c>
    </row>
    <row r="37" spans="1:8" x14ac:dyDescent="0.2">
      <c r="A37" s="828">
        <v>1920</v>
      </c>
      <c r="B37" s="787" t="s">
        <v>314</v>
      </c>
      <c r="C37" s="204"/>
      <c r="D37" s="282"/>
      <c r="E37" s="586">
        <f t="shared" si="0"/>
        <v>0</v>
      </c>
      <c r="F37" s="796">
        <f>IF(D37=0,'App.2-CT_NewCGAAP_DepExp_2013'!O37,+'App.2-CT_NewCGAAP_DepExp_2013'!O37+((C37*0.5)/D37))</f>
        <v>0</v>
      </c>
      <c r="G37" s="204"/>
      <c r="H37" s="796">
        <f t="shared" si="1"/>
        <v>0</v>
      </c>
    </row>
    <row r="38" spans="1:8" x14ac:dyDescent="0.2">
      <c r="A38" s="830">
        <v>1920</v>
      </c>
      <c r="B38" s="783" t="s">
        <v>316</v>
      </c>
      <c r="C38" s="204"/>
      <c r="D38" s="282"/>
      <c r="E38" s="586">
        <f t="shared" si="0"/>
        <v>0</v>
      </c>
      <c r="F38" s="796">
        <f>IF(D38=0,'App.2-CT_NewCGAAP_DepExp_2013'!O38,+'App.2-CT_NewCGAAP_DepExp_2013'!O38+((C38*0.5)/D38))</f>
        <v>0</v>
      </c>
      <c r="G38" s="204"/>
      <c r="H38" s="796">
        <f t="shared" si="1"/>
        <v>0</v>
      </c>
    </row>
    <row r="39" spans="1:8" x14ac:dyDescent="0.2">
      <c r="A39" s="830">
        <v>1920</v>
      </c>
      <c r="B39" s="783" t="s">
        <v>315</v>
      </c>
      <c r="C39" s="204"/>
      <c r="D39" s="282"/>
      <c r="E39" s="586">
        <f t="shared" si="0"/>
        <v>0</v>
      </c>
      <c r="F39" s="796">
        <f>IF(D39=0,'App.2-CT_NewCGAAP_DepExp_2013'!O39,+'App.2-CT_NewCGAAP_DepExp_2013'!O39+((C39*0.5)/D39))</f>
        <v>0</v>
      </c>
      <c r="G39" s="204"/>
      <c r="H39" s="796">
        <f t="shared" si="1"/>
        <v>0</v>
      </c>
    </row>
    <row r="40" spans="1:8" x14ac:dyDescent="0.2">
      <c r="A40" s="828">
        <v>1930</v>
      </c>
      <c r="B40" s="787" t="s">
        <v>404</v>
      </c>
      <c r="C40" s="204"/>
      <c r="D40" s="282"/>
      <c r="E40" s="586">
        <f t="shared" si="0"/>
        <v>0</v>
      </c>
      <c r="F40" s="796">
        <f>IF(D40=0,'App.2-CT_NewCGAAP_DepExp_2013'!O40,+'App.2-CT_NewCGAAP_DepExp_2013'!O40+((C40*0.5)/D40))</f>
        <v>0</v>
      </c>
      <c r="G40" s="204"/>
      <c r="H40" s="796">
        <f t="shared" si="1"/>
        <v>0</v>
      </c>
    </row>
    <row r="41" spans="1:8" x14ac:dyDescent="0.2">
      <c r="A41" s="828">
        <v>1935</v>
      </c>
      <c r="B41" s="787" t="s">
        <v>405</v>
      </c>
      <c r="C41" s="204"/>
      <c r="D41" s="282"/>
      <c r="E41" s="586">
        <f t="shared" si="0"/>
        <v>0</v>
      </c>
      <c r="F41" s="796">
        <f>IF(D41=0,'App.2-CT_NewCGAAP_DepExp_2013'!O41,+'App.2-CT_NewCGAAP_DepExp_2013'!O41+((C41*0.5)/D41))</f>
        <v>0</v>
      </c>
      <c r="G41" s="204"/>
      <c r="H41" s="796">
        <f t="shared" si="1"/>
        <v>0</v>
      </c>
    </row>
    <row r="42" spans="1:8" x14ac:dyDescent="0.2">
      <c r="A42" s="828">
        <v>1940</v>
      </c>
      <c r="B42" s="787" t="s">
        <v>406</v>
      </c>
      <c r="C42" s="204"/>
      <c r="D42" s="282"/>
      <c r="E42" s="586">
        <f t="shared" si="0"/>
        <v>0</v>
      </c>
      <c r="F42" s="796">
        <f>IF(D42=0,'App.2-CT_NewCGAAP_DepExp_2013'!O42,+'App.2-CT_NewCGAAP_DepExp_2013'!O42+((C42*0.5)/D42))</f>
        <v>0</v>
      </c>
      <c r="G42" s="204"/>
      <c r="H42" s="796">
        <f t="shared" si="1"/>
        <v>0</v>
      </c>
    </row>
    <row r="43" spans="1:8" x14ac:dyDescent="0.2">
      <c r="A43" s="828">
        <v>1945</v>
      </c>
      <c r="B43" s="787" t="s">
        <v>407</v>
      </c>
      <c r="C43" s="204"/>
      <c r="D43" s="282"/>
      <c r="E43" s="586">
        <f t="shared" si="0"/>
        <v>0</v>
      </c>
      <c r="F43" s="796">
        <f>IF(D43=0,'App.2-CT_NewCGAAP_DepExp_2013'!O43,+'App.2-CT_NewCGAAP_DepExp_2013'!O43+((C43*0.5)/D43))</f>
        <v>0</v>
      </c>
      <c r="G43" s="204"/>
      <c r="H43" s="796">
        <f t="shared" si="1"/>
        <v>0</v>
      </c>
    </row>
    <row r="44" spans="1:8" x14ac:dyDescent="0.2">
      <c r="A44" s="828">
        <v>1950</v>
      </c>
      <c r="B44" s="787" t="s">
        <v>317</v>
      </c>
      <c r="C44" s="204"/>
      <c r="D44" s="282"/>
      <c r="E44" s="586">
        <f t="shared" si="0"/>
        <v>0</v>
      </c>
      <c r="F44" s="796">
        <f>IF(D44=0,'App.2-CT_NewCGAAP_DepExp_2013'!O44,+'App.2-CT_NewCGAAP_DepExp_2013'!O44+((C44*0.5)/D44))</f>
        <v>0</v>
      </c>
      <c r="G44" s="204"/>
      <c r="H44" s="796">
        <f t="shared" si="1"/>
        <v>0</v>
      </c>
    </row>
    <row r="45" spans="1:8" x14ac:dyDescent="0.2">
      <c r="A45" s="828">
        <v>1955</v>
      </c>
      <c r="B45" s="787" t="s">
        <v>408</v>
      </c>
      <c r="C45" s="204"/>
      <c r="D45" s="282"/>
      <c r="E45" s="586">
        <f t="shared" si="0"/>
        <v>0</v>
      </c>
      <c r="F45" s="796">
        <f>IF(D45=0,'App.2-CT_NewCGAAP_DepExp_2013'!O45,+'App.2-CT_NewCGAAP_DepExp_2013'!O45+((C45*0.5)/D45))</f>
        <v>0</v>
      </c>
      <c r="G45" s="204"/>
      <c r="H45" s="796">
        <f t="shared" si="1"/>
        <v>0</v>
      </c>
    </row>
    <row r="46" spans="1:8" x14ac:dyDescent="0.2">
      <c r="A46" s="831">
        <v>1955</v>
      </c>
      <c r="B46" s="790" t="s">
        <v>318</v>
      </c>
      <c r="C46" s="204"/>
      <c r="D46" s="282"/>
      <c r="E46" s="586">
        <f t="shared" si="0"/>
        <v>0</v>
      </c>
      <c r="F46" s="796">
        <f>IF(D46=0,'App.2-CT_NewCGAAP_DepExp_2013'!O46,+'App.2-CT_NewCGAAP_DepExp_2013'!O46+((C46*0.5)/D46))</f>
        <v>0</v>
      </c>
      <c r="G46" s="204"/>
      <c r="H46" s="796">
        <f t="shared" si="1"/>
        <v>0</v>
      </c>
    </row>
    <row r="47" spans="1:8" x14ac:dyDescent="0.2">
      <c r="A47" s="830">
        <v>1960</v>
      </c>
      <c r="B47" s="783" t="s">
        <v>319</v>
      </c>
      <c r="C47" s="204"/>
      <c r="D47" s="282"/>
      <c r="E47" s="586">
        <f t="shared" si="0"/>
        <v>0</v>
      </c>
      <c r="F47" s="796">
        <f>IF(D47=0,'App.2-CT_NewCGAAP_DepExp_2013'!O47,+'App.2-CT_NewCGAAP_DepExp_2013'!O47+((C47*0.5)/D47))</f>
        <v>0</v>
      </c>
      <c r="G47" s="204"/>
      <c r="H47" s="796">
        <f t="shared" si="1"/>
        <v>0</v>
      </c>
    </row>
    <row r="48" spans="1:8" x14ac:dyDescent="0.2">
      <c r="A48" s="830">
        <v>1970</v>
      </c>
      <c r="B48" s="900" t="s">
        <v>929</v>
      </c>
      <c r="C48" s="204"/>
      <c r="D48" s="282"/>
      <c r="E48" s="586">
        <f t="shared" si="0"/>
        <v>0</v>
      </c>
      <c r="F48" s="796">
        <f>IF(D48=0,'App.2-CT_NewCGAAP_DepExp_2013'!O48,+'App.2-CT_NewCGAAP_DepExp_2013'!O48+((C48*0.5)/D48))</f>
        <v>0</v>
      </c>
      <c r="G48" s="204"/>
      <c r="H48" s="796">
        <f t="shared" si="1"/>
        <v>0</v>
      </c>
    </row>
    <row r="49" spans="1:12" x14ac:dyDescent="0.2">
      <c r="A49" s="828">
        <v>1975</v>
      </c>
      <c r="B49" s="787" t="s">
        <v>409</v>
      </c>
      <c r="C49" s="204"/>
      <c r="D49" s="282"/>
      <c r="E49" s="586">
        <f t="shared" si="0"/>
        <v>0</v>
      </c>
      <c r="F49" s="796">
        <f>IF(D49=0,'App.2-CT_NewCGAAP_DepExp_2013'!O49,+'App.2-CT_NewCGAAP_DepExp_2013'!O49+((C49*0.5)/D49))</f>
        <v>0</v>
      </c>
      <c r="G49" s="204"/>
      <c r="H49" s="796">
        <f t="shared" si="1"/>
        <v>0</v>
      </c>
    </row>
    <row r="50" spans="1:12" x14ac:dyDescent="0.2">
      <c r="A50" s="828">
        <v>1980</v>
      </c>
      <c r="B50" s="787" t="s">
        <v>410</v>
      </c>
      <c r="C50" s="204"/>
      <c r="D50" s="282"/>
      <c r="E50" s="586">
        <f t="shared" si="0"/>
        <v>0</v>
      </c>
      <c r="F50" s="796">
        <f>IF(D50=0,'App.2-CT_NewCGAAP_DepExp_2013'!O50,+'App.2-CT_NewCGAAP_DepExp_2013'!O50+((C50*0.5)/D50))</f>
        <v>0</v>
      </c>
      <c r="G50" s="204"/>
      <c r="H50" s="796">
        <f t="shared" si="1"/>
        <v>0</v>
      </c>
    </row>
    <row r="51" spans="1:12" x14ac:dyDescent="0.2">
      <c r="A51" s="828">
        <v>1985</v>
      </c>
      <c r="B51" s="787" t="s">
        <v>411</v>
      </c>
      <c r="C51" s="204"/>
      <c r="D51" s="282"/>
      <c r="E51" s="586">
        <f t="shared" si="0"/>
        <v>0</v>
      </c>
      <c r="F51" s="796">
        <f>IF(D51=0,'App.2-CT_NewCGAAP_DepExp_2013'!O51,+'App.2-CT_NewCGAAP_DepExp_2013'!O51+((C51*0.5)/D51))</f>
        <v>0</v>
      </c>
      <c r="G51" s="204"/>
      <c r="H51" s="796">
        <f t="shared" si="1"/>
        <v>0</v>
      </c>
    </row>
    <row r="52" spans="1:12" x14ac:dyDescent="0.2">
      <c r="A52" s="828">
        <v>1990</v>
      </c>
      <c r="B52" s="791" t="s">
        <v>774</v>
      </c>
      <c r="C52" s="204"/>
      <c r="D52" s="282"/>
      <c r="E52" s="586">
        <f t="shared" si="0"/>
        <v>0</v>
      </c>
      <c r="F52" s="796">
        <f>IF(D52=0,'App.2-CT_NewCGAAP_DepExp_2013'!O52,+'App.2-CT_NewCGAAP_DepExp_2013'!O52+((C52*0.5)/D52))</f>
        <v>0</v>
      </c>
      <c r="G52" s="204"/>
      <c r="H52" s="796">
        <f t="shared" si="1"/>
        <v>0</v>
      </c>
    </row>
    <row r="53" spans="1:12" x14ac:dyDescent="0.2">
      <c r="A53" s="828">
        <v>1995</v>
      </c>
      <c r="B53" s="787" t="s">
        <v>412</v>
      </c>
      <c r="C53" s="204"/>
      <c r="D53" s="281"/>
      <c r="E53" s="586">
        <f t="shared" si="0"/>
        <v>0</v>
      </c>
      <c r="F53" s="796">
        <f>IF(D53=0,'App.2-CT_NewCGAAP_DepExp_2013'!O53,+'App.2-CT_NewCGAAP_DepExp_2013'!O53+((C53*0.5)/D53))</f>
        <v>0</v>
      </c>
      <c r="G53" s="204"/>
      <c r="H53" s="796">
        <f t="shared" si="1"/>
        <v>0</v>
      </c>
    </row>
    <row r="54" spans="1:12" x14ac:dyDescent="0.2">
      <c r="A54" s="227" t="s">
        <v>13</v>
      </c>
      <c r="B54" s="228"/>
      <c r="C54" s="204"/>
      <c r="D54" s="281"/>
      <c r="E54" s="586">
        <f t="shared" si="0"/>
        <v>0</v>
      </c>
      <c r="F54" s="796">
        <f>IF(D54=0,'App.2-CT_NewCGAAP_DepExp_2013'!O54,+'App.2-CT_NewCGAAP_DepExp_2013'!O54+((C54*0.5)/D54))</f>
        <v>0</v>
      </c>
      <c r="G54" s="204"/>
      <c r="H54" s="796">
        <f t="shared" si="1"/>
        <v>0</v>
      </c>
    </row>
    <row r="55" spans="1:12" ht="13.5" thickBot="1" x14ac:dyDescent="0.25">
      <c r="A55" s="229"/>
      <c r="B55" s="230"/>
      <c r="C55" s="204"/>
      <c r="D55" s="595"/>
      <c r="E55" s="593">
        <f t="shared" si="0"/>
        <v>0</v>
      </c>
      <c r="F55" s="796">
        <f>IF(D55=0,'App.2-CT_NewCGAAP_DepExp_2013'!O55,+'App.2-CT_NewCGAAP_DepExp_2013'!O55+((C55*0.5)/D55))</f>
        <v>0</v>
      </c>
      <c r="G55" s="204"/>
      <c r="H55" s="796">
        <f t="shared" si="1"/>
        <v>0</v>
      </c>
    </row>
    <row r="56" spans="1:12" ht="14.25" thickTop="1" thickBot="1" x14ac:dyDescent="0.25">
      <c r="A56" s="231"/>
      <c r="B56" s="232" t="s">
        <v>413</v>
      </c>
      <c r="C56" s="796">
        <f>SUM(C16:C55)</f>
        <v>0</v>
      </c>
      <c r="D56" s="233"/>
      <c r="E56" s="233"/>
      <c r="F56" s="796">
        <f>SUM(F16:F55)</f>
        <v>0</v>
      </c>
      <c r="G56" s="796">
        <f>SUM(G16:G55)</f>
        <v>0</v>
      </c>
      <c r="H56" s="796">
        <f>SUM(H16:H55)</f>
        <v>0</v>
      </c>
    </row>
    <row r="57" spans="1:12" ht="24.75" customHeight="1" x14ac:dyDescent="0.2">
      <c r="A57" s="239"/>
      <c r="B57" s="1866" t="s">
        <v>534</v>
      </c>
      <c r="C57" s="1866"/>
      <c r="D57" s="1866"/>
      <c r="E57" s="1889"/>
      <c r="F57" s="796">
        <f>+F56</f>
        <v>0</v>
      </c>
      <c r="H57" s="240"/>
      <c r="I57" s="176"/>
      <c r="J57" s="241"/>
    </row>
    <row r="59" spans="1:12" x14ac:dyDescent="0.2">
      <c r="A59" s="217" t="s">
        <v>15</v>
      </c>
      <c r="B59" s="236"/>
      <c r="C59" s="236"/>
      <c r="D59" s="236"/>
      <c r="E59" s="236"/>
      <c r="F59" s="236"/>
      <c r="G59" s="236"/>
      <c r="H59" s="236"/>
    </row>
    <row r="60" spans="1:12" ht="29.25" customHeight="1" x14ac:dyDescent="0.2">
      <c r="A60" s="301">
        <v>1</v>
      </c>
      <c r="B60" s="1857" t="s">
        <v>607</v>
      </c>
      <c r="C60" s="1857"/>
      <c r="D60" s="1857"/>
      <c r="E60" s="1857"/>
      <c r="F60" s="1857"/>
      <c r="G60" s="1857"/>
      <c r="H60" s="1857"/>
      <c r="I60" s="1857"/>
      <c r="J60" s="1857"/>
    </row>
    <row r="61" spans="1:12" x14ac:dyDescent="0.2">
      <c r="A61" s="284">
        <v>2</v>
      </c>
      <c r="B61" s="1857" t="s">
        <v>1934</v>
      </c>
      <c r="C61" s="1857"/>
      <c r="D61" s="1857"/>
      <c r="E61" s="1857"/>
      <c r="F61" s="1857"/>
      <c r="G61" s="1857"/>
      <c r="H61" s="1857"/>
      <c r="I61" s="1857"/>
      <c r="J61" s="1857"/>
    </row>
    <row r="63" spans="1:12" ht="12.75" customHeight="1" x14ac:dyDescent="0.2">
      <c r="A63" s="217" t="s">
        <v>325</v>
      </c>
      <c r="B63" s="1869" t="s">
        <v>270</v>
      </c>
      <c r="C63" s="1869"/>
      <c r="D63" s="1869"/>
      <c r="E63" s="1869"/>
      <c r="F63" s="1869"/>
      <c r="G63" s="1869"/>
      <c r="H63" s="1869"/>
      <c r="I63" s="1869"/>
      <c r="J63" s="1869"/>
      <c r="K63" s="1007"/>
      <c r="L63" s="1007"/>
    </row>
    <row r="64" spans="1:12" ht="15" customHeight="1" x14ac:dyDescent="0.2">
      <c r="B64" s="1869"/>
      <c r="C64" s="1869"/>
      <c r="D64" s="1869"/>
      <c r="E64" s="1869"/>
      <c r="F64" s="1869"/>
      <c r="G64" s="1869"/>
      <c r="H64" s="1869"/>
      <c r="I64" s="1869"/>
      <c r="J64" s="1869"/>
      <c r="K64" s="1007"/>
      <c r="L64" s="1007"/>
    </row>
    <row r="65" spans="1:12" ht="15" customHeight="1" x14ac:dyDescent="0.2">
      <c r="K65" s="686"/>
      <c r="L65" s="686"/>
    </row>
    <row r="66" spans="1:12" x14ac:dyDescent="0.2">
      <c r="B66" s="686"/>
      <c r="C66" s="686"/>
      <c r="D66" s="686"/>
      <c r="E66" s="686"/>
      <c r="F66" s="686"/>
      <c r="G66" s="686"/>
      <c r="H66" s="686"/>
      <c r="I66" s="686"/>
      <c r="J66" s="686"/>
      <c r="K66" s="686"/>
      <c r="L66" s="686"/>
    </row>
    <row r="70" spans="1:12" x14ac:dyDescent="0.2">
      <c r="G70" s="689"/>
    </row>
    <row r="71" spans="1:12" x14ac:dyDescent="0.2">
      <c r="A71" s="236"/>
      <c r="B71" s="236"/>
      <c r="C71" s="236"/>
      <c r="D71" s="236"/>
      <c r="E71" s="236"/>
      <c r="F71" s="236"/>
      <c r="G71" s="236"/>
      <c r="H71" s="236"/>
    </row>
    <row r="72" spans="1:12" ht="12.75" customHeight="1" x14ac:dyDescent="0.2">
      <c r="B72" s="684"/>
      <c r="C72" s="684"/>
      <c r="D72" s="684"/>
      <c r="E72" s="684"/>
      <c r="F72" s="236"/>
      <c r="G72" s="236"/>
      <c r="H72" s="236"/>
    </row>
    <row r="73" spans="1:12" x14ac:dyDescent="0.2">
      <c r="A73" s="684"/>
      <c r="B73" s="684"/>
      <c r="C73" s="684"/>
      <c r="D73" s="684"/>
      <c r="E73" s="684"/>
      <c r="F73" s="236"/>
      <c r="G73" s="236"/>
      <c r="H73" s="236"/>
    </row>
    <row r="74" spans="1:12" x14ac:dyDescent="0.2">
      <c r="B74" s="684"/>
      <c r="C74" s="684"/>
      <c r="D74" s="684"/>
      <c r="E74" s="684"/>
      <c r="F74" s="236"/>
      <c r="G74" s="236"/>
      <c r="H74" s="236"/>
    </row>
    <row r="76" spans="1:12" x14ac:dyDescent="0.2">
      <c r="A76" s="236"/>
    </row>
    <row r="77" spans="1:12" x14ac:dyDescent="0.2">
      <c r="A77" s="236"/>
    </row>
  </sheetData>
  <mergeCells count="10">
    <mergeCell ref="B61:J61"/>
    <mergeCell ref="B63:J64"/>
    <mergeCell ref="A9:J9"/>
    <mergeCell ref="A10:J10"/>
    <mergeCell ref="A11:L11"/>
    <mergeCell ref="A14:A15"/>
    <mergeCell ref="B14:B15"/>
    <mergeCell ref="G14:G15"/>
    <mergeCell ref="B57:E57"/>
    <mergeCell ref="B60:J60"/>
  </mergeCells>
  <dataValidations count="1">
    <dataValidation allowBlank="1" showInputMessage="1" showErrorMessage="1" promptTitle="Date Format" prompt="E.g:  &quot;August 1, 2011&quot;" sqref="WVP98304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dataValidations>
  <printOptions horizontalCentered="1"/>
  <pageMargins left="0.74803149606299213" right="0.74803149606299213" top="0.70866141732283472" bottom="0.39370078740157483" header="0.39370078740157483" footer="0.27559055118110237"/>
  <pageSetup scale="5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N66"/>
  <sheetViews>
    <sheetView showGridLines="0" topLeftCell="A4" zoomScale="85" zoomScaleNormal="85" workbookViewId="0">
      <selection activeCell="K2" sqref="K2"/>
    </sheetView>
  </sheetViews>
  <sheetFormatPr defaultRowHeight="12.75" x14ac:dyDescent="0.2"/>
  <cols>
    <col min="1" max="1" width="9.140625" style="216"/>
    <col min="2" max="2" width="40.28515625" style="216" bestFit="1" customWidth="1"/>
    <col min="3" max="3" width="13.7109375" style="216" customWidth="1"/>
    <col min="4" max="5" width="12.85546875" style="216" customWidth="1"/>
    <col min="6" max="6" width="13.42578125" style="216" customWidth="1"/>
    <col min="7" max="7" width="17.85546875" style="216" customWidth="1"/>
    <col min="8" max="8" width="7.7109375" style="216" customWidth="1"/>
    <col min="9" max="9" width="12.28515625" style="216" customWidth="1"/>
    <col min="10" max="10" width="12.7109375" style="216" customWidth="1"/>
    <col min="11" max="11" width="17.28515625" style="216" customWidth="1"/>
    <col min="12" max="12" width="11.85546875" style="216" customWidth="1"/>
    <col min="13" max="257" width="9.140625" style="216"/>
    <col min="258" max="258" width="2.7109375" style="216" customWidth="1"/>
    <col min="259" max="259" width="9.140625" style="216"/>
    <col min="260" max="260" width="40.28515625" style="216" bestFit="1" customWidth="1"/>
    <col min="261" max="261" width="12.85546875" style="216" customWidth="1"/>
    <col min="262" max="262" width="10" style="216" customWidth="1"/>
    <col min="263" max="263" width="17.85546875" style="216" customWidth="1"/>
    <col min="264" max="264" width="7.7109375" style="216" customWidth="1"/>
    <col min="265" max="265" width="12.28515625" style="216" customWidth="1"/>
    <col min="266" max="266" width="12.7109375" style="216" customWidth="1"/>
    <col min="267" max="267" width="13.5703125" style="216" customWidth="1"/>
    <col min="268" max="268" width="11.85546875" style="216" customWidth="1"/>
    <col min="269" max="513" width="9.140625" style="216"/>
    <col min="514" max="514" width="2.7109375" style="216" customWidth="1"/>
    <col min="515" max="515" width="9.140625" style="216"/>
    <col min="516" max="516" width="40.28515625" style="216" bestFit="1" customWidth="1"/>
    <col min="517" max="517" width="12.85546875" style="216" customWidth="1"/>
    <col min="518" max="518" width="10" style="216" customWidth="1"/>
    <col min="519" max="519" width="17.85546875" style="216" customWidth="1"/>
    <col min="520" max="520" width="7.7109375" style="216" customWidth="1"/>
    <col min="521" max="521" width="12.28515625" style="216" customWidth="1"/>
    <col min="522" max="522" width="12.7109375" style="216" customWidth="1"/>
    <col min="523" max="523" width="13.5703125" style="216" customWidth="1"/>
    <col min="524" max="524" width="11.85546875" style="216" customWidth="1"/>
    <col min="525" max="769" width="9.140625" style="216"/>
    <col min="770" max="770" width="2.7109375" style="216" customWidth="1"/>
    <col min="771" max="771" width="9.140625" style="216"/>
    <col min="772" max="772" width="40.28515625" style="216" bestFit="1" customWidth="1"/>
    <col min="773" max="773" width="12.85546875" style="216" customWidth="1"/>
    <col min="774" max="774" width="10" style="216" customWidth="1"/>
    <col min="775" max="775" width="17.85546875" style="216" customWidth="1"/>
    <col min="776" max="776" width="7.7109375" style="216" customWidth="1"/>
    <col min="777" max="777" width="12.28515625" style="216" customWidth="1"/>
    <col min="778" max="778" width="12.7109375" style="216" customWidth="1"/>
    <col min="779" max="779" width="13.5703125" style="216" customWidth="1"/>
    <col min="780" max="780" width="11.85546875" style="216" customWidth="1"/>
    <col min="781" max="1025" width="9.140625" style="216"/>
    <col min="1026" max="1026" width="2.7109375" style="216" customWidth="1"/>
    <col min="1027" max="1027" width="9.140625" style="216"/>
    <col min="1028" max="1028" width="40.28515625" style="216" bestFit="1" customWidth="1"/>
    <col min="1029" max="1029" width="12.85546875" style="216" customWidth="1"/>
    <col min="1030" max="1030" width="10" style="216" customWidth="1"/>
    <col min="1031" max="1031" width="17.85546875" style="216" customWidth="1"/>
    <col min="1032" max="1032" width="7.7109375" style="216" customWidth="1"/>
    <col min="1033" max="1033" width="12.28515625" style="216" customWidth="1"/>
    <col min="1034" max="1034" width="12.7109375" style="216" customWidth="1"/>
    <col min="1035" max="1035" width="13.5703125" style="216" customWidth="1"/>
    <col min="1036" max="1036" width="11.85546875" style="216" customWidth="1"/>
    <col min="1037" max="1281" width="9.140625" style="216"/>
    <col min="1282" max="1282" width="2.7109375" style="216" customWidth="1"/>
    <col min="1283" max="1283" width="9.140625" style="216"/>
    <col min="1284" max="1284" width="40.28515625" style="216" bestFit="1" customWidth="1"/>
    <col min="1285" max="1285" width="12.85546875" style="216" customWidth="1"/>
    <col min="1286" max="1286" width="10" style="216" customWidth="1"/>
    <col min="1287" max="1287" width="17.85546875" style="216" customWidth="1"/>
    <col min="1288" max="1288" width="7.7109375" style="216" customWidth="1"/>
    <col min="1289" max="1289" width="12.28515625" style="216" customWidth="1"/>
    <col min="1290" max="1290" width="12.7109375" style="216" customWidth="1"/>
    <col min="1291" max="1291" width="13.5703125" style="216" customWidth="1"/>
    <col min="1292" max="1292" width="11.85546875" style="216" customWidth="1"/>
    <col min="1293" max="1537" width="9.140625" style="216"/>
    <col min="1538" max="1538" width="2.7109375" style="216" customWidth="1"/>
    <col min="1539" max="1539" width="9.140625" style="216"/>
    <col min="1540" max="1540" width="40.28515625" style="216" bestFit="1" customWidth="1"/>
    <col min="1541" max="1541" width="12.85546875" style="216" customWidth="1"/>
    <col min="1542" max="1542" width="10" style="216" customWidth="1"/>
    <col min="1543" max="1543" width="17.85546875" style="216" customWidth="1"/>
    <col min="1544" max="1544" width="7.7109375" style="216" customWidth="1"/>
    <col min="1545" max="1545" width="12.28515625" style="216" customWidth="1"/>
    <col min="1546" max="1546" width="12.7109375" style="216" customWidth="1"/>
    <col min="1547" max="1547" width="13.5703125" style="216" customWidth="1"/>
    <col min="1548" max="1548" width="11.85546875" style="216" customWidth="1"/>
    <col min="1549" max="1793" width="9.140625" style="216"/>
    <col min="1794" max="1794" width="2.7109375" style="216" customWidth="1"/>
    <col min="1795" max="1795" width="9.140625" style="216"/>
    <col min="1796" max="1796" width="40.28515625" style="216" bestFit="1" customWidth="1"/>
    <col min="1797" max="1797" width="12.85546875" style="216" customWidth="1"/>
    <col min="1798" max="1798" width="10" style="216" customWidth="1"/>
    <col min="1799" max="1799" width="17.85546875" style="216" customWidth="1"/>
    <col min="1800" max="1800" width="7.7109375" style="216" customWidth="1"/>
    <col min="1801" max="1801" width="12.28515625" style="216" customWidth="1"/>
    <col min="1802" max="1802" width="12.7109375" style="216" customWidth="1"/>
    <col min="1803" max="1803" width="13.5703125" style="216" customWidth="1"/>
    <col min="1804" max="1804" width="11.85546875" style="216" customWidth="1"/>
    <col min="1805" max="2049" width="9.140625" style="216"/>
    <col min="2050" max="2050" width="2.7109375" style="216" customWidth="1"/>
    <col min="2051" max="2051" width="9.140625" style="216"/>
    <col min="2052" max="2052" width="40.28515625" style="216" bestFit="1" customWidth="1"/>
    <col min="2053" max="2053" width="12.85546875" style="216" customWidth="1"/>
    <col min="2054" max="2054" width="10" style="216" customWidth="1"/>
    <col min="2055" max="2055" width="17.85546875" style="216" customWidth="1"/>
    <col min="2056" max="2056" width="7.7109375" style="216" customWidth="1"/>
    <col min="2057" max="2057" width="12.28515625" style="216" customWidth="1"/>
    <col min="2058" max="2058" width="12.7109375" style="216" customWidth="1"/>
    <col min="2059" max="2059" width="13.5703125" style="216" customWidth="1"/>
    <col min="2060" max="2060" width="11.85546875" style="216" customWidth="1"/>
    <col min="2061" max="2305" width="9.140625" style="216"/>
    <col min="2306" max="2306" width="2.7109375" style="216" customWidth="1"/>
    <col min="2307" max="2307" width="9.140625" style="216"/>
    <col min="2308" max="2308" width="40.28515625" style="216" bestFit="1" customWidth="1"/>
    <col min="2309" max="2309" width="12.85546875" style="216" customWidth="1"/>
    <col min="2310" max="2310" width="10" style="216" customWidth="1"/>
    <col min="2311" max="2311" width="17.85546875" style="216" customWidth="1"/>
    <col min="2312" max="2312" width="7.7109375" style="216" customWidth="1"/>
    <col min="2313" max="2313" width="12.28515625" style="216" customWidth="1"/>
    <col min="2314" max="2314" width="12.7109375" style="216" customWidth="1"/>
    <col min="2315" max="2315" width="13.5703125" style="216" customWidth="1"/>
    <col min="2316" max="2316" width="11.85546875" style="216" customWidth="1"/>
    <col min="2317" max="2561" width="9.140625" style="216"/>
    <col min="2562" max="2562" width="2.7109375" style="216" customWidth="1"/>
    <col min="2563" max="2563" width="9.140625" style="216"/>
    <col min="2564" max="2564" width="40.28515625" style="216" bestFit="1" customWidth="1"/>
    <col min="2565" max="2565" width="12.85546875" style="216" customWidth="1"/>
    <col min="2566" max="2566" width="10" style="216" customWidth="1"/>
    <col min="2567" max="2567" width="17.85546875" style="216" customWidth="1"/>
    <col min="2568" max="2568" width="7.7109375" style="216" customWidth="1"/>
    <col min="2569" max="2569" width="12.28515625" style="216" customWidth="1"/>
    <col min="2570" max="2570" width="12.7109375" style="216" customWidth="1"/>
    <col min="2571" max="2571" width="13.5703125" style="216" customWidth="1"/>
    <col min="2572" max="2572" width="11.85546875" style="216" customWidth="1"/>
    <col min="2573" max="2817" width="9.140625" style="216"/>
    <col min="2818" max="2818" width="2.7109375" style="216" customWidth="1"/>
    <col min="2819" max="2819" width="9.140625" style="216"/>
    <col min="2820" max="2820" width="40.28515625" style="216" bestFit="1" customWidth="1"/>
    <col min="2821" max="2821" width="12.85546875" style="216" customWidth="1"/>
    <col min="2822" max="2822" width="10" style="216" customWidth="1"/>
    <col min="2823" max="2823" width="17.85546875" style="216" customWidth="1"/>
    <col min="2824" max="2824" width="7.7109375" style="216" customWidth="1"/>
    <col min="2825" max="2825" width="12.28515625" style="216" customWidth="1"/>
    <col min="2826" max="2826" width="12.7109375" style="216" customWidth="1"/>
    <col min="2827" max="2827" width="13.5703125" style="216" customWidth="1"/>
    <col min="2828" max="2828" width="11.85546875" style="216" customWidth="1"/>
    <col min="2829" max="3073" width="9.140625" style="216"/>
    <col min="3074" max="3074" width="2.7109375" style="216" customWidth="1"/>
    <col min="3075" max="3075" width="9.140625" style="216"/>
    <col min="3076" max="3076" width="40.28515625" style="216" bestFit="1" customWidth="1"/>
    <col min="3077" max="3077" width="12.85546875" style="216" customWidth="1"/>
    <col min="3078" max="3078" width="10" style="216" customWidth="1"/>
    <col min="3079" max="3079" width="17.85546875" style="216" customWidth="1"/>
    <col min="3080" max="3080" width="7.7109375" style="216" customWidth="1"/>
    <col min="3081" max="3081" width="12.28515625" style="216" customWidth="1"/>
    <col min="3082" max="3082" width="12.7109375" style="216" customWidth="1"/>
    <col min="3083" max="3083" width="13.5703125" style="216" customWidth="1"/>
    <col min="3084" max="3084" width="11.85546875" style="216" customWidth="1"/>
    <col min="3085" max="3329" width="9.140625" style="216"/>
    <col min="3330" max="3330" width="2.7109375" style="216" customWidth="1"/>
    <col min="3331" max="3331" width="9.140625" style="216"/>
    <col min="3332" max="3332" width="40.28515625" style="216" bestFit="1" customWidth="1"/>
    <col min="3333" max="3333" width="12.85546875" style="216" customWidth="1"/>
    <col min="3334" max="3334" width="10" style="216" customWidth="1"/>
    <col min="3335" max="3335" width="17.85546875" style="216" customWidth="1"/>
    <col min="3336" max="3336" width="7.7109375" style="216" customWidth="1"/>
    <col min="3337" max="3337" width="12.28515625" style="216" customWidth="1"/>
    <col min="3338" max="3338" width="12.7109375" style="216" customWidth="1"/>
    <col min="3339" max="3339" width="13.5703125" style="216" customWidth="1"/>
    <col min="3340" max="3340" width="11.85546875" style="216" customWidth="1"/>
    <col min="3341" max="3585" width="9.140625" style="216"/>
    <col min="3586" max="3586" width="2.7109375" style="216" customWidth="1"/>
    <col min="3587" max="3587" width="9.140625" style="216"/>
    <col min="3588" max="3588" width="40.28515625" style="216" bestFit="1" customWidth="1"/>
    <col min="3589" max="3589" width="12.85546875" style="216" customWidth="1"/>
    <col min="3590" max="3590" width="10" style="216" customWidth="1"/>
    <col min="3591" max="3591" width="17.85546875" style="216" customWidth="1"/>
    <col min="3592" max="3592" width="7.7109375" style="216" customWidth="1"/>
    <col min="3593" max="3593" width="12.28515625" style="216" customWidth="1"/>
    <col min="3594" max="3594" width="12.7109375" style="216" customWidth="1"/>
    <col min="3595" max="3595" width="13.5703125" style="216" customWidth="1"/>
    <col min="3596" max="3596" width="11.85546875" style="216" customWidth="1"/>
    <col min="3597" max="3841" width="9.140625" style="216"/>
    <col min="3842" max="3842" width="2.7109375" style="216" customWidth="1"/>
    <col min="3843" max="3843" width="9.140625" style="216"/>
    <col min="3844" max="3844" width="40.28515625" style="216" bestFit="1" customWidth="1"/>
    <col min="3845" max="3845" width="12.85546875" style="216" customWidth="1"/>
    <col min="3846" max="3846" width="10" style="216" customWidth="1"/>
    <col min="3847" max="3847" width="17.85546875" style="216" customWidth="1"/>
    <col min="3848" max="3848" width="7.7109375" style="216" customWidth="1"/>
    <col min="3849" max="3849" width="12.28515625" style="216" customWidth="1"/>
    <col min="3850" max="3850" width="12.7109375" style="216" customWidth="1"/>
    <col min="3851" max="3851" width="13.5703125" style="216" customWidth="1"/>
    <col min="3852" max="3852" width="11.85546875" style="216" customWidth="1"/>
    <col min="3853" max="4097" width="9.140625" style="216"/>
    <col min="4098" max="4098" width="2.7109375" style="216" customWidth="1"/>
    <col min="4099" max="4099" width="9.140625" style="216"/>
    <col min="4100" max="4100" width="40.28515625" style="216" bestFit="1" customWidth="1"/>
    <col min="4101" max="4101" width="12.85546875" style="216" customWidth="1"/>
    <col min="4102" max="4102" width="10" style="216" customWidth="1"/>
    <col min="4103" max="4103" width="17.85546875" style="216" customWidth="1"/>
    <col min="4104" max="4104" width="7.7109375" style="216" customWidth="1"/>
    <col min="4105" max="4105" width="12.28515625" style="216" customWidth="1"/>
    <col min="4106" max="4106" width="12.7109375" style="216" customWidth="1"/>
    <col min="4107" max="4107" width="13.5703125" style="216" customWidth="1"/>
    <col min="4108" max="4108" width="11.85546875" style="216" customWidth="1"/>
    <col min="4109" max="4353" width="9.140625" style="216"/>
    <col min="4354" max="4354" width="2.7109375" style="216" customWidth="1"/>
    <col min="4355" max="4355" width="9.140625" style="216"/>
    <col min="4356" max="4356" width="40.28515625" style="216" bestFit="1" customWidth="1"/>
    <col min="4357" max="4357" width="12.85546875" style="216" customWidth="1"/>
    <col min="4358" max="4358" width="10" style="216" customWidth="1"/>
    <col min="4359" max="4359" width="17.85546875" style="216" customWidth="1"/>
    <col min="4360" max="4360" width="7.7109375" style="216" customWidth="1"/>
    <col min="4361" max="4361" width="12.28515625" style="216" customWidth="1"/>
    <col min="4362" max="4362" width="12.7109375" style="216" customWidth="1"/>
    <col min="4363" max="4363" width="13.5703125" style="216" customWidth="1"/>
    <col min="4364" max="4364" width="11.85546875" style="216" customWidth="1"/>
    <col min="4365" max="4609" width="9.140625" style="216"/>
    <col min="4610" max="4610" width="2.7109375" style="216" customWidth="1"/>
    <col min="4611" max="4611" width="9.140625" style="216"/>
    <col min="4612" max="4612" width="40.28515625" style="216" bestFit="1" customWidth="1"/>
    <col min="4613" max="4613" width="12.85546875" style="216" customWidth="1"/>
    <col min="4614" max="4614" width="10" style="216" customWidth="1"/>
    <col min="4615" max="4615" width="17.85546875" style="216" customWidth="1"/>
    <col min="4616" max="4616" width="7.7109375" style="216" customWidth="1"/>
    <col min="4617" max="4617" width="12.28515625" style="216" customWidth="1"/>
    <col min="4618" max="4618" width="12.7109375" style="216" customWidth="1"/>
    <col min="4619" max="4619" width="13.5703125" style="216" customWidth="1"/>
    <col min="4620" max="4620" width="11.85546875" style="216" customWidth="1"/>
    <col min="4621" max="4865" width="9.140625" style="216"/>
    <col min="4866" max="4866" width="2.7109375" style="216" customWidth="1"/>
    <col min="4867" max="4867" width="9.140625" style="216"/>
    <col min="4868" max="4868" width="40.28515625" style="216" bestFit="1" customWidth="1"/>
    <col min="4869" max="4869" width="12.85546875" style="216" customWidth="1"/>
    <col min="4870" max="4870" width="10" style="216" customWidth="1"/>
    <col min="4871" max="4871" width="17.85546875" style="216" customWidth="1"/>
    <col min="4872" max="4872" width="7.7109375" style="216" customWidth="1"/>
    <col min="4873" max="4873" width="12.28515625" style="216" customWidth="1"/>
    <col min="4874" max="4874" width="12.7109375" style="216" customWidth="1"/>
    <col min="4875" max="4875" width="13.5703125" style="216" customWidth="1"/>
    <col min="4876" max="4876" width="11.85546875" style="216" customWidth="1"/>
    <col min="4877" max="5121" width="9.140625" style="216"/>
    <col min="5122" max="5122" width="2.7109375" style="216" customWidth="1"/>
    <col min="5123" max="5123" width="9.140625" style="216"/>
    <col min="5124" max="5124" width="40.28515625" style="216" bestFit="1" customWidth="1"/>
    <col min="5125" max="5125" width="12.85546875" style="216" customWidth="1"/>
    <col min="5126" max="5126" width="10" style="216" customWidth="1"/>
    <col min="5127" max="5127" width="17.85546875" style="216" customWidth="1"/>
    <col min="5128" max="5128" width="7.7109375" style="216" customWidth="1"/>
    <col min="5129" max="5129" width="12.28515625" style="216" customWidth="1"/>
    <col min="5130" max="5130" width="12.7109375" style="216" customWidth="1"/>
    <col min="5131" max="5131" width="13.5703125" style="216" customWidth="1"/>
    <col min="5132" max="5132" width="11.85546875" style="216" customWidth="1"/>
    <col min="5133" max="5377" width="9.140625" style="216"/>
    <col min="5378" max="5378" width="2.7109375" style="216" customWidth="1"/>
    <col min="5379" max="5379" width="9.140625" style="216"/>
    <col min="5380" max="5380" width="40.28515625" style="216" bestFit="1" customWidth="1"/>
    <col min="5381" max="5381" width="12.85546875" style="216" customWidth="1"/>
    <col min="5382" max="5382" width="10" style="216" customWidth="1"/>
    <col min="5383" max="5383" width="17.85546875" style="216" customWidth="1"/>
    <col min="5384" max="5384" width="7.7109375" style="216" customWidth="1"/>
    <col min="5385" max="5385" width="12.28515625" style="216" customWidth="1"/>
    <col min="5386" max="5386" width="12.7109375" style="216" customWidth="1"/>
    <col min="5387" max="5387" width="13.5703125" style="216" customWidth="1"/>
    <col min="5388" max="5388" width="11.85546875" style="216" customWidth="1"/>
    <col min="5389" max="5633" width="9.140625" style="216"/>
    <col min="5634" max="5634" width="2.7109375" style="216" customWidth="1"/>
    <col min="5635" max="5635" width="9.140625" style="216"/>
    <col min="5636" max="5636" width="40.28515625" style="216" bestFit="1" customWidth="1"/>
    <col min="5637" max="5637" width="12.85546875" style="216" customWidth="1"/>
    <col min="5638" max="5638" width="10" style="216" customWidth="1"/>
    <col min="5639" max="5639" width="17.85546875" style="216" customWidth="1"/>
    <col min="5640" max="5640" width="7.7109375" style="216" customWidth="1"/>
    <col min="5641" max="5641" width="12.28515625" style="216" customWidth="1"/>
    <col min="5642" max="5642" width="12.7109375" style="216" customWidth="1"/>
    <col min="5643" max="5643" width="13.5703125" style="216" customWidth="1"/>
    <col min="5644" max="5644" width="11.85546875" style="216" customWidth="1"/>
    <col min="5645" max="5889" width="9.140625" style="216"/>
    <col min="5890" max="5890" width="2.7109375" style="216" customWidth="1"/>
    <col min="5891" max="5891" width="9.140625" style="216"/>
    <col min="5892" max="5892" width="40.28515625" style="216" bestFit="1" customWidth="1"/>
    <col min="5893" max="5893" width="12.85546875" style="216" customWidth="1"/>
    <col min="5894" max="5894" width="10" style="216" customWidth="1"/>
    <col min="5895" max="5895" width="17.85546875" style="216" customWidth="1"/>
    <col min="5896" max="5896" width="7.7109375" style="216" customWidth="1"/>
    <col min="5897" max="5897" width="12.28515625" style="216" customWidth="1"/>
    <col min="5898" max="5898" width="12.7109375" style="216" customWidth="1"/>
    <col min="5899" max="5899" width="13.5703125" style="216" customWidth="1"/>
    <col min="5900" max="5900" width="11.85546875" style="216" customWidth="1"/>
    <col min="5901" max="6145" width="9.140625" style="216"/>
    <col min="6146" max="6146" width="2.7109375" style="216" customWidth="1"/>
    <col min="6147" max="6147" width="9.140625" style="216"/>
    <col min="6148" max="6148" width="40.28515625" style="216" bestFit="1" customWidth="1"/>
    <col min="6149" max="6149" width="12.85546875" style="216" customWidth="1"/>
    <col min="6150" max="6150" width="10" style="216" customWidth="1"/>
    <col min="6151" max="6151" width="17.85546875" style="216" customWidth="1"/>
    <col min="6152" max="6152" width="7.7109375" style="216" customWidth="1"/>
    <col min="6153" max="6153" width="12.28515625" style="216" customWidth="1"/>
    <col min="6154" max="6154" width="12.7109375" style="216" customWidth="1"/>
    <col min="6155" max="6155" width="13.5703125" style="216" customWidth="1"/>
    <col min="6156" max="6156" width="11.85546875" style="216" customWidth="1"/>
    <col min="6157" max="6401" width="9.140625" style="216"/>
    <col min="6402" max="6402" width="2.7109375" style="216" customWidth="1"/>
    <col min="6403" max="6403" width="9.140625" style="216"/>
    <col min="6404" max="6404" width="40.28515625" style="216" bestFit="1" customWidth="1"/>
    <col min="6405" max="6405" width="12.85546875" style="216" customWidth="1"/>
    <col min="6406" max="6406" width="10" style="216" customWidth="1"/>
    <col min="6407" max="6407" width="17.85546875" style="216" customWidth="1"/>
    <col min="6408" max="6408" width="7.7109375" style="216" customWidth="1"/>
    <col min="6409" max="6409" width="12.28515625" style="216" customWidth="1"/>
    <col min="6410" max="6410" width="12.7109375" style="216" customWidth="1"/>
    <col min="6411" max="6411" width="13.5703125" style="216" customWidth="1"/>
    <col min="6412" max="6412" width="11.85546875" style="216" customWidth="1"/>
    <col min="6413" max="6657" width="9.140625" style="216"/>
    <col min="6658" max="6658" width="2.7109375" style="216" customWidth="1"/>
    <col min="6659" max="6659" width="9.140625" style="216"/>
    <col min="6660" max="6660" width="40.28515625" style="216" bestFit="1" customWidth="1"/>
    <col min="6661" max="6661" width="12.85546875" style="216" customWidth="1"/>
    <col min="6662" max="6662" width="10" style="216" customWidth="1"/>
    <col min="6663" max="6663" width="17.85546875" style="216" customWidth="1"/>
    <col min="6664" max="6664" width="7.7109375" style="216" customWidth="1"/>
    <col min="6665" max="6665" width="12.28515625" style="216" customWidth="1"/>
    <col min="6666" max="6666" width="12.7109375" style="216" customWidth="1"/>
    <col min="6667" max="6667" width="13.5703125" style="216" customWidth="1"/>
    <col min="6668" max="6668" width="11.85546875" style="216" customWidth="1"/>
    <col min="6669" max="6913" width="9.140625" style="216"/>
    <col min="6914" max="6914" width="2.7109375" style="216" customWidth="1"/>
    <col min="6915" max="6915" width="9.140625" style="216"/>
    <col min="6916" max="6916" width="40.28515625" style="216" bestFit="1" customWidth="1"/>
    <col min="6917" max="6917" width="12.85546875" style="216" customWidth="1"/>
    <col min="6918" max="6918" width="10" style="216" customWidth="1"/>
    <col min="6919" max="6919" width="17.85546875" style="216" customWidth="1"/>
    <col min="6920" max="6920" width="7.7109375" style="216" customWidth="1"/>
    <col min="6921" max="6921" width="12.28515625" style="216" customWidth="1"/>
    <col min="6922" max="6922" width="12.7109375" style="216" customWidth="1"/>
    <col min="6923" max="6923" width="13.5703125" style="216" customWidth="1"/>
    <col min="6924" max="6924" width="11.85546875" style="216" customWidth="1"/>
    <col min="6925" max="7169" width="9.140625" style="216"/>
    <col min="7170" max="7170" width="2.7109375" style="216" customWidth="1"/>
    <col min="7171" max="7171" width="9.140625" style="216"/>
    <col min="7172" max="7172" width="40.28515625" style="216" bestFit="1" customWidth="1"/>
    <col min="7173" max="7173" width="12.85546875" style="216" customWidth="1"/>
    <col min="7174" max="7174" width="10" style="216" customWidth="1"/>
    <col min="7175" max="7175" width="17.85546875" style="216" customWidth="1"/>
    <col min="7176" max="7176" width="7.7109375" style="216" customWidth="1"/>
    <col min="7177" max="7177" width="12.28515625" style="216" customWidth="1"/>
    <col min="7178" max="7178" width="12.7109375" style="216" customWidth="1"/>
    <col min="7179" max="7179" width="13.5703125" style="216" customWidth="1"/>
    <col min="7180" max="7180" width="11.85546875" style="216" customWidth="1"/>
    <col min="7181" max="7425" width="9.140625" style="216"/>
    <col min="7426" max="7426" width="2.7109375" style="216" customWidth="1"/>
    <col min="7427" max="7427" width="9.140625" style="216"/>
    <col min="7428" max="7428" width="40.28515625" style="216" bestFit="1" customWidth="1"/>
    <col min="7429" max="7429" width="12.85546875" style="216" customWidth="1"/>
    <col min="7430" max="7430" width="10" style="216" customWidth="1"/>
    <col min="7431" max="7431" width="17.85546875" style="216" customWidth="1"/>
    <col min="7432" max="7432" width="7.7109375" style="216" customWidth="1"/>
    <col min="7433" max="7433" width="12.28515625" style="216" customWidth="1"/>
    <col min="7434" max="7434" width="12.7109375" style="216" customWidth="1"/>
    <col min="7435" max="7435" width="13.5703125" style="216" customWidth="1"/>
    <col min="7436" max="7436" width="11.85546875" style="216" customWidth="1"/>
    <col min="7437" max="7681" width="9.140625" style="216"/>
    <col min="7682" max="7682" width="2.7109375" style="216" customWidth="1"/>
    <col min="7683" max="7683" width="9.140625" style="216"/>
    <col min="7684" max="7684" width="40.28515625" style="216" bestFit="1" customWidth="1"/>
    <col min="7685" max="7685" width="12.85546875" style="216" customWidth="1"/>
    <col min="7686" max="7686" width="10" style="216" customWidth="1"/>
    <col min="7687" max="7687" width="17.85546875" style="216" customWidth="1"/>
    <col min="7688" max="7688" width="7.7109375" style="216" customWidth="1"/>
    <col min="7689" max="7689" width="12.28515625" style="216" customWidth="1"/>
    <col min="7690" max="7690" width="12.7109375" style="216" customWidth="1"/>
    <col min="7691" max="7691" width="13.5703125" style="216" customWidth="1"/>
    <col min="7692" max="7692" width="11.85546875" style="216" customWidth="1"/>
    <col min="7693" max="7937" width="9.140625" style="216"/>
    <col min="7938" max="7938" width="2.7109375" style="216" customWidth="1"/>
    <col min="7939" max="7939" width="9.140625" style="216"/>
    <col min="7940" max="7940" width="40.28515625" style="216" bestFit="1" customWidth="1"/>
    <col min="7941" max="7941" width="12.85546875" style="216" customWidth="1"/>
    <col min="7942" max="7942" width="10" style="216" customWidth="1"/>
    <col min="7943" max="7943" width="17.85546875" style="216" customWidth="1"/>
    <col min="7944" max="7944" width="7.7109375" style="216" customWidth="1"/>
    <col min="7945" max="7945" width="12.28515625" style="216" customWidth="1"/>
    <col min="7946" max="7946" width="12.7109375" style="216" customWidth="1"/>
    <col min="7947" max="7947" width="13.5703125" style="216" customWidth="1"/>
    <col min="7948" max="7948" width="11.85546875" style="216" customWidth="1"/>
    <col min="7949" max="8193" width="9.140625" style="216"/>
    <col min="8194" max="8194" width="2.7109375" style="216" customWidth="1"/>
    <col min="8195" max="8195" width="9.140625" style="216"/>
    <col min="8196" max="8196" width="40.28515625" style="216" bestFit="1" customWidth="1"/>
    <col min="8197" max="8197" width="12.85546875" style="216" customWidth="1"/>
    <col min="8198" max="8198" width="10" style="216" customWidth="1"/>
    <col min="8199" max="8199" width="17.85546875" style="216" customWidth="1"/>
    <col min="8200" max="8200" width="7.7109375" style="216" customWidth="1"/>
    <col min="8201" max="8201" width="12.28515625" style="216" customWidth="1"/>
    <col min="8202" max="8202" width="12.7109375" style="216" customWidth="1"/>
    <col min="8203" max="8203" width="13.5703125" style="216" customWidth="1"/>
    <col min="8204" max="8204" width="11.85546875" style="216" customWidth="1"/>
    <col min="8205" max="8449" width="9.140625" style="216"/>
    <col min="8450" max="8450" width="2.7109375" style="216" customWidth="1"/>
    <col min="8451" max="8451" width="9.140625" style="216"/>
    <col min="8452" max="8452" width="40.28515625" style="216" bestFit="1" customWidth="1"/>
    <col min="8453" max="8453" width="12.85546875" style="216" customWidth="1"/>
    <col min="8454" max="8454" width="10" style="216" customWidth="1"/>
    <col min="8455" max="8455" width="17.85546875" style="216" customWidth="1"/>
    <col min="8456" max="8456" width="7.7109375" style="216" customWidth="1"/>
    <col min="8457" max="8457" width="12.28515625" style="216" customWidth="1"/>
    <col min="8458" max="8458" width="12.7109375" style="216" customWidth="1"/>
    <col min="8459" max="8459" width="13.5703125" style="216" customWidth="1"/>
    <col min="8460" max="8460" width="11.85546875" style="216" customWidth="1"/>
    <col min="8461" max="8705" width="9.140625" style="216"/>
    <col min="8706" max="8706" width="2.7109375" style="216" customWidth="1"/>
    <col min="8707" max="8707" width="9.140625" style="216"/>
    <col min="8708" max="8708" width="40.28515625" style="216" bestFit="1" customWidth="1"/>
    <col min="8709" max="8709" width="12.85546875" style="216" customWidth="1"/>
    <col min="8710" max="8710" width="10" style="216" customWidth="1"/>
    <col min="8711" max="8711" width="17.85546875" style="216" customWidth="1"/>
    <col min="8712" max="8712" width="7.7109375" style="216" customWidth="1"/>
    <col min="8713" max="8713" width="12.28515625" style="216" customWidth="1"/>
    <col min="8714" max="8714" width="12.7109375" style="216" customWidth="1"/>
    <col min="8715" max="8715" width="13.5703125" style="216" customWidth="1"/>
    <col min="8716" max="8716" width="11.85546875" style="216" customWidth="1"/>
    <col min="8717" max="8961" width="9.140625" style="216"/>
    <col min="8962" max="8962" width="2.7109375" style="216" customWidth="1"/>
    <col min="8963" max="8963" width="9.140625" style="216"/>
    <col min="8964" max="8964" width="40.28515625" style="216" bestFit="1" customWidth="1"/>
    <col min="8965" max="8965" width="12.85546875" style="216" customWidth="1"/>
    <col min="8966" max="8966" width="10" style="216" customWidth="1"/>
    <col min="8967" max="8967" width="17.85546875" style="216" customWidth="1"/>
    <col min="8968" max="8968" width="7.7109375" style="216" customWidth="1"/>
    <col min="8969" max="8969" width="12.28515625" style="216" customWidth="1"/>
    <col min="8970" max="8970" width="12.7109375" style="216" customWidth="1"/>
    <col min="8971" max="8971" width="13.5703125" style="216" customWidth="1"/>
    <col min="8972" max="8972" width="11.85546875" style="216" customWidth="1"/>
    <col min="8973" max="9217" width="9.140625" style="216"/>
    <col min="9218" max="9218" width="2.7109375" style="216" customWidth="1"/>
    <col min="9219" max="9219" width="9.140625" style="216"/>
    <col min="9220" max="9220" width="40.28515625" style="216" bestFit="1" customWidth="1"/>
    <col min="9221" max="9221" width="12.85546875" style="216" customWidth="1"/>
    <col min="9222" max="9222" width="10" style="216" customWidth="1"/>
    <col min="9223" max="9223" width="17.85546875" style="216" customWidth="1"/>
    <col min="9224" max="9224" width="7.7109375" style="216" customWidth="1"/>
    <col min="9225" max="9225" width="12.28515625" style="216" customWidth="1"/>
    <col min="9226" max="9226" width="12.7109375" style="216" customWidth="1"/>
    <col min="9227" max="9227" width="13.5703125" style="216" customWidth="1"/>
    <col min="9228" max="9228" width="11.85546875" style="216" customWidth="1"/>
    <col min="9229" max="9473" width="9.140625" style="216"/>
    <col min="9474" max="9474" width="2.7109375" style="216" customWidth="1"/>
    <col min="9475" max="9475" width="9.140625" style="216"/>
    <col min="9476" max="9476" width="40.28515625" style="216" bestFit="1" customWidth="1"/>
    <col min="9477" max="9477" width="12.85546875" style="216" customWidth="1"/>
    <col min="9478" max="9478" width="10" style="216" customWidth="1"/>
    <col min="9479" max="9479" width="17.85546875" style="216" customWidth="1"/>
    <col min="9480" max="9480" width="7.7109375" style="216" customWidth="1"/>
    <col min="9481" max="9481" width="12.28515625" style="216" customWidth="1"/>
    <col min="9482" max="9482" width="12.7109375" style="216" customWidth="1"/>
    <col min="9483" max="9483" width="13.5703125" style="216" customWidth="1"/>
    <col min="9484" max="9484" width="11.85546875" style="216" customWidth="1"/>
    <col min="9485" max="9729" width="9.140625" style="216"/>
    <col min="9730" max="9730" width="2.7109375" style="216" customWidth="1"/>
    <col min="9731" max="9731" width="9.140625" style="216"/>
    <col min="9732" max="9732" width="40.28515625" style="216" bestFit="1" customWidth="1"/>
    <col min="9733" max="9733" width="12.85546875" style="216" customWidth="1"/>
    <col min="9734" max="9734" width="10" style="216" customWidth="1"/>
    <col min="9735" max="9735" width="17.85546875" style="216" customWidth="1"/>
    <col min="9736" max="9736" width="7.7109375" style="216" customWidth="1"/>
    <col min="9737" max="9737" width="12.28515625" style="216" customWidth="1"/>
    <col min="9738" max="9738" width="12.7109375" style="216" customWidth="1"/>
    <col min="9739" max="9739" width="13.5703125" style="216" customWidth="1"/>
    <col min="9740" max="9740" width="11.85546875" style="216" customWidth="1"/>
    <col min="9741" max="9985" width="9.140625" style="216"/>
    <col min="9986" max="9986" width="2.7109375" style="216" customWidth="1"/>
    <col min="9987" max="9987" width="9.140625" style="216"/>
    <col min="9988" max="9988" width="40.28515625" style="216" bestFit="1" customWidth="1"/>
    <col min="9989" max="9989" width="12.85546875" style="216" customWidth="1"/>
    <col min="9990" max="9990" width="10" style="216" customWidth="1"/>
    <col min="9991" max="9991" width="17.85546875" style="216" customWidth="1"/>
    <col min="9992" max="9992" width="7.7109375" style="216" customWidth="1"/>
    <col min="9993" max="9993" width="12.28515625" style="216" customWidth="1"/>
    <col min="9994" max="9994" width="12.7109375" style="216" customWidth="1"/>
    <col min="9995" max="9995" width="13.5703125" style="216" customWidth="1"/>
    <col min="9996" max="9996" width="11.85546875" style="216" customWidth="1"/>
    <col min="9997" max="10241" width="9.140625" style="216"/>
    <col min="10242" max="10242" width="2.7109375" style="216" customWidth="1"/>
    <col min="10243" max="10243" width="9.140625" style="216"/>
    <col min="10244" max="10244" width="40.28515625" style="216" bestFit="1" customWidth="1"/>
    <col min="10245" max="10245" width="12.85546875" style="216" customWidth="1"/>
    <col min="10246" max="10246" width="10" style="216" customWidth="1"/>
    <col min="10247" max="10247" width="17.85546875" style="216" customWidth="1"/>
    <col min="10248" max="10248" width="7.7109375" style="216" customWidth="1"/>
    <col min="10249" max="10249" width="12.28515625" style="216" customWidth="1"/>
    <col min="10250" max="10250" width="12.7109375" style="216" customWidth="1"/>
    <col min="10251" max="10251" width="13.5703125" style="216" customWidth="1"/>
    <col min="10252" max="10252" width="11.85546875" style="216" customWidth="1"/>
    <col min="10253" max="10497" width="9.140625" style="216"/>
    <col min="10498" max="10498" width="2.7109375" style="216" customWidth="1"/>
    <col min="10499" max="10499" width="9.140625" style="216"/>
    <col min="10500" max="10500" width="40.28515625" style="216" bestFit="1" customWidth="1"/>
    <col min="10501" max="10501" width="12.85546875" style="216" customWidth="1"/>
    <col min="10502" max="10502" width="10" style="216" customWidth="1"/>
    <col min="10503" max="10503" width="17.85546875" style="216" customWidth="1"/>
    <col min="10504" max="10504" width="7.7109375" style="216" customWidth="1"/>
    <col min="10505" max="10505" width="12.28515625" style="216" customWidth="1"/>
    <col min="10506" max="10506" width="12.7109375" style="216" customWidth="1"/>
    <col min="10507" max="10507" width="13.5703125" style="216" customWidth="1"/>
    <col min="10508" max="10508" width="11.85546875" style="216" customWidth="1"/>
    <col min="10509" max="10753" width="9.140625" style="216"/>
    <col min="10754" max="10754" width="2.7109375" style="216" customWidth="1"/>
    <col min="10755" max="10755" width="9.140625" style="216"/>
    <col min="10756" max="10756" width="40.28515625" style="216" bestFit="1" customWidth="1"/>
    <col min="10757" max="10757" width="12.85546875" style="216" customWidth="1"/>
    <col min="10758" max="10758" width="10" style="216" customWidth="1"/>
    <col min="10759" max="10759" width="17.85546875" style="216" customWidth="1"/>
    <col min="10760" max="10760" width="7.7109375" style="216" customWidth="1"/>
    <col min="10761" max="10761" width="12.28515625" style="216" customWidth="1"/>
    <col min="10762" max="10762" width="12.7109375" style="216" customWidth="1"/>
    <col min="10763" max="10763" width="13.5703125" style="216" customWidth="1"/>
    <col min="10764" max="10764" width="11.85546875" style="216" customWidth="1"/>
    <col min="10765" max="11009" width="9.140625" style="216"/>
    <col min="11010" max="11010" width="2.7109375" style="216" customWidth="1"/>
    <col min="11011" max="11011" width="9.140625" style="216"/>
    <col min="11012" max="11012" width="40.28515625" style="216" bestFit="1" customWidth="1"/>
    <col min="11013" max="11013" width="12.85546875" style="216" customWidth="1"/>
    <col min="11014" max="11014" width="10" style="216" customWidth="1"/>
    <col min="11015" max="11015" width="17.85546875" style="216" customWidth="1"/>
    <col min="11016" max="11016" width="7.7109375" style="216" customWidth="1"/>
    <col min="11017" max="11017" width="12.28515625" style="216" customWidth="1"/>
    <col min="11018" max="11018" width="12.7109375" style="216" customWidth="1"/>
    <col min="11019" max="11019" width="13.5703125" style="216" customWidth="1"/>
    <col min="11020" max="11020" width="11.85546875" style="216" customWidth="1"/>
    <col min="11021" max="11265" width="9.140625" style="216"/>
    <col min="11266" max="11266" width="2.7109375" style="216" customWidth="1"/>
    <col min="11267" max="11267" width="9.140625" style="216"/>
    <col min="11268" max="11268" width="40.28515625" style="216" bestFit="1" customWidth="1"/>
    <col min="11269" max="11269" width="12.85546875" style="216" customWidth="1"/>
    <col min="11270" max="11270" width="10" style="216" customWidth="1"/>
    <col min="11271" max="11271" width="17.85546875" style="216" customWidth="1"/>
    <col min="11272" max="11272" width="7.7109375" style="216" customWidth="1"/>
    <col min="11273" max="11273" width="12.28515625" style="216" customWidth="1"/>
    <col min="11274" max="11274" width="12.7109375" style="216" customWidth="1"/>
    <col min="11275" max="11275" width="13.5703125" style="216" customWidth="1"/>
    <col min="11276" max="11276" width="11.85546875" style="216" customWidth="1"/>
    <col min="11277" max="11521" width="9.140625" style="216"/>
    <col min="11522" max="11522" width="2.7109375" style="216" customWidth="1"/>
    <col min="11523" max="11523" width="9.140625" style="216"/>
    <col min="11524" max="11524" width="40.28515625" style="216" bestFit="1" customWidth="1"/>
    <col min="11525" max="11525" width="12.85546875" style="216" customWidth="1"/>
    <col min="11526" max="11526" width="10" style="216" customWidth="1"/>
    <col min="11527" max="11527" width="17.85546875" style="216" customWidth="1"/>
    <col min="11528" max="11528" width="7.7109375" style="216" customWidth="1"/>
    <col min="11529" max="11529" width="12.28515625" style="216" customWidth="1"/>
    <col min="11530" max="11530" width="12.7109375" style="216" customWidth="1"/>
    <col min="11531" max="11531" width="13.5703125" style="216" customWidth="1"/>
    <col min="11532" max="11532" width="11.85546875" style="216" customWidth="1"/>
    <col min="11533" max="11777" width="9.140625" style="216"/>
    <col min="11778" max="11778" width="2.7109375" style="216" customWidth="1"/>
    <col min="11779" max="11779" width="9.140625" style="216"/>
    <col min="11780" max="11780" width="40.28515625" style="216" bestFit="1" customWidth="1"/>
    <col min="11781" max="11781" width="12.85546875" style="216" customWidth="1"/>
    <col min="11782" max="11782" width="10" style="216" customWidth="1"/>
    <col min="11783" max="11783" width="17.85546875" style="216" customWidth="1"/>
    <col min="11784" max="11784" width="7.7109375" style="216" customWidth="1"/>
    <col min="11785" max="11785" width="12.28515625" style="216" customWidth="1"/>
    <col min="11786" max="11786" width="12.7109375" style="216" customWidth="1"/>
    <col min="11787" max="11787" width="13.5703125" style="216" customWidth="1"/>
    <col min="11788" max="11788" width="11.85546875" style="216" customWidth="1"/>
    <col min="11789" max="12033" width="9.140625" style="216"/>
    <col min="12034" max="12034" width="2.7109375" style="216" customWidth="1"/>
    <col min="12035" max="12035" width="9.140625" style="216"/>
    <col min="12036" max="12036" width="40.28515625" style="216" bestFit="1" customWidth="1"/>
    <col min="12037" max="12037" width="12.85546875" style="216" customWidth="1"/>
    <col min="12038" max="12038" width="10" style="216" customWidth="1"/>
    <col min="12039" max="12039" width="17.85546875" style="216" customWidth="1"/>
    <col min="12040" max="12040" width="7.7109375" style="216" customWidth="1"/>
    <col min="12041" max="12041" width="12.28515625" style="216" customWidth="1"/>
    <col min="12042" max="12042" width="12.7109375" style="216" customWidth="1"/>
    <col min="12043" max="12043" width="13.5703125" style="216" customWidth="1"/>
    <col min="12044" max="12044" width="11.85546875" style="216" customWidth="1"/>
    <col min="12045" max="12289" width="9.140625" style="216"/>
    <col min="12290" max="12290" width="2.7109375" style="216" customWidth="1"/>
    <col min="12291" max="12291" width="9.140625" style="216"/>
    <col min="12292" max="12292" width="40.28515625" style="216" bestFit="1" customWidth="1"/>
    <col min="12293" max="12293" width="12.85546875" style="216" customWidth="1"/>
    <col min="12294" max="12294" width="10" style="216" customWidth="1"/>
    <col min="12295" max="12295" width="17.85546875" style="216" customWidth="1"/>
    <col min="12296" max="12296" width="7.7109375" style="216" customWidth="1"/>
    <col min="12297" max="12297" width="12.28515625" style="216" customWidth="1"/>
    <col min="12298" max="12298" width="12.7109375" style="216" customWidth="1"/>
    <col min="12299" max="12299" width="13.5703125" style="216" customWidth="1"/>
    <col min="12300" max="12300" width="11.85546875" style="216" customWidth="1"/>
    <col min="12301" max="12545" width="9.140625" style="216"/>
    <col min="12546" max="12546" width="2.7109375" style="216" customWidth="1"/>
    <col min="12547" max="12547" width="9.140625" style="216"/>
    <col min="12548" max="12548" width="40.28515625" style="216" bestFit="1" customWidth="1"/>
    <col min="12549" max="12549" width="12.85546875" style="216" customWidth="1"/>
    <col min="12550" max="12550" width="10" style="216" customWidth="1"/>
    <col min="12551" max="12551" width="17.85546875" style="216" customWidth="1"/>
    <col min="12552" max="12552" width="7.7109375" style="216" customWidth="1"/>
    <col min="12553" max="12553" width="12.28515625" style="216" customWidth="1"/>
    <col min="12554" max="12554" width="12.7109375" style="216" customWidth="1"/>
    <col min="12555" max="12555" width="13.5703125" style="216" customWidth="1"/>
    <col min="12556" max="12556" width="11.85546875" style="216" customWidth="1"/>
    <col min="12557" max="12801" width="9.140625" style="216"/>
    <col min="12802" max="12802" width="2.7109375" style="216" customWidth="1"/>
    <col min="12803" max="12803" width="9.140625" style="216"/>
    <col min="12804" max="12804" width="40.28515625" style="216" bestFit="1" customWidth="1"/>
    <col min="12805" max="12805" width="12.85546875" style="216" customWidth="1"/>
    <col min="12806" max="12806" width="10" style="216" customWidth="1"/>
    <col min="12807" max="12807" width="17.85546875" style="216" customWidth="1"/>
    <col min="12808" max="12808" width="7.7109375" style="216" customWidth="1"/>
    <col min="12809" max="12809" width="12.28515625" style="216" customWidth="1"/>
    <col min="12810" max="12810" width="12.7109375" style="216" customWidth="1"/>
    <col min="12811" max="12811" width="13.5703125" style="216" customWidth="1"/>
    <col min="12812" max="12812" width="11.85546875" style="216" customWidth="1"/>
    <col min="12813" max="13057" width="9.140625" style="216"/>
    <col min="13058" max="13058" width="2.7109375" style="216" customWidth="1"/>
    <col min="13059" max="13059" width="9.140625" style="216"/>
    <col min="13060" max="13060" width="40.28515625" style="216" bestFit="1" customWidth="1"/>
    <col min="13061" max="13061" width="12.85546875" style="216" customWidth="1"/>
    <col min="13062" max="13062" width="10" style="216" customWidth="1"/>
    <col min="13063" max="13063" width="17.85546875" style="216" customWidth="1"/>
    <col min="13064" max="13064" width="7.7109375" style="216" customWidth="1"/>
    <col min="13065" max="13065" width="12.28515625" style="216" customWidth="1"/>
    <col min="13066" max="13066" width="12.7109375" style="216" customWidth="1"/>
    <col min="13067" max="13067" width="13.5703125" style="216" customWidth="1"/>
    <col min="13068" max="13068" width="11.85546875" style="216" customWidth="1"/>
    <col min="13069" max="13313" width="9.140625" style="216"/>
    <col min="13314" max="13314" width="2.7109375" style="216" customWidth="1"/>
    <col min="13315" max="13315" width="9.140625" style="216"/>
    <col min="13316" max="13316" width="40.28515625" style="216" bestFit="1" customWidth="1"/>
    <col min="13317" max="13317" width="12.85546875" style="216" customWidth="1"/>
    <col min="13318" max="13318" width="10" style="216" customWidth="1"/>
    <col min="13319" max="13319" width="17.85546875" style="216" customWidth="1"/>
    <col min="13320" max="13320" width="7.7109375" style="216" customWidth="1"/>
    <col min="13321" max="13321" width="12.28515625" style="216" customWidth="1"/>
    <col min="13322" max="13322" width="12.7109375" style="216" customWidth="1"/>
    <col min="13323" max="13323" width="13.5703125" style="216" customWidth="1"/>
    <col min="13324" max="13324" width="11.85546875" style="216" customWidth="1"/>
    <col min="13325" max="13569" width="9.140625" style="216"/>
    <col min="13570" max="13570" width="2.7109375" style="216" customWidth="1"/>
    <col min="13571" max="13571" width="9.140625" style="216"/>
    <col min="13572" max="13572" width="40.28515625" style="216" bestFit="1" customWidth="1"/>
    <col min="13573" max="13573" width="12.85546875" style="216" customWidth="1"/>
    <col min="13574" max="13574" width="10" style="216" customWidth="1"/>
    <col min="13575" max="13575" width="17.85546875" style="216" customWidth="1"/>
    <col min="13576" max="13576" width="7.7109375" style="216" customWidth="1"/>
    <col min="13577" max="13577" width="12.28515625" style="216" customWidth="1"/>
    <col min="13578" max="13578" width="12.7109375" style="216" customWidth="1"/>
    <col min="13579" max="13579" width="13.5703125" style="216" customWidth="1"/>
    <col min="13580" max="13580" width="11.85546875" style="216" customWidth="1"/>
    <col min="13581" max="13825" width="9.140625" style="216"/>
    <col min="13826" max="13826" width="2.7109375" style="216" customWidth="1"/>
    <col min="13827" max="13827" width="9.140625" style="216"/>
    <col min="13828" max="13828" width="40.28515625" style="216" bestFit="1" customWidth="1"/>
    <col min="13829" max="13829" width="12.85546875" style="216" customWidth="1"/>
    <col min="13830" max="13830" width="10" style="216" customWidth="1"/>
    <col min="13831" max="13831" width="17.85546875" style="216" customWidth="1"/>
    <col min="13832" max="13832" width="7.7109375" style="216" customWidth="1"/>
    <col min="13833" max="13833" width="12.28515625" style="216" customWidth="1"/>
    <col min="13834" max="13834" width="12.7109375" style="216" customWidth="1"/>
    <col min="13835" max="13835" width="13.5703125" style="216" customWidth="1"/>
    <col min="13836" max="13836" width="11.85546875" style="216" customWidth="1"/>
    <col min="13837" max="14081" width="9.140625" style="216"/>
    <col min="14082" max="14082" width="2.7109375" style="216" customWidth="1"/>
    <col min="14083" max="14083" width="9.140625" style="216"/>
    <col min="14084" max="14084" width="40.28515625" style="216" bestFit="1" customWidth="1"/>
    <col min="14085" max="14085" width="12.85546875" style="216" customWidth="1"/>
    <col min="14086" max="14086" width="10" style="216" customWidth="1"/>
    <col min="14087" max="14087" width="17.85546875" style="216" customWidth="1"/>
    <col min="14088" max="14088" width="7.7109375" style="216" customWidth="1"/>
    <col min="14089" max="14089" width="12.28515625" style="216" customWidth="1"/>
    <col min="14090" max="14090" width="12.7109375" style="216" customWidth="1"/>
    <col min="14091" max="14091" width="13.5703125" style="216" customWidth="1"/>
    <col min="14092" max="14092" width="11.85546875" style="216" customWidth="1"/>
    <col min="14093" max="14337" width="9.140625" style="216"/>
    <col min="14338" max="14338" width="2.7109375" style="216" customWidth="1"/>
    <col min="14339" max="14339" width="9.140625" style="216"/>
    <col min="14340" max="14340" width="40.28515625" style="216" bestFit="1" customWidth="1"/>
    <col min="14341" max="14341" width="12.85546875" style="216" customWidth="1"/>
    <col min="14342" max="14342" width="10" style="216" customWidth="1"/>
    <col min="14343" max="14343" width="17.85546875" style="216" customWidth="1"/>
    <col min="14344" max="14344" width="7.7109375" style="216" customWidth="1"/>
    <col min="14345" max="14345" width="12.28515625" style="216" customWidth="1"/>
    <col min="14346" max="14346" width="12.7109375" style="216" customWidth="1"/>
    <col min="14347" max="14347" width="13.5703125" style="216" customWidth="1"/>
    <col min="14348" max="14348" width="11.85546875" style="216" customWidth="1"/>
    <col min="14349" max="14593" width="9.140625" style="216"/>
    <col min="14594" max="14594" width="2.7109375" style="216" customWidth="1"/>
    <col min="14595" max="14595" width="9.140625" style="216"/>
    <col min="14596" max="14596" width="40.28515625" style="216" bestFit="1" customWidth="1"/>
    <col min="14597" max="14597" width="12.85546875" style="216" customWidth="1"/>
    <col min="14598" max="14598" width="10" style="216" customWidth="1"/>
    <col min="14599" max="14599" width="17.85546875" style="216" customWidth="1"/>
    <col min="14600" max="14600" width="7.7109375" style="216" customWidth="1"/>
    <col min="14601" max="14601" width="12.28515625" style="216" customWidth="1"/>
    <col min="14602" max="14602" width="12.7109375" style="216" customWidth="1"/>
    <col min="14603" max="14603" width="13.5703125" style="216" customWidth="1"/>
    <col min="14604" max="14604" width="11.85546875" style="216" customWidth="1"/>
    <col min="14605" max="14849" width="9.140625" style="216"/>
    <col min="14850" max="14850" width="2.7109375" style="216" customWidth="1"/>
    <col min="14851" max="14851" width="9.140625" style="216"/>
    <col min="14852" max="14852" width="40.28515625" style="216" bestFit="1" customWidth="1"/>
    <col min="14853" max="14853" width="12.85546875" style="216" customWidth="1"/>
    <col min="14854" max="14854" width="10" style="216" customWidth="1"/>
    <col min="14855" max="14855" width="17.85546875" style="216" customWidth="1"/>
    <col min="14856" max="14856" width="7.7109375" style="216" customWidth="1"/>
    <col min="14857" max="14857" width="12.28515625" style="216" customWidth="1"/>
    <col min="14858" max="14858" width="12.7109375" style="216" customWidth="1"/>
    <col min="14859" max="14859" width="13.5703125" style="216" customWidth="1"/>
    <col min="14860" max="14860" width="11.85546875" style="216" customWidth="1"/>
    <col min="14861" max="15105" width="9.140625" style="216"/>
    <col min="15106" max="15106" width="2.7109375" style="216" customWidth="1"/>
    <col min="15107" max="15107" width="9.140625" style="216"/>
    <col min="15108" max="15108" width="40.28515625" style="216" bestFit="1" customWidth="1"/>
    <col min="15109" max="15109" width="12.85546875" style="216" customWidth="1"/>
    <col min="15110" max="15110" width="10" style="216" customWidth="1"/>
    <col min="15111" max="15111" width="17.85546875" style="216" customWidth="1"/>
    <col min="15112" max="15112" width="7.7109375" style="216" customWidth="1"/>
    <col min="15113" max="15113" width="12.28515625" style="216" customWidth="1"/>
    <col min="15114" max="15114" width="12.7109375" style="216" customWidth="1"/>
    <col min="15115" max="15115" width="13.5703125" style="216" customWidth="1"/>
    <col min="15116" max="15116" width="11.85546875" style="216" customWidth="1"/>
    <col min="15117" max="15361" width="9.140625" style="216"/>
    <col min="15362" max="15362" width="2.7109375" style="216" customWidth="1"/>
    <col min="15363" max="15363" width="9.140625" style="216"/>
    <col min="15364" max="15364" width="40.28515625" style="216" bestFit="1" customWidth="1"/>
    <col min="15365" max="15365" width="12.85546875" style="216" customWidth="1"/>
    <col min="15366" max="15366" width="10" style="216" customWidth="1"/>
    <col min="15367" max="15367" width="17.85546875" style="216" customWidth="1"/>
    <col min="15368" max="15368" width="7.7109375" style="216" customWidth="1"/>
    <col min="15369" max="15369" width="12.28515625" style="216" customWidth="1"/>
    <col min="15370" max="15370" width="12.7109375" style="216" customWidth="1"/>
    <col min="15371" max="15371" width="13.5703125" style="216" customWidth="1"/>
    <col min="15372" max="15372" width="11.85546875" style="216" customWidth="1"/>
    <col min="15373" max="15617" width="9.140625" style="216"/>
    <col min="15618" max="15618" width="2.7109375" style="216" customWidth="1"/>
    <col min="15619" max="15619" width="9.140625" style="216"/>
    <col min="15620" max="15620" width="40.28515625" style="216" bestFit="1" customWidth="1"/>
    <col min="15621" max="15621" width="12.85546875" style="216" customWidth="1"/>
    <col min="15622" max="15622" width="10" style="216" customWidth="1"/>
    <col min="15623" max="15623" width="17.85546875" style="216" customWidth="1"/>
    <col min="15624" max="15624" width="7.7109375" style="216" customWidth="1"/>
    <col min="15625" max="15625" width="12.28515625" style="216" customWidth="1"/>
    <col min="15626" max="15626" width="12.7109375" style="216" customWidth="1"/>
    <col min="15627" max="15627" width="13.5703125" style="216" customWidth="1"/>
    <col min="15628" max="15628" width="11.85546875" style="216" customWidth="1"/>
    <col min="15629" max="15873" width="9.140625" style="216"/>
    <col min="15874" max="15874" width="2.7109375" style="216" customWidth="1"/>
    <col min="15875" max="15875" width="9.140625" style="216"/>
    <col min="15876" max="15876" width="40.28515625" style="216" bestFit="1" customWidth="1"/>
    <col min="15877" max="15877" width="12.85546875" style="216" customWidth="1"/>
    <col min="15878" max="15878" width="10" style="216" customWidth="1"/>
    <col min="15879" max="15879" width="17.85546875" style="216" customWidth="1"/>
    <col min="15880" max="15880" width="7.7109375" style="216" customWidth="1"/>
    <col min="15881" max="15881" width="12.28515625" style="216" customWidth="1"/>
    <col min="15882" max="15882" width="12.7109375" style="216" customWidth="1"/>
    <col min="15883" max="15883" width="13.5703125" style="216" customWidth="1"/>
    <col min="15884" max="15884" width="11.85546875" style="216" customWidth="1"/>
    <col min="15885" max="16129" width="9.140625" style="216"/>
    <col min="16130" max="16130" width="2.7109375" style="216" customWidth="1"/>
    <col min="16131" max="16131" width="9.140625" style="216"/>
    <col min="16132" max="16132" width="40.28515625" style="216" bestFit="1" customWidth="1"/>
    <col min="16133" max="16133" width="12.85546875" style="216" customWidth="1"/>
    <col min="16134" max="16134" width="10" style="216" customWidth="1"/>
    <col min="16135" max="16135" width="17.85546875" style="216" customWidth="1"/>
    <col min="16136" max="16136" width="7.7109375" style="216" customWidth="1"/>
    <col min="16137" max="16137" width="12.28515625" style="216" customWidth="1"/>
    <col min="16138" max="16138" width="12.7109375" style="216" customWidth="1"/>
    <col min="16139" max="16139" width="13.5703125" style="216" customWidth="1"/>
    <col min="16140" max="16140" width="11.85546875" style="216" customWidth="1"/>
    <col min="16141" max="16384" width="9.140625" style="216"/>
  </cols>
  <sheetData>
    <row r="1" spans="1:13" x14ac:dyDescent="0.2">
      <c r="K1" s="14" t="s">
        <v>419</v>
      </c>
      <c r="L1" s="766" t="str">
        <f>EBNUMBER</f>
        <v>EB-2014-0113</v>
      </c>
      <c r="M1" s="219"/>
    </row>
    <row r="2" spans="1:13" x14ac:dyDescent="0.2">
      <c r="K2" s="14" t="s">
        <v>420</v>
      </c>
      <c r="L2" s="209"/>
      <c r="M2" s="219"/>
    </row>
    <row r="3" spans="1:13" x14ac:dyDescent="0.2">
      <c r="K3" s="14" t="s">
        <v>421</v>
      </c>
      <c r="L3" s="209"/>
      <c r="M3" s="219"/>
    </row>
    <row r="4" spans="1:13" x14ac:dyDescent="0.2">
      <c r="K4" s="14" t="s">
        <v>422</v>
      </c>
      <c r="L4" s="209"/>
      <c r="M4" s="219"/>
    </row>
    <row r="5" spans="1:13" x14ac:dyDescent="0.2">
      <c r="K5" s="14" t="s">
        <v>423</v>
      </c>
      <c r="L5" s="210"/>
      <c r="M5" s="219"/>
    </row>
    <row r="6" spans="1:13" x14ac:dyDescent="0.2">
      <c r="K6" s="14"/>
      <c r="L6" s="208"/>
      <c r="M6" s="219"/>
    </row>
    <row r="7" spans="1:13" x14ac:dyDescent="0.2">
      <c r="K7" s="14" t="s">
        <v>424</v>
      </c>
      <c r="L7" s="210"/>
      <c r="M7" s="220"/>
    </row>
    <row r="9" spans="1:13" ht="18" x14ac:dyDescent="0.2">
      <c r="A9" s="1810" t="s">
        <v>1003</v>
      </c>
      <c r="B9" s="1810"/>
      <c r="C9" s="1810"/>
      <c r="D9" s="1810"/>
      <c r="E9" s="1810"/>
      <c r="F9" s="1810"/>
      <c r="G9" s="1810"/>
      <c r="H9" s="1810"/>
      <c r="I9" s="1810"/>
      <c r="J9" s="1810"/>
      <c r="K9" s="1810"/>
      <c r="L9" s="1810"/>
    </row>
    <row r="10" spans="1:13" ht="18" x14ac:dyDescent="0.2">
      <c r="A10" s="1810" t="s">
        <v>3</v>
      </c>
      <c r="B10" s="1810"/>
      <c r="C10" s="1810"/>
      <c r="D10" s="1810"/>
      <c r="E10" s="1810"/>
      <c r="F10" s="1810"/>
      <c r="G10" s="1810"/>
      <c r="H10" s="1810"/>
      <c r="I10" s="1810"/>
      <c r="J10" s="1810"/>
      <c r="K10" s="1810"/>
      <c r="L10" s="1810"/>
    </row>
    <row r="11" spans="1:13" ht="85.5" customHeight="1" x14ac:dyDescent="0.2">
      <c r="A11" s="1892" t="s">
        <v>1044</v>
      </c>
      <c r="B11" s="1892"/>
      <c r="C11" s="1892"/>
      <c r="D11" s="1892"/>
      <c r="E11" s="1892"/>
      <c r="F11" s="1892"/>
      <c r="G11" s="1892"/>
      <c r="H11" s="1892"/>
      <c r="I11" s="1892"/>
      <c r="J11" s="1892"/>
      <c r="K11" s="1892"/>
      <c r="L11" s="1892"/>
    </row>
    <row r="12" spans="1:13" ht="13.5" customHeight="1" x14ac:dyDescent="0.25">
      <c r="A12" s="882"/>
      <c r="B12" s="905" t="s">
        <v>40</v>
      </c>
      <c r="C12" s="906"/>
      <c r="D12" s="901" t="s">
        <v>1002</v>
      </c>
      <c r="E12" s="1893"/>
      <c r="F12" s="1894"/>
      <c r="G12" s="252"/>
    </row>
    <row r="13" spans="1:13" ht="15" customHeight="1" thickBot="1" x14ac:dyDescent="0.25"/>
    <row r="14" spans="1:13" ht="61.5" customHeight="1" x14ac:dyDescent="0.2">
      <c r="A14" s="1871" t="s">
        <v>4</v>
      </c>
      <c r="B14" s="1873" t="s">
        <v>346</v>
      </c>
      <c r="C14" s="221" t="s">
        <v>1004</v>
      </c>
      <c r="D14" s="221" t="s">
        <v>710</v>
      </c>
      <c r="E14" s="221" t="s">
        <v>711</v>
      </c>
      <c r="F14" s="221" t="s">
        <v>348</v>
      </c>
      <c r="G14" s="221" t="s">
        <v>7</v>
      </c>
      <c r="H14" s="221" t="s">
        <v>8</v>
      </c>
      <c r="I14" s="221" t="s">
        <v>416</v>
      </c>
      <c r="J14" s="222" t="s">
        <v>11</v>
      </c>
      <c r="K14" s="1880" t="s">
        <v>1005</v>
      </c>
      <c r="L14" s="222" t="s">
        <v>523</v>
      </c>
    </row>
    <row r="15" spans="1:13" ht="19.5" customHeight="1" thickBot="1" x14ac:dyDescent="0.25">
      <c r="A15" s="1878"/>
      <c r="B15" s="1879"/>
      <c r="C15" s="294" t="s">
        <v>5</v>
      </c>
      <c r="D15" s="294" t="s">
        <v>712</v>
      </c>
      <c r="E15" s="294" t="s">
        <v>713</v>
      </c>
      <c r="F15" s="294" t="s">
        <v>6</v>
      </c>
      <c r="G15" s="307" t="s">
        <v>716</v>
      </c>
      <c r="H15" s="294" t="s">
        <v>9</v>
      </c>
      <c r="I15" s="294" t="s">
        <v>10</v>
      </c>
      <c r="J15" s="296" t="s">
        <v>12</v>
      </c>
      <c r="K15" s="1881"/>
      <c r="L15" s="296" t="s">
        <v>517</v>
      </c>
    </row>
    <row r="16" spans="1:13" ht="25.5" x14ac:dyDescent="0.2">
      <c r="A16" s="907">
        <v>1611</v>
      </c>
      <c r="B16" s="908" t="s">
        <v>515</v>
      </c>
      <c r="C16" s="204"/>
      <c r="D16" s="204"/>
      <c r="E16" s="8">
        <f>C16-D16</f>
        <v>0</v>
      </c>
      <c r="F16" s="204"/>
      <c r="G16" s="8">
        <f>E16+0.5*F16</f>
        <v>0</v>
      </c>
      <c r="H16" s="293"/>
      <c r="I16" s="594">
        <f t="shared" ref="I16:I55" si="0">IF(H16=0,0,1/H16)</f>
        <v>0</v>
      </c>
      <c r="J16" s="8">
        <f t="shared" ref="J16:J55" si="1">IF(H16=0,0,G16/H16)</f>
        <v>0</v>
      </c>
      <c r="K16" s="204"/>
      <c r="L16" s="8">
        <f t="shared" ref="L16:L55" si="2">IF(ISERROR(+J16-K16), 0, +J16-K16)</f>
        <v>0</v>
      </c>
    </row>
    <row r="17" spans="1:12" ht="25.5" x14ac:dyDescent="0.2">
      <c r="A17" s="909">
        <v>1612</v>
      </c>
      <c r="B17" s="299" t="s">
        <v>650</v>
      </c>
      <c r="C17" s="204"/>
      <c r="D17" s="204"/>
      <c r="E17" s="8">
        <f t="shared" ref="E17:E55" si="3">C17-D17</f>
        <v>0</v>
      </c>
      <c r="F17" s="204"/>
      <c r="G17" s="8">
        <f t="shared" ref="G17:G55" si="4">E17+0.5*F17</f>
        <v>0</v>
      </c>
      <c r="H17" s="293"/>
      <c r="I17" s="586">
        <f t="shared" si="0"/>
        <v>0</v>
      </c>
      <c r="J17" s="8">
        <f t="shared" si="1"/>
        <v>0</v>
      </c>
      <c r="K17" s="204"/>
      <c r="L17" s="8">
        <f t="shared" si="2"/>
        <v>0</v>
      </c>
    </row>
    <row r="18" spans="1:12" x14ac:dyDescent="0.2">
      <c r="A18" s="910">
        <v>1805</v>
      </c>
      <c r="B18" s="911" t="s">
        <v>383</v>
      </c>
      <c r="C18" s="204"/>
      <c r="D18" s="204"/>
      <c r="E18" s="8">
        <f t="shared" si="3"/>
        <v>0</v>
      </c>
      <c r="F18" s="204"/>
      <c r="G18" s="8">
        <f t="shared" si="4"/>
        <v>0</v>
      </c>
      <c r="H18" s="293"/>
      <c r="I18" s="586">
        <f t="shared" si="0"/>
        <v>0</v>
      </c>
      <c r="J18" s="8">
        <f t="shared" si="1"/>
        <v>0</v>
      </c>
      <c r="K18" s="204"/>
      <c r="L18" s="8">
        <f t="shared" si="2"/>
        <v>0</v>
      </c>
    </row>
    <row r="19" spans="1:12" x14ac:dyDescent="0.2">
      <c r="A19" s="909">
        <v>1808</v>
      </c>
      <c r="B19" s="912" t="s">
        <v>384</v>
      </c>
      <c r="C19" s="204"/>
      <c r="D19" s="204"/>
      <c r="E19" s="8">
        <f t="shared" si="3"/>
        <v>0</v>
      </c>
      <c r="F19" s="204"/>
      <c r="G19" s="8">
        <f t="shared" si="4"/>
        <v>0</v>
      </c>
      <c r="H19" s="293"/>
      <c r="I19" s="586">
        <f t="shared" si="0"/>
        <v>0</v>
      </c>
      <c r="J19" s="8">
        <f t="shared" si="1"/>
        <v>0</v>
      </c>
      <c r="K19" s="204"/>
      <c r="L19" s="8">
        <f t="shared" si="2"/>
        <v>0</v>
      </c>
    </row>
    <row r="20" spans="1:12" x14ac:dyDescent="0.2">
      <c r="A20" s="909">
        <v>1810</v>
      </c>
      <c r="B20" s="912" t="s">
        <v>417</v>
      </c>
      <c r="C20" s="204"/>
      <c r="D20" s="204"/>
      <c r="E20" s="8">
        <f t="shared" si="3"/>
        <v>0</v>
      </c>
      <c r="F20" s="204"/>
      <c r="G20" s="8">
        <f t="shared" si="4"/>
        <v>0</v>
      </c>
      <c r="H20" s="293"/>
      <c r="I20" s="586">
        <f t="shared" si="0"/>
        <v>0</v>
      </c>
      <c r="J20" s="8">
        <f t="shared" si="1"/>
        <v>0</v>
      </c>
      <c r="K20" s="204"/>
      <c r="L20" s="8">
        <f t="shared" si="2"/>
        <v>0</v>
      </c>
    </row>
    <row r="21" spans="1:12" x14ac:dyDescent="0.2">
      <c r="A21" s="909">
        <v>1815</v>
      </c>
      <c r="B21" s="912" t="s">
        <v>385</v>
      </c>
      <c r="C21" s="204"/>
      <c r="D21" s="204"/>
      <c r="E21" s="8">
        <f t="shared" si="3"/>
        <v>0</v>
      </c>
      <c r="F21" s="204"/>
      <c r="G21" s="8">
        <f t="shared" si="4"/>
        <v>0</v>
      </c>
      <c r="H21" s="293"/>
      <c r="I21" s="586">
        <f t="shared" si="0"/>
        <v>0</v>
      </c>
      <c r="J21" s="8">
        <f t="shared" si="1"/>
        <v>0</v>
      </c>
      <c r="K21" s="204"/>
      <c r="L21" s="8">
        <f t="shared" si="2"/>
        <v>0</v>
      </c>
    </row>
    <row r="22" spans="1:12" x14ac:dyDescent="0.2">
      <c r="A22" s="909">
        <v>1820</v>
      </c>
      <c r="B22" s="299" t="s">
        <v>306</v>
      </c>
      <c r="C22" s="204"/>
      <c r="D22" s="204"/>
      <c r="E22" s="8">
        <f t="shared" si="3"/>
        <v>0</v>
      </c>
      <c r="F22" s="204"/>
      <c r="G22" s="8">
        <f t="shared" si="4"/>
        <v>0</v>
      </c>
      <c r="H22" s="293"/>
      <c r="I22" s="586">
        <f t="shared" si="0"/>
        <v>0</v>
      </c>
      <c r="J22" s="8">
        <f t="shared" si="1"/>
        <v>0</v>
      </c>
      <c r="K22" s="204"/>
      <c r="L22" s="8">
        <f t="shared" si="2"/>
        <v>0</v>
      </c>
    </row>
    <row r="23" spans="1:12" x14ac:dyDescent="0.2">
      <c r="A23" s="909">
        <v>1825</v>
      </c>
      <c r="B23" s="912" t="s">
        <v>386</v>
      </c>
      <c r="C23" s="204"/>
      <c r="D23" s="204"/>
      <c r="E23" s="8">
        <f t="shared" si="3"/>
        <v>0</v>
      </c>
      <c r="F23" s="204"/>
      <c r="G23" s="8">
        <f t="shared" si="4"/>
        <v>0</v>
      </c>
      <c r="H23" s="293"/>
      <c r="I23" s="586">
        <f t="shared" si="0"/>
        <v>0</v>
      </c>
      <c r="J23" s="8">
        <f t="shared" si="1"/>
        <v>0</v>
      </c>
      <c r="K23" s="204"/>
      <c r="L23" s="8">
        <f t="shared" si="2"/>
        <v>0</v>
      </c>
    </row>
    <row r="24" spans="1:12" x14ac:dyDescent="0.2">
      <c r="A24" s="909">
        <v>1830</v>
      </c>
      <c r="B24" s="912" t="s">
        <v>387</v>
      </c>
      <c r="C24" s="204"/>
      <c r="D24" s="204"/>
      <c r="E24" s="8">
        <f t="shared" si="3"/>
        <v>0</v>
      </c>
      <c r="F24" s="204"/>
      <c r="G24" s="8">
        <f t="shared" si="4"/>
        <v>0</v>
      </c>
      <c r="H24" s="293"/>
      <c r="I24" s="586">
        <f t="shared" si="0"/>
        <v>0</v>
      </c>
      <c r="J24" s="8">
        <f t="shared" si="1"/>
        <v>0</v>
      </c>
      <c r="K24" s="204"/>
      <c r="L24" s="8">
        <f t="shared" si="2"/>
        <v>0</v>
      </c>
    </row>
    <row r="25" spans="1:12" x14ac:dyDescent="0.2">
      <c r="A25" s="909">
        <v>1835</v>
      </c>
      <c r="B25" s="912" t="s">
        <v>307</v>
      </c>
      <c r="C25" s="204"/>
      <c r="D25" s="204"/>
      <c r="E25" s="8">
        <f t="shared" si="3"/>
        <v>0</v>
      </c>
      <c r="F25" s="204"/>
      <c r="G25" s="8">
        <f t="shared" si="4"/>
        <v>0</v>
      </c>
      <c r="H25" s="293"/>
      <c r="I25" s="586">
        <f t="shared" si="0"/>
        <v>0</v>
      </c>
      <c r="J25" s="8">
        <f t="shared" si="1"/>
        <v>0</v>
      </c>
      <c r="K25" s="204"/>
      <c r="L25" s="8">
        <f t="shared" si="2"/>
        <v>0</v>
      </c>
    </row>
    <row r="26" spans="1:12" x14ac:dyDescent="0.2">
      <c r="A26" s="909">
        <v>1840</v>
      </c>
      <c r="B26" s="912" t="s">
        <v>308</v>
      </c>
      <c r="C26" s="204"/>
      <c r="D26" s="204"/>
      <c r="E26" s="8">
        <f t="shared" si="3"/>
        <v>0</v>
      </c>
      <c r="F26" s="204"/>
      <c r="G26" s="8">
        <f t="shared" si="4"/>
        <v>0</v>
      </c>
      <c r="H26" s="293"/>
      <c r="I26" s="586">
        <f t="shared" si="0"/>
        <v>0</v>
      </c>
      <c r="J26" s="8">
        <f t="shared" si="1"/>
        <v>0</v>
      </c>
      <c r="K26" s="204"/>
      <c r="L26" s="8">
        <f t="shared" si="2"/>
        <v>0</v>
      </c>
    </row>
    <row r="27" spans="1:12" x14ac:dyDescent="0.2">
      <c r="A27" s="909">
        <v>1845</v>
      </c>
      <c r="B27" s="912" t="s">
        <v>309</v>
      </c>
      <c r="C27" s="204"/>
      <c r="D27" s="204"/>
      <c r="E27" s="8">
        <f t="shared" si="3"/>
        <v>0</v>
      </c>
      <c r="F27" s="204"/>
      <c r="G27" s="8">
        <f t="shared" si="4"/>
        <v>0</v>
      </c>
      <c r="H27" s="293"/>
      <c r="I27" s="586">
        <f t="shared" si="0"/>
        <v>0</v>
      </c>
      <c r="J27" s="8">
        <f t="shared" si="1"/>
        <v>0</v>
      </c>
      <c r="K27" s="204"/>
      <c r="L27" s="8">
        <f t="shared" si="2"/>
        <v>0</v>
      </c>
    </row>
    <row r="28" spans="1:12" x14ac:dyDescent="0.2">
      <c r="A28" s="909">
        <v>1850</v>
      </c>
      <c r="B28" s="912" t="s">
        <v>388</v>
      </c>
      <c r="C28" s="204"/>
      <c r="D28" s="204"/>
      <c r="E28" s="8">
        <f t="shared" si="3"/>
        <v>0</v>
      </c>
      <c r="F28" s="204"/>
      <c r="G28" s="8">
        <f t="shared" si="4"/>
        <v>0</v>
      </c>
      <c r="H28" s="293"/>
      <c r="I28" s="586">
        <f t="shared" si="0"/>
        <v>0</v>
      </c>
      <c r="J28" s="8">
        <f t="shared" si="1"/>
        <v>0</v>
      </c>
      <c r="K28" s="204"/>
      <c r="L28" s="8">
        <f t="shared" si="2"/>
        <v>0</v>
      </c>
    </row>
    <row r="29" spans="1:12" x14ac:dyDescent="0.2">
      <c r="A29" s="909">
        <v>1855</v>
      </c>
      <c r="B29" s="912" t="s">
        <v>310</v>
      </c>
      <c r="C29" s="204"/>
      <c r="D29" s="204"/>
      <c r="E29" s="8">
        <f t="shared" si="3"/>
        <v>0</v>
      </c>
      <c r="F29" s="204"/>
      <c r="G29" s="8">
        <f t="shared" si="4"/>
        <v>0</v>
      </c>
      <c r="H29" s="293"/>
      <c r="I29" s="586">
        <f t="shared" si="0"/>
        <v>0</v>
      </c>
      <c r="J29" s="8">
        <f t="shared" si="1"/>
        <v>0</v>
      </c>
      <c r="K29" s="204"/>
      <c r="L29" s="8">
        <f t="shared" si="2"/>
        <v>0</v>
      </c>
    </row>
    <row r="30" spans="1:12" x14ac:dyDescent="0.2">
      <c r="A30" s="909">
        <v>1860</v>
      </c>
      <c r="B30" s="912" t="s">
        <v>389</v>
      </c>
      <c r="C30" s="204"/>
      <c r="D30" s="204"/>
      <c r="E30" s="8">
        <f t="shared" si="3"/>
        <v>0</v>
      </c>
      <c r="F30" s="204"/>
      <c r="G30" s="8">
        <f t="shared" si="4"/>
        <v>0</v>
      </c>
      <c r="H30" s="293"/>
      <c r="I30" s="586">
        <f t="shared" si="0"/>
        <v>0</v>
      </c>
      <c r="J30" s="8">
        <f t="shared" si="1"/>
        <v>0</v>
      </c>
      <c r="K30" s="204"/>
      <c r="L30" s="8">
        <f t="shared" si="2"/>
        <v>0</v>
      </c>
    </row>
    <row r="31" spans="1:12" x14ac:dyDescent="0.2">
      <c r="A31" s="910">
        <v>1860</v>
      </c>
      <c r="B31" s="911" t="s">
        <v>311</v>
      </c>
      <c r="C31" s="204"/>
      <c r="D31" s="204"/>
      <c r="E31" s="8">
        <f t="shared" si="3"/>
        <v>0</v>
      </c>
      <c r="F31" s="204"/>
      <c r="G31" s="8">
        <f t="shared" si="4"/>
        <v>0</v>
      </c>
      <c r="H31" s="293"/>
      <c r="I31" s="586">
        <f t="shared" si="0"/>
        <v>0</v>
      </c>
      <c r="J31" s="8">
        <f t="shared" si="1"/>
        <v>0</v>
      </c>
      <c r="K31" s="204"/>
      <c r="L31" s="8">
        <f t="shared" si="2"/>
        <v>0</v>
      </c>
    </row>
    <row r="32" spans="1:12" x14ac:dyDescent="0.2">
      <c r="A32" s="910">
        <v>1905</v>
      </c>
      <c r="B32" s="911" t="s">
        <v>383</v>
      </c>
      <c r="C32" s="204"/>
      <c r="D32" s="204"/>
      <c r="E32" s="8">
        <f t="shared" si="3"/>
        <v>0</v>
      </c>
      <c r="F32" s="204"/>
      <c r="G32" s="8">
        <f t="shared" si="4"/>
        <v>0</v>
      </c>
      <c r="H32" s="293"/>
      <c r="I32" s="586">
        <f t="shared" si="0"/>
        <v>0</v>
      </c>
      <c r="J32" s="8">
        <f t="shared" si="1"/>
        <v>0</v>
      </c>
      <c r="K32" s="204"/>
      <c r="L32" s="8">
        <f t="shared" si="2"/>
        <v>0</v>
      </c>
    </row>
    <row r="33" spans="1:12" x14ac:dyDescent="0.2">
      <c r="A33" s="909">
        <v>1908</v>
      </c>
      <c r="B33" s="912" t="s">
        <v>391</v>
      </c>
      <c r="C33" s="204"/>
      <c r="D33" s="204"/>
      <c r="E33" s="8">
        <f t="shared" si="3"/>
        <v>0</v>
      </c>
      <c r="F33" s="204"/>
      <c r="G33" s="8">
        <f t="shared" si="4"/>
        <v>0</v>
      </c>
      <c r="H33" s="293"/>
      <c r="I33" s="586">
        <f t="shared" si="0"/>
        <v>0</v>
      </c>
      <c r="J33" s="8">
        <f t="shared" si="1"/>
        <v>0</v>
      </c>
      <c r="K33" s="204"/>
      <c r="L33" s="8">
        <f t="shared" si="2"/>
        <v>0</v>
      </c>
    </row>
    <row r="34" spans="1:12" x14ac:dyDescent="0.2">
      <c r="A34" s="909">
        <v>1910</v>
      </c>
      <c r="B34" s="912" t="s">
        <v>417</v>
      </c>
      <c r="C34" s="204"/>
      <c r="D34" s="204"/>
      <c r="E34" s="8">
        <f t="shared" si="3"/>
        <v>0</v>
      </c>
      <c r="F34" s="204"/>
      <c r="G34" s="8">
        <f t="shared" si="4"/>
        <v>0</v>
      </c>
      <c r="H34" s="293"/>
      <c r="I34" s="586">
        <f t="shared" si="0"/>
        <v>0</v>
      </c>
      <c r="J34" s="8">
        <f t="shared" si="1"/>
        <v>0</v>
      </c>
      <c r="K34" s="204"/>
      <c r="L34" s="8">
        <f t="shared" si="2"/>
        <v>0</v>
      </c>
    </row>
    <row r="35" spans="1:12" x14ac:dyDescent="0.2">
      <c r="A35" s="909">
        <v>1915</v>
      </c>
      <c r="B35" s="912" t="s">
        <v>312</v>
      </c>
      <c r="C35" s="204"/>
      <c r="D35" s="204"/>
      <c r="E35" s="8">
        <f t="shared" si="3"/>
        <v>0</v>
      </c>
      <c r="F35" s="204"/>
      <c r="G35" s="8">
        <f t="shared" si="4"/>
        <v>0</v>
      </c>
      <c r="H35" s="293"/>
      <c r="I35" s="586">
        <f t="shared" si="0"/>
        <v>0</v>
      </c>
      <c r="J35" s="8">
        <f t="shared" si="1"/>
        <v>0</v>
      </c>
      <c r="K35" s="204"/>
      <c r="L35" s="8">
        <f t="shared" si="2"/>
        <v>0</v>
      </c>
    </row>
    <row r="36" spans="1:12" x14ac:dyDescent="0.2">
      <c r="A36" s="909">
        <v>1915</v>
      </c>
      <c r="B36" s="912" t="s">
        <v>313</v>
      </c>
      <c r="C36" s="204"/>
      <c r="D36" s="204"/>
      <c r="E36" s="8">
        <f t="shared" si="3"/>
        <v>0</v>
      </c>
      <c r="F36" s="204"/>
      <c r="G36" s="8">
        <f t="shared" si="4"/>
        <v>0</v>
      </c>
      <c r="H36" s="293"/>
      <c r="I36" s="586">
        <f t="shared" si="0"/>
        <v>0</v>
      </c>
      <c r="J36" s="8">
        <f t="shared" si="1"/>
        <v>0</v>
      </c>
      <c r="K36" s="204"/>
      <c r="L36" s="8">
        <f t="shared" si="2"/>
        <v>0</v>
      </c>
    </row>
    <row r="37" spans="1:12" x14ac:dyDescent="0.2">
      <c r="A37" s="909">
        <v>1920</v>
      </c>
      <c r="B37" s="912" t="s">
        <v>314</v>
      </c>
      <c r="C37" s="204"/>
      <c r="D37" s="204"/>
      <c r="E37" s="8">
        <f t="shared" si="3"/>
        <v>0</v>
      </c>
      <c r="F37" s="204"/>
      <c r="G37" s="8">
        <f t="shared" si="4"/>
        <v>0</v>
      </c>
      <c r="H37" s="293"/>
      <c r="I37" s="586">
        <f t="shared" si="0"/>
        <v>0</v>
      </c>
      <c r="J37" s="8">
        <f t="shared" si="1"/>
        <v>0</v>
      </c>
      <c r="K37" s="204"/>
      <c r="L37" s="8">
        <f t="shared" si="2"/>
        <v>0</v>
      </c>
    </row>
    <row r="38" spans="1:12" x14ac:dyDescent="0.2">
      <c r="A38" s="913">
        <v>1920</v>
      </c>
      <c r="B38" s="299" t="s">
        <v>316</v>
      </c>
      <c r="C38" s="204"/>
      <c r="D38" s="204"/>
      <c r="E38" s="8">
        <f t="shared" si="3"/>
        <v>0</v>
      </c>
      <c r="F38" s="204"/>
      <c r="G38" s="8">
        <f t="shared" si="4"/>
        <v>0</v>
      </c>
      <c r="H38" s="293"/>
      <c r="I38" s="586">
        <f t="shared" si="0"/>
        <v>0</v>
      </c>
      <c r="J38" s="8">
        <f t="shared" si="1"/>
        <v>0</v>
      </c>
      <c r="K38" s="204"/>
      <c r="L38" s="8">
        <f t="shared" si="2"/>
        <v>0</v>
      </c>
    </row>
    <row r="39" spans="1:12" x14ac:dyDescent="0.2">
      <c r="A39" s="913">
        <v>1920</v>
      </c>
      <c r="B39" s="299" t="s">
        <v>315</v>
      </c>
      <c r="C39" s="204"/>
      <c r="D39" s="204"/>
      <c r="E39" s="8">
        <f t="shared" si="3"/>
        <v>0</v>
      </c>
      <c r="F39" s="204"/>
      <c r="G39" s="8">
        <f t="shared" si="4"/>
        <v>0</v>
      </c>
      <c r="H39" s="293"/>
      <c r="I39" s="586">
        <f t="shared" si="0"/>
        <v>0</v>
      </c>
      <c r="J39" s="8">
        <f t="shared" si="1"/>
        <v>0</v>
      </c>
      <c r="K39" s="204"/>
      <c r="L39" s="8">
        <f t="shared" si="2"/>
        <v>0</v>
      </c>
    </row>
    <row r="40" spans="1:12" x14ac:dyDescent="0.2">
      <c r="A40" s="909">
        <v>1930</v>
      </c>
      <c r="B40" s="912" t="s">
        <v>404</v>
      </c>
      <c r="C40" s="204"/>
      <c r="D40" s="204"/>
      <c r="E40" s="8">
        <f t="shared" si="3"/>
        <v>0</v>
      </c>
      <c r="F40" s="204"/>
      <c r="G40" s="8">
        <f t="shared" si="4"/>
        <v>0</v>
      </c>
      <c r="H40" s="293"/>
      <c r="I40" s="586">
        <f t="shared" si="0"/>
        <v>0</v>
      </c>
      <c r="J40" s="8">
        <f t="shared" si="1"/>
        <v>0</v>
      </c>
      <c r="K40" s="204"/>
      <c r="L40" s="8">
        <f t="shared" si="2"/>
        <v>0</v>
      </c>
    </row>
    <row r="41" spans="1:12" x14ac:dyDescent="0.2">
      <c r="A41" s="909">
        <v>1935</v>
      </c>
      <c r="B41" s="912" t="s">
        <v>405</v>
      </c>
      <c r="C41" s="204"/>
      <c r="D41" s="204"/>
      <c r="E41" s="8">
        <f t="shared" si="3"/>
        <v>0</v>
      </c>
      <c r="F41" s="204"/>
      <c r="G41" s="8">
        <f t="shared" si="4"/>
        <v>0</v>
      </c>
      <c r="H41" s="293"/>
      <c r="I41" s="586">
        <f t="shared" si="0"/>
        <v>0</v>
      </c>
      <c r="J41" s="8">
        <f t="shared" si="1"/>
        <v>0</v>
      </c>
      <c r="K41" s="204"/>
      <c r="L41" s="8">
        <f t="shared" si="2"/>
        <v>0</v>
      </c>
    </row>
    <row r="42" spans="1:12" x14ac:dyDescent="0.2">
      <c r="A42" s="909">
        <v>1940</v>
      </c>
      <c r="B42" s="912" t="s">
        <v>406</v>
      </c>
      <c r="C42" s="204"/>
      <c r="D42" s="204"/>
      <c r="E42" s="8">
        <f t="shared" si="3"/>
        <v>0</v>
      </c>
      <c r="F42" s="204"/>
      <c r="G42" s="8">
        <f t="shared" si="4"/>
        <v>0</v>
      </c>
      <c r="H42" s="293"/>
      <c r="I42" s="586">
        <f t="shared" si="0"/>
        <v>0</v>
      </c>
      <c r="J42" s="8">
        <f t="shared" si="1"/>
        <v>0</v>
      </c>
      <c r="K42" s="204"/>
      <c r="L42" s="8">
        <f t="shared" si="2"/>
        <v>0</v>
      </c>
    </row>
    <row r="43" spans="1:12" x14ac:dyDescent="0.2">
      <c r="A43" s="909">
        <v>1945</v>
      </c>
      <c r="B43" s="912" t="s">
        <v>407</v>
      </c>
      <c r="C43" s="204"/>
      <c r="D43" s="204"/>
      <c r="E43" s="8">
        <f t="shared" si="3"/>
        <v>0</v>
      </c>
      <c r="F43" s="204"/>
      <c r="G43" s="8">
        <f t="shared" si="4"/>
        <v>0</v>
      </c>
      <c r="H43" s="293"/>
      <c r="I43" s="586">
        <f t="shared" si="0"/>
        <v>0</v>
      </c>
      <c r="J43" s="8">
        <f t="shared" si="1"/>
        <v>0</v>
      </c>
      <c r="K43" s="204"/>
      <c r="L43" s="8">
        <f t="shared" si="2"/>
        <v>0</v>
      </c>
    </row>
    <row r="44" spans="1:12" x14ac:dyDescent="0.2">
      <c r="A44" s="909">
        <v>1950</v>
      </c>
      <c r="B44" s="912" t="s">
        <v>317</v>
      </c>
      <c r="C44" s="204"/>
      <c r="D44" s="204"/>
      <c r="E44" s="8">
        <f t="shared" si="3"/>
        <v>0</v>
      </c>
      <c r="F44" s="204"/>
      <c r="G44" s="8">
        <f t="shared" si="4"/>
        <v>0</v>
      </c>
      <c r="H44" s="293"/>
      <c r="I44" s="586">
        <f t="shared" si="0"/>
        <v>0</v>
      </c>
      <c r="J44" s="8">
        <f t="shared" si="1"/>
        <v>0</v>
      </c>
      <c r="K44" s="204"/>
      <c r="L44" s="8">
        <f t="shared" si="2"/>
        <v>0</v>
      </c>
    </row>
    <row r="45" spans="1:12" x14ac:dyDescent="0.2">
      <c r="A45" s="909">
        <v>1955</v>
      </c>
      <c r="B45" s="912" t="s">
        <v>408</v>
      </c>
      <c r="C45" s="204"/>
      <c r="D45" s="204"/>
      <c r="E45" s="8">
        <f t="shared" si="3"/>
        <v>0</v>
      </c>
      <c r="F45" s="204"/>
      <c r="G45" s="8">
        <f t="shared" si="4"/>
        <v>0</v>
      </c>
      <c r="H45" s="293"/>
      <c r="I45" s="586">
        <f t="shared" si="0"/>
        <v>0</v>
      </c>
      <c r="J45" s="8">
        <f t="shared" si="1"/>
        <v>0</v>
      </c>
      <c r="K45" s="204"/>
      <c r="L45" s="8">
        <f t="shared" si="2"/>
        <v>0</v>
      </c>
    </row>
    <row r="46" spans="1:12" x14ac:dyDescent="0.2">
      <c r="A46" s="914">
        <v>1955</v>
      </c>
      <c r="B46" s="300" t="s">
        <v>318</v>
      </c>
      <c r="C46" s="204"/>
      <c r="D46" s="204"/>
      <c r="E46" s="8">
        <f t="shared" si="3"/>
        <v>0</v>
      </c>
      <c r="F46" s="204"/>
      <c r="G46" s="8">
        <f t="shared" si="4"/>
        <v>0</v>
      </c>
      <c r="H46" s="293"/>
      <c r="I46" s="586">
        <f t="shared" si="0"/>
        <v>0</v>
      </c>
      <c r="J46" s="8">
        <f t="shared" si="1"/>
        <v>0</v>
      </c>
      <c r="K46" s="204"/>
      <c r="L46" s="8">
        <f t="shared" si="2"/>
        <v>0</v>
      </c>
    </row>
    <row r="47" spans="1:12" x14ac:dyDescent="0.2">
      <c r="A47" s="913">
        <v>1960</v>
      </c>
      <c r="B47" s="299" t="s">
        <v>319</v>
      </c>
      <c r="C47" s="204"/>
      <c r="D47" s="204"/>
      <c r="E47" s="8">
        <f t="shared" si="3"/>
        <v>0</v>
      </c>
      <c r="F47" s="204"/>
      <c r="G47" s="8">
        <f t="shared" si="4"/>
        <v>0</v>
      </c>
      <c r="H47" s="293"/>
      <c r="I47" s="586">
        <f t="shared" si="0"/>
        <v>0</v>
      </c>
      <c r="J47" s="8">
        <f t="shared" si="1"/>
        <v>0</v>
      </c>
      <c r="K47" s="204"/>
      <c r="L47" s="8">
        <f t="shared" si="2"/>
        <v>0</v>
      </c>
    </row>
    <row r="48" spans="1:12" x14ac:dyDescent="0.2">
      <c r="A48" s="913">
        <v>1970</v>
      </c>
      <c r="B48" s="915" t="s">
        <v>929</v>
      </c>
      <c r="C48" s="204"/>
      <c r="D48" s="204"/>
      <c r="E48" s="8">
        <f t="shared" si="3"/>
        <v>0</v>
      </c>
      <c r="F48" s="204"/>
      <c r="G48" s="8">
        <f t="shared" si="4"/>
        <v>0</v>
      </c>
      <c r="H48" s="293"/>
      <c r="I48" s="586">
        <f t="shared" si="0"/>
        <v>0</v>
      </c>
      <c r="J48" s="8">
        <f t="shared" si="1"/>
        <v>0</v>
      </c>
      <c r="K48" s="204"/>
      <c r="L48" s="8">
        <f t="shared" si="2"/>
        <v>0</v>
      </c>
    </row>
    <row r="49" spans="1:14" x14ac:dyDescent="0.2">
      <c r="A49" s="909">
        <v>1975</v>
      </c>
      <c r="B49" s="912" t="s">
        <v>409</v>
      </c>
      <c r="C49" s="204"/>
      <c r="D49" s="204"/>
      <c r="E49" s="8">
        <f t="shared" si="3"/>
        <v>0</v>
      </c>
      <c r="F49" s="204"/>
      <c r="G49" s="8">
        <f t="shared" si="4"/>
        <v>0</v>
      </c>
      <c r="H49" s="293"/>
      <c r="I49" s="586">
        <f t="shared" si="0"/>
        <v>0</v>
      </c>
      <c r="J49" s="8">
        <f t="shared" si="1"/>
        <v>0</v>
      </c>
      <c r="K49" s="204"/>
      <c r="L49" s="8">
        <f t="shared" si="2"/>
        <v>0</v>
      </c>
    </row>
    <row r="50" spans="1:14" x14ac:dyDescent="0.2">
      <c r="A50" s="909">
        <v>1980</v>
      </c>
      <c r="B50" s="912" t="s">
        <v>410</v>
      </c>
      <c r="C50" s="204"/>
      <c r="D50" s="204"/>
      <c r="E50" s="8">
        <f t="shared" si="3"/>
        <v>0</v>
      </c>
      <c r="F50" s="204"/>
      <c r="G50" s="8">
        <f t="shared" si="4"/>
        <v>0</v>
      </c>
      <c r="H50" s="293"/>
      <c r="I50" s="586">
        <f t="shared" si="0"/>
        <v>0</v>
      </c>
      <c r="J50" s="8">
        <f t="shared" si="1"/>
        <v>0</v>
      </c>
      <c r="K50" s="204"/>
      <c r="L50" s="8">
        <f t="shared" si="2"/>
        <v>0</v>
      </c>
    </row>
    <row r="51" spans="1:14" x14ac:dyDescent="0.2">
      <c r="A51" s="909">
        <v>1985</v>
      </c>
      <c r="B51" s="912" t="s">
        <v>411</v>
      </c>
      <c r="C51" s="204"/>
      <c r="D51" s="204"/>
      <c r="E51" s="8">
        <f t="shared" si="3"/>
        <v>0</v>
      </c>
      <c r="F51" s="204"/>
      <c r="G51" s="8">
        <f t="shared" si="4"/>
        <v>0</v>
      </c>
      <c r="H51" s="293"/>
      <c r="I51" s="586">
        <f t="shared" si="0"/>
        <v>0</v>
      </c>
      <c r="J51" s="8">
        <f t="shared" si="1"/>
        <v>0</v>
      </c>
      <c r="K51" s="204"/>
      <c r="L51" s="8">
        <f t="shared" si="2"/>
        <v>0</v>
      </c>
    </row>
    <row r="52" spans="1:14" x14ac:dyDescent="0.2">
      <c r="A52" s="909">
        <v>1990</v>
      </c>
      <c r="B52" s="916" t="s">
        <v>774</v>
      </c>
      <c r="C52" s="204"/>
      <c r="D52" s="204"/>
      <c r="E52" s="8">
        <f t="shared" si="3"/>
        <v>0</v>
      </c>
      <c r="F52" s="204"/>
      <c r="G52" s="8">
        <f t="shared" si="4"/>
        <v>0</v>
      </c>
      <c r="H52" s="293"/>
      <c r="I52" s="586">
        <f t="shared" si="0"/>
        <v>0</v>
      </c>
      <c r="J52" s="8">
        <f t="shared" si="1"/>
        <v>0</v>
      </c>
      <c r="K52" s="204"/>
      <c r="L52" s="8">
        <f t="shared" si="2"/>
        <v>0</v>
      </c>
    </row>
    <row r="53" spans="1:14" x14ac:dyDescent="0.2">
      <c r="A53" s="909">
        <v>1995</v>
      </c>
      <c r="B53" s="912" t="s">
        <v>412</v>
      </c>
      <c r="C53" s="204"/>
      <c r="D53" s="204"/>
      <c r="E53" s="8">
        <f t="shared" si="3"/>
        <v>0</v>
      </c>
      <c r="F53" s="204"/>
      <c r="G53" s="8">
        <f t="shared" si="4"/>
        <v>0</v>
      </c>
      <c r="H53" s="293"/>
      <c r="I53" s="586">
        <f t="shared" si="0"/>
        <v>0</v>
      </c>
      <c r="J53" s="8">
        <f t="shared" si="1"/>
        <v>0</v>
      </c>
      <c r="K53" s="204"/>
      <c r="L53" s="8">
        <f t="shared" si="2"/>
        <v>0</v>
      </c>
    </row>
    <row r="54" spans="1:14" x14ac:dyDescent="0.2">
      <c r="A54" s="227" t="s">
        <v>13</v>
      </c>
      <c r="B54" s="228"/>
      <c r="C54" s="204"/>
      <c r="D54" s="204"/>
      <c r="E54" s="8">
        <f t="shared" si="3"/>
        <v>0</v>
      </c>
      <c r="F54" s="204"/>
      <c r="G54" s="8">
        <f t="shared" si="4"/>
        <v>0</v>
      </c>
      <c r="H54" s="293"/>
      <c r="I54" s="586">
        <f t="shared" si="0"/>
        <v>0</v>
      </c>
      <c r="J54" s="8">
        <f t="shared" si="1"/>
        <v>0</v>
      </c>
      <c r="K54" s="204"/>
      <c r="L54" s="8">
        <f t="shared" si="2"/>
        <v>0</v>
      </c>
    </row>
    <row r="55" spans="1:14" ht="13.5" thickBot="1" x14ac:dyDescent="0.25">
      <c r="A55" s="229"/>
      <c r="B55" s="230"/>
      <c r="C55" s="204"/>
      <c r="D55" s="204"/>
      <c r="E55" s="8">
        <f t="shared" si="3"/>
        <v>0</v>
      </c>
      <c r="F55" s="204"/>
      <c r="G55" s="8">
        <f t="shared" si="4"/>
        <v>0</v>
      </c>
      <c r="H55" s="283"/>
      <c r="I55" s="587">
        <f t="shared" si="0"/>
        <v>0</v>
      </c>
      <c r="J55" s="8">
        <f t="shared" si="1"/>
        <v>0</v>
      </c>
      <c r="K55" s="204"/>
      <c r="L55" s="8">
        <f t="shared" si="2"/>
        <v>0</v>
      </c>
    </row>
    <row r="56" spans="1:14" ht="14.25" thickTop="1" thickBot="1" x14ac:dyDescent="0.25">
      <c r="A56" s="231"/>
      <c r="B56" s="232" t="s">
        <v>413</v>
      </c>
      <c r="C56" s="8">
        <f>SUM(C16:C55)</f>
        <v>0</v>
      </c>
      <c r="D56" s="8">
        <f>SUM(D16:D55)</f>
        <v>0</v>
      </c>
      <c r="E56" s="8">
        <f t="shared" ref="E56:G56" si="5">SUM(E16:E55)</f>
        <v>0</v>
      </c>
      <c r="F56" s="8">
        <f t="shared" si="5"/>
        <v>0</v>
      </c>
      <c r="G56" s="8">
        <f t="shared" si="5"/>
        <v>0</v>
      </c>
      <c r="H56" s="234"/>
      <c r="I56" s="596"/>
      <c r="J56" s="8">
        <f>SUM(J16:J55)</f>
        <v>0</v>
      </c>
      <c r="K56" s="8">
        <f>SUM(K16:K55)</f>
        <v>0</v>
      </c>
      <c r="L56" s="8">
        <f>SUM(L16:L55)</f>
        <v>0</v>
      </c>
    </row>
    <row r="58" spans="1:14" x14ac:dyDescent="0.2">
      <c r="A58" s="217" t="s">
        <v>15</v>
      </c>
      <c r="B58" s="236"/>
      <c r="C58" s="236"/>
      <c r="D58" s="236"/>
      <c r="E58" s="236"/>
      <c r="F58" s="236"/>
      <c r="G58" s="236"/>
      <c r="H58" s="236"/>
      <c r="I58" s="236"/>
      <c r="J58" s="236"/>
    </row>
    <row r="59" spans="1:14" x14ac:dyDescent="0.2">
      <c r="A59" s="236"/>
      <c r="B59" s="236"/>
      <c r="C59" s="236"/>
      <c r="D59" s="236"/>
      <c r="E59" s="236"/>
      <c r="F59" s="236"/>
      <c r="G59" s="236"/>
      <c r="H59" s="236"/>
      <c r="I59" s="236"/>
      <c r="J59" s="236"/>
    </row>
    <row r="60" spans="1:14" ht="29.25" customHeight="1" x14ac:dyDescent="0.2">
      <c r="A60" s="284">
        <v>1</v>
      </c>
      <c r="B60" s="1857" t="s">
        <v>607</v>
      </c>
      <c r="C60" s="1857"/>
      <c r="D60" s="1857"/>
      <c r="E60" s="1857"/>
      <c r="F60" s="1857"/>
      <c r="G60" s="1857"/>
      <c r="H60" s="1857"/>
      <c r="I60" s="1857"/>
      <c r="J60" s="1857"/>
      <c r="K60" s="1857"/>
      <c r="L60" s="1857"/>
    </row>
    <row r="61" spans="1:14" ht="12.75" customHeight="1" x14ac:dyDescent="0.2">
      <c r="A61" s="284">
        <v>2</v>
      </c>
      <c r="B61" s="1857" t="s">
        <v>1934</v>
      </c>
      <c r="C61" s="1857"/>
      <c r="D61" s="1857"/>
      <c r="E61" s="1857"/>
      <c r="F61" s="1857"/>
      <c r="G61" s="1857"/>
      <c r="H61" s="1857"/>
      <c r="I61" s="1857"/>
      <c r="J61" s="1857"/>
      <c r="K61" s="1857"/>
      <c r="L61" s="1857"/>
    </row>
    <row r="62" spans="1:14" x14ac:dyDescent="0.2">
      <c r="B62" s="883"/>
      <c r="C62" s="883"/>
      <c r="D62" s="883"/>
      <c r="E62" s="883"/>
      <c r="F62" s="883"/>
      <c r="G62" s="883"/>
      <c r="H62" s="883"/>
      <c r="I62" s="883"/>
      <c r="J62" s="883"/>
      <c r="K62" s="236"/>
    </row>
    <row r="64" spans="1:14" ht="12.75" customHeight="1" x14ac:dyDescent="0.2">
      <c r="A64" s="217" t="s">
        <v>325</v>
      </c>
      <c r="B64" s="1869" t="s">
        <v>270</v>
      </c>
      <c r="C64" s="1869"/>
      <c r="D64" s="1869"/>
      <c r="E64" s="1869"/>
      <c r="F64" s="1869"/>
      <c r="G64" s="1869"/>
      <c r="H64" s="1869"/>
      <c r="I64" s="1869"/>
      <c r="J64" s="1869"/>
      <c r="K64" s="1869"/>
      <c r="L64" s="1869"/>
      <c r="M64" s="884"/>
      <c r="N64" s="884"/>
    </row>
    <row r="65" spans="2:14" ht="27" customHeight="1" x14ac:dyDescent="0.2">
      <c r="B65" s="1869"/>
      <c r="C65" s="1869"/>
      <c r="D65" s="1869"/>
      <c r="E65" s="1869"/>
      <c r="F65" s="1869"/>
      <c r="G65" s="1869"/>
      <c r="H65" s="1869"/>
      <c r="I65" s="1869"/>
      <c r="J65" s="1869"/>
      <c r="K65" s="1869"/>
      <c r="L65" s="1869"/>
      <c r="M65" s="884"/>
      <c r="N65" s="884"/>
    </row>
    <row r="66" spans="2:14" x14ac:dyDescent="0.2">
      <c r="B66" s="884"/>
      <c r="C66" s="884"/>
      <c r="D66" s="884"/>
      <c r="E66" s="884"/>
      <c r="F66" s="884"/>
      <c r="G66" s="884"/>
      <c r="H66" s="884"/>
      <c r="I66" s="884"/>
      <c r="J66" s="884"/>
      <c r="K66" s="884"/>
      <c r="L66" s="884"/>
      <c r="M66" s="884"/>
      <c r="N66" s="884"/>
    </row>
  </sheetData>
  <mergeCells count="10">
    <mergeCell ref="B60:L60"/>
    <mergeCell ref="B61:L61"/>
    <mergeCell ref="B64:L65"/>
    <mergeCell ref="A9:L9"/>
    <mergeCell ref="A10:L10"/>
    <mergeCell ref="A11:L11"/>
    <mergeCell ref="E12:F12"/>
    <mergeCell ref="A14:A15"/>
    <mergeCell ref="B14:B15"/>
    <mergeCell ref="K14:K15"/>
  </mergeCells>
  <dataValidations count="3">
    <dataValidation type="list" allowBlank="1" showInputMessage="1" showErrorMessage="1" sqref="WVQ983053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formula1>"CGAAP, USGAAP, ASPE"</formula1>
    </dataValidation>
    <dataValidation type="list" allowBlank="1" showInputMessage="1" showErrorMessage="1" sqref="WVM983053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C65549: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C131085: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C196621: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C262157: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C327693: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C393229: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C458765: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C524301: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C589837: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C655373: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C720909: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C786445: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C851981: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C917517: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C983053: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formula1>"2011, 2012, 2013"</formula1>
    </dataValidation>
    <dataValidation allowBlank="1" showInputMessage="1" showErrorMessage="1" promptTitle="Date Format" prompt="E.g:  &quot;August 1, 2011&quot;" sqref="WVR983048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dataValidations>
  <printOptions horizontalCentered="1"/>
  <pageMargins left="0.74803149606299213" right="0.74803149606299213" top="0.70866141732283472" bottom="0.39370078740157483" header="0.39370078740157483" footer="0.27559055118110237"/>
  <pageSetup scale="5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P77"/>
  <sheetViews>
    <sheetView showGridLines="0" topLeftCell="A16" zoomScaleNormal="100" workbookViewId="0">
      <selection activeCell="E17" sqref="E17:G17"/>
    </sheetView>
  </sheetViews>
  <sheetFormatPr defaultRowHeight="12.75" x14ac:dyDescent="0.2"/>
  <cols>
    <col min="1" max="1" width="5" style="216" customWidth="1"/>
    <col min="2" max="2" width="47.28515625" style="216" customWidth="1"/>
    <col min="3" max="3" width="12.7109375" style="216" bestFit="1" customWidth="1"/>
    <col min="4" max="4" width="1.7109375" style="216" customWidth="1"/>
    <col min="5" max="7" width="15.7109375" style="216" customWidth="1"/>
    <col min="8" max="8" width="17.85546875" style="216" bestFit="1" customWidth="1"/>
    <col min="9" max="9" width="18.5703125" style="216" bestFit="1" customWidth="1"/>
    <col min="10" max="10" width="15.7109375" style="216" customWidth="1"/>
    <col min="11" max="11" width="76.42578125" style="216" customWidth="1"/>
    <col min="12" max="12" width="12.7109375" style="216" bestFit="1" customWidth="1"/>
    <col min="13" max="13" width="1.85546875" style="216" bestFit="1" customWidth="1"/>
    <col min="14" max="14" width="18.5703125" style="216" bestFit="1" customWidth="1"/>
    <col min="15" max="15" width="13.7109375" style="216" customWidth="1"/>
    <col min="16" max="16" width="54.5703125" style="216" bestFit="1" customWidth="1"/>
    <col min="17" max="255" width="9.140625" style="216"/>
    <col min="256" max="256" width="2.85546875" style="216" customWidth="1"/>
    <col min="257" max="257" width="5" style="216" customWidth="1"/>
    <col min="258" max="258" width="62" style="216" customWidth="1"/>
    <col min="259" max="259" width="12.7109375" style="216" bestFit="1" customWidth="1"/>
    <col min="260" max="260" width="1.7109375" style="216" customWidth="1"/>
    <col min="261" max="263" width="15.7109375" style="216" customWidth="1"/>
    <col min="264" max="264" width="17.85546875" style="216" bestFit="1" customWidth="1"/>
    <col min="265" max="265" width="18.5703125" style="216" bestFit="1" customWidth="1"/>
    <col min="266" max="268" width="15.7109375" style="216" customWidth="1"/>
    <col min="269" max="269" width="20" style="216" customWidth="1"/>
    <col min="270" max="270" width="18.5703125" style="216" bestFit="1" customWidth="1"/>
    <col min="271" max="271" width="13.7109375" style="216" customWidth="1"/>
    <col min="272" max="272" width="54.5703125" style="216" bestFit="1" customWidth="1"/>
    <col min="273" max="511" width="9.140625" style="216"/>
    <col min="512" max="512" width="2.85546875" style="216" customWidth="1"/>
    <col min="513" max="513" width="5" style="216" customWidth="1"/>
    <col min="514" max="514" width="62" style="216" customWidth="1"/>
    <col min="515" max="515" width="12.7109375" style="216" bestFit="1" customWidth="1"/>
    <col min="516" max="516" width="1.7109375" style="216" customWidth="1"/>
    <col min="517" max="519" width="15.7109375" style="216" customWidth="1"/>
    <col min="520" max="520" width="17.85546875" style="216" bestFit="1" customWidth="1"/>
    <col min="521" max="521" width="18.5703125" style="216" bestFit="1" customWidth="1"/>
    <col min="522" max="524" width="15.7109375" style="216" customWidth="1"/>
    <col min="525" max="525" width="20" style="216" customWidth="1"/>
    <col min="526" max="526" width="18.5703125" style="216" bestFit="1" customWidth="1"/>
    <col min="527" max="527" width="13.7109375" style="216" customWidth="1"/>
    <col min="528" max="528" width="54.5703125" style="216" bestFit="1" customWidth="1"/>
    <col min="529" max="767" width="9.140625" style="216"/>
    <col min="768" max="768" width="2.85546875" style="216" customWidth="1"/>
    <col min="769" max="769" width="5" style="216" customWidth="1"/>
    <col min="770" max="770" width="62" style="216" customWidth="1"/>
    <col min="771" max="771" width="12.7109375" style="216" bestFit="1" customWidth="1"/>
    <col min="772" max="772" width="1.7109375" style="216" customWidth="1"/>
    <col min="773" max="775" width="15.7109375" style="216" customWidth="1"/>
    <col min="776" max="776" width="17.85546875" style="216" bestFit="1" customWidth="1"/>
    <col min="777" max="777" width="18.5703125" style="216" bestFit="1" customWidth="1"/>
    <col min="778" max="780" width="15.7109375" style="216" customWidth="1"/>
    <col min="781" max="781" width="20" style="216" customWidth="1"/>
    <col min="782" max="782" width="18.5703125" style="216" bestFit="1" customWidth="1"/>
    <col min="783" max="783" width="13.7109375" style="216" customWidth="1"/>
    <col min="784" max="784" width="54.5703125" style="216" bestFit="1" customWidth="1"/>
    <col min="785" max="1023" width="9.140625" style="216"/>
    <col min="1024" max="1024" width="2.85546875" style="216" customWidth="1"/>
    <col min="1025" max="1025" width="5" style="216" customWidth="1"/>
    <col min="1026" max="1026" width="62" style="216" customWidth="1"/>
    <col min="1027" max="1027" width="12.7109375" style="216" bestFit="1" customWidth="1"/>
    <col min="1028" max="1028" width="1.7109375" style="216" customWidth="1"/>
    <col min="1029" max="1031" width="15.7109375" style="216" customWidth="1"/>
    <col min="1032" max="1032" width="17.85546875" style="216" bestFit="1" customWidth="1"/>
    <col min="1033" max="1033" width="18.5703125" style="216" bestFit="1" customWidth="1"/>
    <col min="1034" max="1036" width="15.7109375" style="216" customWidth="1"/>
    <col min="1037" max="1037" width="20" style="216" customWidth="1"/>
    <col min="1038" max="1038" width="18.5703125" style="216" bestFit="1" customWidth="1"/>
    <col min="1039" max="1039" width="13.7109375" style="216" customWidth="1"/>
    <col min="1040" max="1040" width="54.5703125" style="216" bestFit="1" customWidth="1"/>
    <col min="1041" max="1279" width="9.140625" style="216"/>
    <col min="1280" max="1280" width="2.85546875" style="216" customWidth="1"/>
    <col min="1281" max="1281" width="5" style="216" customWidth="1"/>
    <col min="1282" max="1282" width="62" style="216" customWidth="1"/>
    <col min="1283" max="1283" width="12.7109375" style="216" bestFit="1" customWidth="1"/>
    <col min="1284" max="1284" width="1.7109375" style="216" customWidth="1"/>
    <col min="1285" max="1287" width="15.7109375" style="216" customWidth="1"/>
    <col min="1288" max="1288" width="17.85546875" style="216" bestFit="1" customWidth="1"/>
    <col min="1289" max="1289" width="18.5703125" style="216" bestFit="1" customWidth="1"/>
    <col min="1290" max="1292" width="15.7109375" style="216" customWidth="1"/>
    <col min="1293" max="1293" width="20" style="216" customWidth="1"/>
    <col min="1294" max="1294" width="18.5703125" style="216" bestFit="1" customWidth="1"/>
    <col min="1295" max="1295" width="13.7109375" style="216" customWidth="1"/>
    <col min="1296" max="1296" width="54.5703125" style="216" bestFit="1" customWidth="1"/>
    <col min="1297" max="1535" width="9.140625" style="216"/>
    <col min="1536" max="1536" width="2.85546875" style="216" customWidth="1"/>
    <col min="1537" max="1537" width="5" style="216" customWidth="1"/>
    <col min="1538" max="1538" width="62" style="216" customWidth="1"/>
    <col min="1539" max="1539" width="12.7109375" style="216" bestFit="1" customWidth="1"/>
    <col min="1540" max="1540" width="1.7109375" style="216" customWidth="1"/>
    <col min="1541" max="1543" width="15.7109375" style="216" customWidth="1"/>
    <col min="1544" max="1544" width="17.85546875" style="216" bestFit="1" customWidth="1"/>
    <col min="1545" max="1545" width="18.5703125" style="216" bestFit="1" customWidth="1"/>
    <col min="1546" max="1548" width="15.7109375" style="216" customWidth="1"/>
    <col min="1549" max="1549" width="20" style="216" customWidth="1"/>
    <col min="1550" max="1550" width="18.5703125" style="216" bestFit="1" customWidth="1"/>
    <col min="1551" max="1551" width="13.7109375" style="216" customWidth="1"/>
    <col min="1552" max="1552" width="54.5703125" style="216" bestFit="1" customWidth="1"/>
    <col min="1553" max="1791" width="9.140625" style="216"/>
    <col min="1792" max="1792" width="2.85546875" style="216" customWidth="1"/>
    <col min="1793" max="1793" width="5" style="216" customWidth="1"/>
    <col min="1794" max="1794" width="62" style="216" customWidth="1"/>
    <col min="1795" max="1795" width="12.7109375" style="216" bestFit="1" customWidth="1"/>
    <col min="1796" max="1796" width="1.7109375" style="216" customWidth="1"/>
    <col min="1797" max="1799" width="15.7109375" style="216" customWidth="1"/>
    <col min="1800" max="1800" width="17.85546875" style="216" bestFit="1" customWidth="1"/>
    <col min="1801" max="1801" width="18.5703125" style="216" bestFit="1" customWidth="1"/>
    <col min="1802" max="1804" width="15.7109375" style="216" customWidth="1"/>
    <col min="1805" max="1805" width="20" style="216" customWidth="1"/>
    <col min="1806" max="1806" width="18.5703125" style="216" bestFit="1" customWidth="1"/>
    <col min="1807" max="1807" width="13.7109375" style="216" customWidth="1"/>
    <col min="1808" max="1808" width="54.5703125" style="216" bestFit="1" customWidth="1"/>
    <col min="1809" max="2047" width="9.140625" style="216"/>
    <col min="2048" max="2048" width="2.85546875" style="216" customWidth="1"/>
    <col min="2049" max="2049" width="5" style="216" customWidth="1"/>
    <col min="2050" max="2050" width="62" style="216" customWidth="1"/>
    <col min="2051" max="2051" width="12.7109375" style="216" bestFit="1" customWidth="1"/>
    <col min="2052" max="2052" width="1.7109375" style="216" customWidth="1"/>
    <col min="2053" max="2055" width="15.7109375" style="216" customWidth="1"/>
    <col min="2056" max="2056" width="17.85546875" style="216" bestFit="1" customWidth="1"/>
    <col min="2057" max="2057" width="18.5703125" style="216" bestFit="1" customWidth="1"/>
    <col min="2058" max="2060" width="15.7109375" style="216" customWidth="1"/>
    <col min="2061" max="2061" width="20" style="216" customWidth="1"/>
    <col min="2062" max="2062" width="18.5703125" style="216" bestFit="1" customWidth="1"/>
    <col min="2063" max="2063" width="13.7109375" style="216" customWidth="1"/>
    <col min="2064" max="2064" width="54.5703125" style="216" bestFit="1" customWidth="1"/>
    <col min="2065" max="2303" width="9.140625" style="216"/>
    <col min="2304" max="2304" width="2.85546875" style="216" customWidth="1"/>
    <col min="2305" max="2305" width="5" style="216" customWidth="1"/>
    <col min="2306" max="2306" width="62" style="216" customWidth="1"/>
    <col min="2307" max="2307" width="12.7109375" style="216" bestFit="1" customWidth="1"/>
    <col min="2308" max="2308" width="1.7109375" style="216" customWidth="1"/>
    <col min="2309" max="2311" width="15.7109375" style="216" customWidth="1"/>
    <col min="2312" max="2312" width="17.85546875" style="216" bestFit="1" customWidth="1"/>
    <col min="2313" max="2313" width="18.5703125" style="216" bestFit="1" customWidth="1"/>
    <col min="2314" max="2316" width="15.7109375" style="216" customWidth="1"/>
    <col min="2317" max="2317" width="20" style="216" customWidth="1"/>
    <col min="2318" max="2318" width="18.5703125" style="216" bestFit="1" customWidth="1"/>
    <col min="2319" max="2319" width="13.7109375" style="216" customWidth="1"/>
    <col min="2320" max="2320" width="54.5703125" style="216" bestFit="1" customWidth="1"/>
    <col min="2321" max="2559" width="9.140625" style="216"/>
    <col min="2560" max="2560" width="2.85546875" style="216" customWidth="1"/>
    <col min="2561" max="2561" width="5" style="216" customWidth="1"/>
    <col min="2562" max="2562" width="62" style="216" customWidth="1"/>
    <col min="2563" max="2563" width="12.7109375" style="216" bestFit="1" customWidth="1"/>
    <col min="2564" max="2564" width="1.7109375" style="216" customWidth="1"/>
    <col min="2565" max="2567" width="15.7109375" style="216" customWidth="1"/>
    <col min="2568" max="2568" width="17.85546875" style="216" bestFit="1" customWidth="1"/>
    <col min="2569" max="2569" width="18.5703125" style="216" bestFit="1" customWidth="1"/>
    <col min="2570" max="2572" width="15.7109375" style="216" customWidth="1"/>
    <col min="2573" max="2573" width="20" style="216" customWidth="1"/>
    <col min="2574" max="2574" width="18.5703125" style="216" bestFit="1" customWidth="1"/>
    <col min="2575" max="2575" width="13.7109375" style="216" customWidth="1"/>
    <col min="2576" max="2576" width="54.5703125" style="216" bestFit="1" customWidth="1"/>
    <col min="2577" max="2815" width="9.140625" style="216"/>
    <col min="2816" max="2816" width="2.85546875" style="216" customWidth="1"/>
    <col min="2817" max="2817" width="5" style="216" customWidth="1"/>
    <col min="2818" max="2818" width="62" style="216" customWidth="1"/>
    <col min="2819" max="2819" width="12.7109375" style="216" bestFit="1" customWidth="1"/>
    <col min="2820" max="2820" width="1.7109375" style="216" customWidth="1"/>
    <col min="2821" max="2823" width="15.7109375" style="216" customWidth="1"/>
    <col min="2824" max="2824" width="17.85546875" style="216" bestFit="1" customWidth="1"/>
    <col min="2825" max="2825" width="18.5703125" style="216" bestFit="1" customWidth="1"/>
    <col min="2826" max="2828" width="15.7109375" style="216" customWidth="1"/>
    <col min="2829" max="2829" width="20" style="216" customWidth="1"/>
    <col min="2830" max="2830" width="18.5703125" style="216" bestFit="1" customWidth="1"/>
    <col min="2831" max="2831" width="13.7109375" style="216" customWidth="1"/>
    <col min="2832" max="2832" width="54.5703125" style="216" bestFit="1" customWidth="1"/>
    <col min="2833" max="3071" width="9.140625" style="216"/>
    <col min="3072" max="3072" width="2.85546875" style="216" customWidth="1"/>
    <col min="3073" max="3073" width="5" style="216" customWidth="1"/>
    <col min="3074" max="3074" width="62" style="216" customWidth="1"/>
    <col min="3075" max="3075" width="12.7109375" style="216" bestFit="1" customWidth="1"/>
    <col min="3076" max="3076" width="1.7109375" style="216" customWidth="1"/>
    <col min="3077" max="3079" width="15.7109375" style="216" customWidth="1"/>
    <col min="3080" max="3080" width="17.85546875" style="216" bestFit="1" customWidth="1"/>
    <col min="3081" max="3081" width="18.5703125" style="216" bestFit="1" customWidth="1"/>
    <col min="3082" max="3084" width="15.7109375" style="216" customWidth="1"/>
    <col min="3085" max="3085" width="20" style="216" customWidth="1"/>
    <col min="3086" max="3086" width="18.5703125" style="216" bestFit="1" customWidth="1"/>
    <col min="3087" max="3087" width="13.7109375" style="216" customWidth="1"/>
    <col min="3088" max="3088" width="54.5703125" style="216" bestFit="1" customWidth="1"/>
    <col min="3089" max="3327" width="9.140625" style="216"/>
    <col min="3328" max="3328" width="2.85546875" style="216" customWidth="1"/>
    <col min="3329" max="3329" width="5" style="216" customWidth="1"/>
    <col min="3330" max="3330" width="62" style="216" customWidth="1"/>
    <col min="3331" max="3331" width="12.7109375" style="216" bestFit="1" customWidth="1"/>
    <col min="3332" max="3332" width="1.7109375" style="216" customWidth="1"/>
    <col min="3333" max="3335" width="15.7109375" style="216" customWidth="1"/>
    <col min="3336" max="3336" width="17.85546875" style="216" bestFit="1" customWidth="1"/>
    <col min="3337" max="3337" width="18.5703125" style="216" bestFit="1" customWidth="1"/>
    <col min="3338" max="3340" width="15.7109375" style="216" customWidth="1"/>
    <col min="3341" max="3341" width="20" style="216" customWidth="1"/>
    <col min="3342" max="3342" width="18.5703125" style="216" bestFit="1" customWidth="1"/>
    <col min="3343" max="3343" width="13.7109375" style="216" customWidth="1"/>
    <col min="3344" max="3344" width="54.5703125" style="216" bestFit="1" customWidth="1"/>
    <col min="3345" max="3583" width="9.140625" style="216"/>
    <col min="3584" max="3584" width="2.85546875" style="216" customWidth="1"/>
    <col min="3585" max="3585" width="5" style="216" customWidth="1"/>
    <col min="3586" max="3586" width="62" style="216" customWidth="1"/>
    <col min="3587" max="3587" width="12.7109375" style="216" bestFit="1" customWidth="1"/>
    <col min="3588" max="3588" width="1.7109375" style="216" customWidth="1"/>
    <col min="3589" max="3591" width="15.7109375" style="216" customWidth="1"/>
    <col min="3592" max="3592" width="17.85546875" style="216" bestFit="1" customWidth="1"/>
    <col min="3593" max="3593" width="18.5703125" style="216" bestFit="1" customWidth="1"/>
    <col min="3594" max="3596" width="15.7109375" style="216" customWidth="1"/>
    <col min="3597" max="3597" width="20" style="216" customWidth="1"/>
    <col min="3598" max="3598" width="18.5703125" style="216" bestFit="1" customWidth="1"/>
    <col min="3599" max="3599" width="13.7109375" style="216" customWidth="1"/>
    <col min="3600" max="3600" width="54.5703125" style="216" bestFit="1" customWidth="1"/>
    <col min="3601" max="3839" width="9.140625" style="216"/>
    <col min="3840" max="3840" width="2.85546875" style="216" customWidth="1"/>
    <col min="3841" max="3841" width="5" style="216" customWidth="1"/>
    <col min="3842" max="3842" width="62" style="216" customWidth="1"/>
    <col min="3843" max="3843" width="12.7109375" style="216" bestFit="1" customWidth="1"/>
    <col min="3844" max="3844" width="1.7109375" style="216" customWidth="1"/>
    <col min="3845" max="3847" width="15.7109375" style="216" customWidth="1"/>
    <col min="3848" max="3848" width="17.85546875" style="216" bestFit="1" customWidth="1"/>
    <col min="3849" max="3849" width="18.5703125" style="216" bestFit="1" customWidth="1"/>
    <col min="3850" max="3852" width="15.7109375" style="216" customWidth="1"/>
    <col min="3853" max="3853" width="20" style="216" customWidth="1"/>
    <col min="3854" max="3854" width="18.5703125" style="216" bestFit="1" customWidth="1"/>
    <col min="3855" max="3855" width="13.7109375" style="216" customWidth="1"/>
    <col min="3856" max="3856" width="54.5703125" style="216" bestFit="1" customWidth="1"/>
    <col min="3857" max="4095" width="9.140625" style="216"/>
    <col min="4096" max="4096" width="2.85546875" style="216" customWidth="1"/>
    <col min="4097" max="4097" width="5" style="216" customWidth="1"/>
    <col min="4098" max="4098" width="62" style="216" customWidth="1"/>
    <col min="4099" max="4099" width="12.7109375" style="216" bestFit="1" customWidth="1"/>
    <col min="4100" max="4100" width="1.7109375" style="216" customWidth="1"/>
    <col min="4101" max="4103" width="15.7109375" style="216" customWidth="1"/>
    <col min="4104" max="4104" width="17.85546875" style="216" bestFit="1" customWidth="1"/>
    <col min="4105" max="4105" width="18.5703125" style="216" bestFit="1" customWidth="1"/>
    <col min="4106" max="4108" width="15.7109375" style="216" customWidth="1"/>
    <col min="4109" max="4109" width="20" style="216" customWidth="1"/>
    <col min="4110" max="4110" width="18.5703125" style="216" bestFit="1" customWidth="1"/>
    <col min="4111" max="4111" width="13.7109375" style="216" customWidth="1"/>
    <col min="4112" max="4112" width="54.5703125" style="216" bestFit="1" customWidth="1"/>
    <col min="4113" max="4351" width="9.140625" style="216"/>
    <col min="4352" max="4352" width="2.85546875" style="216" customWidth="1"/>
    <col min="4353" max="4353" width="5" style="216" customWidth="1"/>
    <col min="4354" max="4354" width="62" style="216" customWidth="1"/>
    <col min="4355" max="4355" width="12.7109375" style="216" bestFit="1" customWidth="1"/>
    <col min="4356" max="4356" width="1.7109375" style="216" customWidth="1"/>
    <col min="4357" max="4359" width="15.7109375" style="216" customWidth="1"/>
    <col min="4360" max="4360" width="17.85546875" style="216" bestFit="1" customWidth="1"/>
    <col min="4361" max="4361" width="18.5703125" style="216" bestFit="1" customWidth="1"/>
    <col min="4362" max="4364" width="15.7109375" style="216" customWidth="1"/>
    <col min="4365" max="4365" width="20" style="216" customWidth="1"/>
    <col min="4366" max="4366" width="18.5703125" style="216" bestFit="1" customWidth="1"/>
    <col min="4367" max="4367" width="13.7109375" style="216" customWidth="1"/>
    <col min="4368" max="4368" width="54.5703125" style="216" bestFit="1" customWidth="1"/>
    <col min="4369" max="4607" width="9.140625" style="216"/>
    <col min="4608" max="4608" width="2.85546875" style="216" customWidth="1"/>
    <col min="4609" max="4609" width="5" style="216" customWidth="1"/>
    <col min="4610" max="4610" width="62" style="216" customWidth="1"/>
    <col min="4611" max="4611" width="12.7109375" style="216" bestFit="1" customWidth="1"/>
    <col min="4612" max="4612" width="1.7109375" style="216" customWidth="1"/>
    <col min="4613" max="4615" width="15.7109375" style="216" customWidth="1"/>
    <col min="4616" max="4616" width="17.85546875" style="216" bestFit="1" customWidth="1"/>
    <col min="4617" max="4617" width="18.5703125" style="216" bestFit="1" customWidth="1"/>
    <col min="4618" max="4620" width="15.7109375" style="216" customWidth="1"/>
    <col min="4621" max="4621" width="20" style="216" customWidth="1"/>
    <col min="4622" max="4622" width="18.5703125" style="216" bestFit="1" customWidth="1"/>
    <col min="4623" max="4623" width="13.7109375" style="216" customWidth="1"/>
    <col min="4624" max="4624" width="54.5703125" style="216" bestFit="1" customWidth="1"/>
    <col min="4625" max="4863" width="9.140625" style="216"/>
    <col min="4864" max="4864" width="2.85546875" style="216" customWidth="1"/>
    <col min="4865" max="4865" width="5" style="216" customWidth="1"/>
    <col min="4866" max="4866" width="62" style="216" customWidth="1"/>
    <col min="4867" max="4867" width="12.7109375" style="216" bestFit="1" customWidth="1"/>
    <col min="4868" max="4868" width="1.7109375" style="216" customWidth="1"/>
    <col min="4869" max="4871" width="15.7109375" style="216" customWidth="1"/>
    <col min="4872" max="4872" width="17.85546875" style="216" bestFit="1" customWidth="1"/>
    <col min="4873" max="4873" width="18.5703125" style="216" bestFit="1" customWidth="1"/>
    <col min="4874" max="4876" width="15.7109375" style="216" customWidth="1"/>
    <col min="4877" max="4877" width="20" style="216" customWidth="1"/>
    <col min="4878" max="4878" width="18.5703125" style="216" bestFit="1" customWidth="1"/>
    <col min="4879" max="4879" width="13.7109375" style="216" customWidth="1"/>
    <col min="4880" max="4880" width="54.5703125" style="216" bestFit="1" customWidth="1"/>
    <col min="4881" max="5119" width="9.140625" style="216"/>
    <col min="5120" max="5120" width="2.85546875" style="216" customWidth="1"/>
    <col min="5121" max="5121" width="5" style="216" customWidth="1"/>
    <col min="5122" max="5122" width="62" style="216" customWidth="1"/>
    <col min="5123" max="5123" width="12.7109375" style="216" bestFit="1" customWidth="1"/>
    <col min="5124" max="5124" width="1.7109375" style="216" customWidth="1"/>
    <col min="5125" max="5127" width="15.7109375" style="216" customWidth="1"/>
    <col min="5128" max="5128" width="17.85546875" style="216" bestFit="1" customWidth="1"/>
    <col min="5129" max="5129" width="18.5703125" style="216" bestFit="1" customWidth="1"/>
    <col min="5130" max="5132" width="15.7109375" style="216" customWidth="1"/>
    <col min="5133" max="5133" width="20" style="216" customWidth="1"/>
    <col min="5134" max="5134" width="18.5703125" style="216" bestFit="1" customWidth="1"/>
    <col min="5135" max="5135" width="13.7109375" style="216" customWidth="1"/>
    <col min="5136" max="5136" width="54.5703125" style="216" bestFit="1" customWidth="1"/>
    <col min="5137" max="5375" width="9.140625" style="216"/>
    <col min="5376" max="5376" width="2.85546875" style="216" customWidth="1"/>
    <col min="5377" max="5377" width="5" style="216" customWidth="1"/>
    <col min="5378" max="5378" width="62" style="216" customWidth="1"/>
    <col min="5379" max="5379" width="12.7109375" style="216" bestFit="1" customWidth="1"/>
    <col min="5380" max="5380" width="1.7109375" style="216" customWidth="1"/>
    <col min="5381" max="5383" width="15.7109375" style="216" customWidth="1"/>
    <col min="5384" max="5384" width="17.85546875" style="216" bestFit="1" customWidth="1"/>
    <col min="5385" max="5385" width="18.5703125" style="216" bestFit="1" customWidth="1"/>
    <col min="5386" max="5388" width="15.7109375" style="216" customWidth="1"/>
    <col min="5389" max="5389" width="20" style="216" customWidth="1"/>
    <col min="5390" max="5390" width="18.5703125" style="216" bestFit="1" customWidth="1"/>
    <col min="5391" max="5391" width="13.7109375" style="216" customWidth="1"/>
    <col min="5392" max="5392" width="54.5703125" style="216" bestFit="1" customWidth="1"/>
    <col min="5393" max="5631" width="9.140625" style="216"/>
    <col min="5632" max="5632" width="2.85546875" style="216" customWidth="1"/>
    <col min="5633" max="5633" width="5" style="216" customWidth="1"/>
    <col min="5634" max="5634" width="62" style="216" customWidth="1"/>
    <col min="5635" max="5635" width="12.7109375" style="216" bestFit="1" customWidth="1"/>
    <col min="5636" max="5636" width="1.7109375" style="216" customWidth="1"/>
    <col min="5637" max="5639" width="15.7109375" style="216" customWidth="1"/>
    <col min="5640" max="5640" width="17.85546875" style="216" bestFit="1" customWidth="1"/>
    <col min="5641" max="5641" width="18.5703125" style="216" bestFit="1" customWidth="1"/>
    <col min="5642" max="5644" width="15.7109375" style="216" customWidth="1"/>
    <col min="5645" max="5645" width="20" style="216" customWidth="1"/>
    <col min="5646" max="5646" width="18.5703125" style="216" bestFit="1" customWidth="1"/>
    <col min="5647" max="5647" width="13.7109375" style="216" customWidth="1"/>
    <col min="5648" max="5648" width="54.5703125" style="216" bestFit="1" customWidth="1"/>
    <col min="5649" max="5887" width="9.140625" style="216"/>
    <col min="5888" max="5888" width="2.85546875" style="216" customWidth="1"/>
    <col min="5889" max="5889" width="5" style="216" customWidth="1"/>
    <col min="5890" max="5890" width="62" style="216" customWidth="1"/>
    <col min="5891" max="5891" width="12.7109375" style="216" bestFit="1" customWidth="1"/>
    <col min="5892" max="5892" width="1.7109375" style="216" customWidth="1"/>
    <col min="5893" max="5895" width="15.7109375" style="216" customWidth="1"/>
    <col min="5896" max="5896" width="17.85546875" style="216" bestFit="1" customWidth="1"/>
    <col min="5897" max="5897" width="18.5703125" style="216" bestFit="1" customWidth="1"/>
    <col min="5898" max="5900" width="15.7109375" style="216" customWidth="1"/>
    <col min="5901" max="5901" width="20" style="216" customWidth="1"/>
    <col min="5902" max="5902" width="18.5703125" style="216" bestFit="1" customWidth="1"/>
    <col min="5903" max="5903" width="13.7109375" style="216" customWidth="1"/>
    <col min="5904" max="5904" width="54.5703125" style="216" bestFit="1" customWidth="1"/>
    <col min="5905" max="6143" width="9.140625" style="216"/>
    <col min="6144" max="6144" width="2.85546875" style="216" customWidth="1"/>
    <col min="6145" max="6145" width="5" style="216" customWidth="1"/>
    <col min="6146" max="6146" width="62" style="216" customWidth="1"/>
    <col min="6147" max="6147" width="12.7109375" style="216" bestFit="1" customWidth="1"/>
    <col min="6148" max="6148" width="1.7109375" style="216" customWidth="1"/>
    <col min="6149" max="6151" width="15.7109375" style="216" customWidth="1"/>
    <col min="6152" max="6152" width="17.85546875" style="216" bestFit="1" customWidth="1"/>
    <col min="6153" max="6153" width="18.5703125" style="216" bestFit="1" customWidth="1"/>
    <col min="6154" max="6156" width="15.7109375" style="216" customWidth="1"/>
    <col min="6157" max="6157" width="20" style="216" customWidth="1"/>
    <col min="6158" max="6158" width="18.5703125" style="216" bestFit="1" customWidth="1"/>
    <col min="6159" max="6159" width="13.7109375" style="216" customWidth="1"/>
    <col min="6160" max="6160" width="54.5703125" style="216" bestFit="1" customWidth="1"/>
    <col min="6161" max="6399" width="9.140625" style="216"/>
    <col min="6400" max="6400" width="2.85546875" style="216" customWidth="1"/>
    <col min="6401" max="6401" width="5" style="216" customWidth="1"/>
    <col min="6402" max="6402" width="62" style="216" customWidth="1"/>
    <col min="6403" max="6403" width="12.7109375" style="216" bestFit="1" customWidth="1"/>
    <col min="6404" max="6404" width="1.7109375" style="216" customWidth="1"/>
    <col min="6405" max="6407" width="15.7109375" style="216" customWidth="1"/>
    <col min="6408" max="6408" width="17.85546875" style="216" bestFit="1" customWidth="1"/>
    <col min="6409" max="6409" width="18.5703125" style="216" bestFit="1" customWidth="1"/>
    <col min="6410" max="6412" width="15.7109375" style="216" customWidth="1"/>
    <col min="6413" max="6413" width="20" style="216" customWidth="1"/>
    <col min="6414" max="6414" width="18.5703125" style="216" bestFit="1" customWidth="1"/>
    <col min="6415" max="6415" width="13.7109375" style="216" customWidth="1"/>
    <col min="6416" max="6416" width="54.5703125" style="216" bestFit="1" customWidth="1"/>
    <col min="6417" max="6655" width="9.140625" style="216"/>
    <col min="6656" max="6656" width="2.85546875" style="216" customWidth="1"/>
    <col min="6657" max="6657" width="5" style="216" customWidth="1"/>
    <col min="6658" max="6658" width="62" style="216" customWidth="1"/>
    <col min="6659" max="6659" width="12.7109375" style="216" bestFit="1" customWidth="1"/>
    <col min="6660" max="6660" width="1.7109375" style="216" customWidth="1"/>
    <col min="6661" max="6663" width="15.7109375" style="216" customWidth="1"/>
    <col min="6664" max="6664" width="17.85546875" style="216" bestFit="1" customWidth="1"/>
    <col min="6665" max="6665" width="18.5703125" style="216" bestFit="1" customWidth="1"/>
    <col min="6666" max="6668" width="15.7109375" style="216" customWidth="1"/>
    <col min="6669" max="6669" width="20" style="216" customWidth="1"/>
    <col min="6670" max="6670" width="18.5703125" style="216" bestFit="1" customWidth="1"/>
    <col min="6671" max="6671" width="13.7109375" style="216" customWidth="1"/>
    <col min="6672" max="6672" width="54.5703125" style="216" bestFit="1" customWidth="1"/>
    <col min="6673" max="6911" width="9.140625" style="216"/>
    <col min="6912" max="6912" width="2.85546875" style="216" customWidth="1"/>
    <col min="6913" max="6913" width="5" style="216" customWidth="1"/>
    <col min="6914" max="6914" width="62" style="216" customWidth="1"/>
    <col min="6915" max="6915" width="12.7109375" style="216" bestFit="1" customWidth="1"/>
    <col min="6916" max="6916" width="1.7109375" style="216" customWidth="1"/>
    <col min="6917" max="6919" width="15.7109375" style="216" customWidth="1"/>
    <col min="6920" max="6920" width="17.85546875" style="216" bestFit="1" customWidth="1"/>
    <col min="6921" max="6921" width="18.5703125" style="216" bestFit="1" customWidth="1"/>
    <col min="6922" max="6924" width="15.7109375" style="216" customWidth="1"/>
    <col min="6925" max="6925" width="20" style="216" customWidth="1"/>
    <col min="6926" max="6926" width="18.5703125" style="216" bestFit="1" customWidth="1"/>
    <col min="6927" max="6927" width="13.7109375" style="216" customWidth="1"/>
    <col min="6928" max="6928" width="54.5703125" style="216" bestFit="1" customWidth="1"/>
    <col min="6929" max="7167" width="9.140625" style="216"/>
    <col min="7168" max="7168" width="2.85546875" style="216" customWidth="1"/>
    <col min="7169" max="7169" width="5" style="216" customWidth="1"/>
    <col min="7170" max="7170" width="62" style="216" customWidth="1"/>
    <col min="7171" max="7171" width="12.7109375" style="216" bestFit="1" customWidth="1"/>
    <col min="7172" max="7172" width="1.7109375" style="216" customWidth="1"/>
    <col min="7173" max="7175" width="15.7109375" style="216" customWidth="1"/>
    <col min="7176" max="7176" width="17.85546875" style="216" bestFit="1" customWidth="1"/>
    <col min="7177" max="7177" width="18.5703125" style="216" bestFit="1" customWidth="1"/>
    <col min="7178" max="7180" width="15.7109375" style="216" customWidth="1"/>
    <col min="7181" max="7181" width="20" style="216" customWidth="1"/>
    <col min="7182" max="7182" width="18.5703125" style="216" bestFit="1" customWidth="1"/>
    <col min="7183" max="7183" width="13.7109375" style="216" customWidth="1"/>
    <col min="7184" max="7184" width="54.5703125" style="216" bestFit="1" customWidth="1"/>
    <col min="7185" max="7423" width="9.140625" style="216"/>
    <col min="7424" max="7424" width="2.85546875" style="216" customWidth="1"/>
    <col min="7425" max="7425" width="5" style="216" customWidth="1"/>
    <col min="7426" max="7426" width="62" style="216" customWidth="1"/>
    <col min="7427" max="7427" width="12.7109375" style="216" bestFit="1" customWidth="1"/>
    <col min="7428" max="7428" width="1.7109375" style="216" customWidth="1"/>
    <col min="7429" max="7431" width="15.7109375" style="216" customWidth="1"/>
    <col min="7432" max="7432" width="17.85546875" style="216" bestFit="1" customWidth="1"/>
    <col min="7433" max="7433" width="18.5703125" style="216" bestFit="1" customWidth="1"/>
    <col min="7434" max="7436" width="15.7109375" style="216" customWidth="1"/>
    <col min="7437" max="7437" width="20" style="216" customWidth="1"/>
    <col min="7438" max="7438" width="18.5703125" style="216" bestFit="1" customWidth="1"/>
    <col min="7439" max="7439" width="13.7109375" style="216" customWidth="1"/>
    <col min="7440" max="7440" width="54.5703125" style="216" bestFit="1" customWidth="1"/>
    <col min="7441" max="7679" width="9.140625" style="216"/>
    <col min="7680" max="7680" width="2.85546875" style="216" customWidth="1"/>
    <col min="7681" max="7681" width="5" style="216" customWidth="1"/>
    <col min="7682" max="7682" width="62" style="216" customWidth="1"/>
    <col min="7683" max="7683" width="12.7109375" style="216" bestFit="1" customWidth="1"/>
    <col min="7684" max="7684" width="1.7109375" style="216" customWidth="1"/>
    <col min="7685" max="7687" width="15.7109375" style="216" customWidth="1"/>
    <col min="7688" max="7688" width="17.85546875" style="216" bestFit="1" customWidth="1"/>
    <col min="7689" max="7689" width="18.5703125" style="216" bestFit="1" customWidth="1"/>
    <col min="7690" max="7692" width="15.7109375" style="216" customWidth="1"/>
    <col min="7693" max="7693" width="20" style="216" customWidth="1"/>
    <col min="7694" max="7694" width="18.5703125" style="216" bestFit="1" customWidth="1"/>
    <col min="7695" max="7695" width="13.7109375" style="216" customWidth="1"/>
    <col min="7696" max="7696" width="54.5703125" style="216" bestFit="1" customWidth="1"/>
    <col min="7697" max="7935" width="9.140625" style="216"/>
    <col min="7936" max="7936" width="2.85546875" style="216" customWidth="1"/>
    <col min="7937" max="7937" width="5" style="216" customWidth="1"/>
    <col min="7938" max="7938" width="62" style="216" customWidth="1"/>
    <col min="7939" max="7939" width="12.7109375" style="216" bestFit="1" customWidth="1"/>
    <col min="7940" max="7940" width="1.7109375" style="216" customWidth="1"/>
    <col min="7941" max="7943" width="15.7109375" style="216" customWidth="1"/>
    <col min="7944" max="7944" width="17.85546875" style="216" bestFit="1" customWidth="1"/>
    <col min="7945" max="7945" width="18.5703125" style="216" bestFit="1" customWidth="1"/>
    <col min="7946" max="7948" width="15.7109375" style="216" customWidth="1"/>
    <col min="7949" max="7949" width="20" style="216" customWidth="1"/>
    <col min="7950" max="7950" width="18.5703125" style="216" bestFit="1" customWidth="1"/>
    <col min="7951" max="7951" width="13.7109375" style="216" customWidth="1"/>
    <col min="7952" max="7952" width="54.5703125" style="216" bestFit="1" customWidth="1"/>
    <col min="7953" max="8191" width="9.140625" style="216"/>
    <col min="8192" max="8192" width="2.85546875" style="216" customWidth="1"/>
    <col min="8193" max="8193" width="5" style="216" customWidth="1"/>
    <col min="8194" max="8194" width="62" style="216" customWidth="1"/>
    <col min="8195" max="8195" width="12.7109375" style="216" bestFit="1" customWidth="1"/>
    <col min="8196" max="8196" width="1.7109375" style="216" customWidth="1"/>
    <col min="8197" max="8199" width="15.7109375" style="216" customWidth="1"/>
    <col min="8200" max="8200" width="17.85546875" style="216" bestFit="1" customWidth="1"/>
    <col min="8201" max="8201" width="18.5703125" style="216" bestFit="1" customWidth="1"/>
    <col min="8202" max="8204" width="15.7109375" style="216" customWidth="1"/>
    <col min="8205" max="8205" width="20" style="216" customWidth="1"/>
    <col min="8206" max="8206" width="18.5703125" style="216" bestFit="1" customWidth="1"/>
    <col min="8207" max="8207" width="13.7109375" style="216" customWidth="1"/>
    <col min="8208" max="8208" width="54.5703125" style="216" bestFit="1" customWidth="1"/>
    <col min="8209" max="8447" width="9.140625" style="216"/>
    <col min="8448" max="8448" width="2.85546875" style="216" customWidth="1"/>
    <col min="8449" max="8449" width="5" style="216" customWidth="1"/>
    <col min="8450" max="8450" width="62" style="216" customWidth="1"/>
    <col min="8451" max="8451" width="12.7109375" style="216" bestFit="1" customWidth="1"/>
    <col min="8452" max="8452" width="1.7109375" style="216" customWidth="1"/>
    <col min="8453" max="8455" width="15.7109375" style="216" customWidth="1"/>
    <col min="8456" max="8456" width="17.85546875" style="216" bestFit="1" customWidth="1"/>
    <col min="8457" max="8457" width="18.5703125" style="216" bestFit="1" customWidth="1"/>
    <col min="8458" max="8460" width="15.7109375" style="216" customWidth="1"/>
    <col min="8461" max="8461" width="20" style="216" customWidth="1"/>
    <col min="8462" max="8462" width="18.5703125" style="216" bestFit="1" customWidth="1"/>
    <col min="8463" max="8463" width="13.7109375" style="216" customWidth="1"/>
    <col min="8464" max="8464" width="54.5703125" style="216" bestFit="1" customWidth="1"/>
    <col min="8465" max="8703" width="9.140625" style="216"/>
    <col min="8704" max="8704" width="2.85546875" style="216" customWidth="1"/>
    <col min="8705" max="8705" width="5" style="216" customWidth="1"/>
    <col min="8706" max="8706" width="62" style="216" customWidth="1"/>
    <col min="8707" max="8707" width="12.7109375" style="216" bestFit="1" customWidth="1"/>
    <col min="8708" max="8708" width="1.7109375" style="216" customWidth="1"/>
    <col min="8709" max="8711" width="15.7109375" style="216" customWidth="1"/>
    <col min="8712" max="8712" width="17.85546875" style="216" bestFit="1" customWidth="1"/>
    <col min="8713" max="8713" width="18.5703125" style="216" bestFit="1" customWidth="1"/>
    <col min="8714" max="8716" width="15.7109375" style="216" customWidth="1"/>
    <col min="8717" max="8717" width="20" style="216" customWidth="1"/>
    <col min="8718" max="8718" width="18.5703125" style="216" bestFit="1" customWidth="1"/>
    <col min="8719" max="8719" width="13.7109375" style="216" customWidth="1"/>
    <col min="8720" max="8720" width="54.5703125" style="216" bestFit="1" customWidth="1"/>
    <col min="8721" max="8959" width="9.140625" style="216"/>
    <col min="8960" max="8960" width="2.85546875" style="216" customWidth="1"/>
    <col min="8961" max="8961" width="5" style="216" customWidth="1"/>
    <col min="8962" max="8962" width="62" style="216" customWidth="1"/>
    <col min="8963" max="8963" width="12.7109375" style="216" bestFit="1" customWidth="1"/>
    <col min="8964" max="8964" width="1.7109375" style="216" customWidth="1"/>
    <col min="8965" max="8967" width="15.7109375" style="216" customWidth="1"/>
    <col min="8968" max="8968" width="17.85546875" style="216" bestFit="1" customWidth="1"/>
    <col min="8969" max="8969" width="18.5703125" style="216" bestFit="1" customWidth="1"/>
    <col min="8970" max="8972" width="15.7109375" style="216" customWidth="1"/>
    <col min="8973" max="8973" width="20" style="216" customWidth="1"/>
    <col min="8974" max="8974" width="18.5703125" style="216" bestFit="1" customWidth="1"/>
    <col min="8975" max="8975" width="13.7109375" style="216" customWidth="1"/>
    <col min="8976" max="8976" width="54.5703125" style="216" bestFit="1" customWidth="1"/>
    <col min="8977" max="9215" width="9.140625" style="216"/>
    <col min="9216" max="9216" width="2.85546875" style="216" customWidth="1"/>
    <col min="9217" max="9217" width="5" style="216" customWidth="1"/>
    <col min="9218" max="9218" width="62" style="216" customWidth="1"/>
    <col min="9219" max="9219" width="12.7109375" style="216" bestFit="1" customWidth="1"/>
    <col min="9220" max="9220" width="1.7109375" style="216" customWidth="1"/>
    <col min="9221" max="9223" width="15.7109375" style="216" customWidth="1"/>
    <col min="9224" max="9224" width="17.85546875" style="216" bestFit="1" customWidth="1"/>
    <col min="9225" max="9225" width="18.5703125" style="216" bestFit="1" customWidth="1"/>
    <col min="9226" max="9228" width="15.7109375" style="216" customWidth="1"/>
    <col min="9229" max="9229" width="20" style="216" customWidth="1"/>
    <col min="9230" max="9230" width="18.5703125" style="216" bestFit="1" customWidth="1"/>
    <col min="9231" max="9231" width="13.7109375" style="216" customWidth="1"/>
    <col min="9232" max="9232" width="54.5703125" style="216" bestFit="1" customWidth="1"/>
    <col min="9233" max="9471" width="9.140625" style="216"/>
    <col min="9472" max="9472" width="2.85546875" style="216" customWidth="1"/>
    <col min="9473" max="9473" width="5" style="216" customWidth="1"/>
    <col min="9474" max="9474" width="62" style="216" customWidth="1"/>
    <col min="9475" max="9475" width="12.7109375" style="216" bestFit="1" customWidth="1"/>
    <col min="9476" max="9476" width="1.7109375" style="216" customWidth="1"/>
    <col min="9477" max="9479" width="15.7109375" style="216" customWidth="1"/>
    <col min="9480" max="9480" width="17.85546875" style="216" bestFit="1" customWidth="1"/>
    <col min="9481" max="9481" width="18.5703125" style="216" bestFit="1" customWidth="1"/>
    <col min="9482" max="9484" width="15.7109375" style="216" customWidth="1"/>
    <col min="9485" max="9485" width="20" style="216" customWidth="1"/>
    <col min="9486" max="9486" width="18.5703125" style="216" bestFit="1" customWidth="1"/>
    <col min="9487" max="9487" width="13.7109375" style="216" customWidth="1"/>
    <col min="9488" max="9488" width="54.5703125" style="216" bestFit="1" customWidth="1"/>
    <col min="9489" max="9727" width="9.140625" style="216"/>
    <col min="9728" max="9728" width="2.85546875" style="216" customWidth="1"/>
    <col min="9729" max="9729" width="5" style="216" customWidth="1"/>
    <col min="9730" max="9730" width="62" style="216" customWidth="1"/>
    <col min="9731" max="9731" width="12.7109375" style="216" bestFit="1" customWidth="1"/>
    <col min="9732" max="9732" width="1.7109375" style="216" customWidth="1"/>
    <col min="9733" max="9735" width="15.7109375" style="216" customWidth="1"/>
    <col min="9736" max="9736" width="17.85546875" style="216" bestFit="1" customWidth="1"/>
    <col min="9737" max="9737" width="18.5703125" style="216" bestFit="1" customWidth="1"/>
    <col min="9738" max="9740" width="15.7109375" style="216" customWidth="1"/>
    <col min="9741" max="9741" width="20" style="216" customWidth="1"/>
    <col min="9742" max="9742" width="18.5703125" style="216" bestFit="1" customWidth="1"/>
    <col min="9743" max="9743" width="13.7109375" style="216" customWidth="1"/>
    <col min="9744" max="9744" width="54.5703125" style="216" bestFit="1" customWidth="1"/>
    <col min="9745" max="9983" width="9.140625" style="216"/>
    <col min="9984" max="9984" width="2.85546875" style="216" customWidth="1"/>
    <col min="9985" max="9985" width="5" style="216" customWidth="1"/>
    <col min="9986" max="9986" width="62" style="216" customWidth="1"/>
    <col min="9987" max="9987" width="12.7109375" style="216" bestFit="1" customWidth="1"/>
    <col min="9988" max="9988" width="1.7109375" style="216" customWidth="1"/>
    <col min="9989" max="9991" width="15.7109375" style="216" customWidth="1"/>
    <col min="9992" max="9992" width="17.85546875" style="216" bestFit="1" customWidth="1"/>
    <col min="9993" max="9993" width="18.5703125" style="216" bestFit="1" customWidth="1"/>
    <col min="9994" max="9996" width="15.7109375" style="216" customWidth="1"/>
    <col min="9997" max="9997" width="20" style="216" customWidth="1"/>
    <col min="9998" max="9998" width="18.5703125" style="216" bestFit="1" customWidth="1"/>
    <col min="9999" max="9999" width="13.7109375" style="216" customWidth="1"/>
    <col min="10000" max="10000" width="54.5703125" style="216" bestFit="1" customWidth="1"/>
    <col min="10001" max="10239" width="9.140625" style="216"/>
    <col min="10240" max="10240" width="2.85546875" style="216" customWidth="1"/>
    <col min="10241" max="10241" width="5" style="216" customWidth="1"/>
    <col min="10242" max="10242" width="62" style="216" customWidth="1"/>
    <col min="10243" max="10243" width="12.7109375" style="216" bestFit="1" customWidth="1"/>
    <col min="10244" max="10244" width="1.7109375" style="216" customWidth="1"/>
    <col min="10245" max="10247" width="15.7109375" style="216" customWidth="1"/>
    <col min="10248" max="10248" width="17.85546875" style="216" bestFit="1" customWidth="1"/>
    <col min="10249" max="10249" width="18.5703125" style="216" bestFit="1" customWidth="1"/>
    <col min="10250" max="10252" width="15.7109375" style="216" customWidth="1"/>
    <col min="10253" max="10253" width="20" style="216" customWidth="1"/>
    <col min="10254" max="10254" width="18.5703125" style="216" bestFit="1" customWidth="1"/>
    <col min="10255" max="10255" width="13.7109375" style="216" customWidth="1"/>
    <col min="10256" max="10256" width="54.5703125" style="216" bestFit="1" customWidth="1"/>
    <col min="10257" max="10495" width="9.140625" style="216"/>
    <col min="10496" max="10496" width="2.85546875" style="216" customWidth="1"/>
    <col min="10497" max="10497" width="5" style="216" customWidth="1"/>
    <col min="10498" max="10498" width="62" style="216" customWidth="1"/>
    <col min="10499" max="10499" width="12.7109375" style="216" bestFit="1" customWidth="1"/>
    <col min="10500" max="10500" width="1.7109375" style="216" customWidth="1"/>
    <col min="10501" max="10503" width="15.7109375" style="216" customWidth="1"/>
    <col min="10504" max="10504" width="17.85546875" style="216" bestFit="1" customWidth="1"/>
    <col min="10505" max="10505" width="18.5703125" style="216" bestFit="1" customWidth="1"/>
    <col min="10506" max="10508" width="15.7109375" style="216" customWidth="1"/>
    <col min="10509" max="10509" width="20" style="216" customWidth="1"/>
    <col min="10510" max="10510" width="18.5703125" style="216" bestFit="1" customWidth="1"/>
    <col min="10511" max="10511" width="13.7109375" style="216" customWidth="1"/>
    <col min="10512" max="10512" width="54.5703125" style="216" bestFit="1" customWidth="1"/>
    <col min="10513" max="10751" width="9.140625" style="216"/>
    <col min="10752" max="10752" width="2.85546875" style="216" customWidth="1"/>
    <col min="10753" max="10753" width="5" style="216" customWidth="1"/>
    <col min="10754" max="10754" width="62" style="216" customWidth="1"/>
    <col min="10755" max="10755" width="12.7109375" style="216" bestFit="1" customWidth="1"/>
    <col min="10756" max="10756" width="1.7109375" style="216" customWidth="1"/>
    <col min="10757" max="10759" width="15.7109375" style="216" customWidth="1"/>
    <col min="10760" max="10760" width="17.85546875" style="216" bestFit="1" customWidth="1"/>
    <col min="10761" max="10761" width="18.5703125" style="216" bestFit="1" customWidth="1"/>
    <col min="10762" max="10764" width="15.7109375" style="216" customWidth="1"/>
    <col min="10765" max="10765" width="20" style="216" customWidth="1"/>
    <col min="10766" max="10766" width="18.5703125" style="216" bestFit="1" customWidth="1"/>
    <col min="10767" max="10767" width="13.7109375" style="216" customWidth="1"/>
    <col min="10768" max="10768" width="54.5703125" style="216" bestFit="1" customWidth="1"/>
    <col min="10769" max="11007" width="9.140625" style="216"/>
    <col min="11008" max="11008" width="2.85546875" style="216" customWidth="1"/>
    <col min="11009" max="11009" width="5" style="216" customWidth="1"/>
    <col min="11010" max="11010" width="62" style="216" customWidth="1"/>
    <col min="11011" max="11011" width="12.7109375" style="216" bestFit="1" customWidth="1"/>
    <col min="11012" max="11012" width="1.7109375" style="216" customWidth="1"/>
    <col min="11013" max="11015" width="15.7109375" style="216" customWidth="1"/>
    <col min="11016" max="11016" width="17.85546875" style="216" bestFit="1" customWidth="1"/>
    <col min="11017" max="11017" width="18.5703125" style="216" bestFit="1" customWidth="1"/>
    <col min="11018" max="11020" width="15.7109375" style="216" customWidth="1"/>
    <col min="11021" max="11021" width="20" style="216" customWidth="1"/>
    <col min="11022" max="11022" width="18.5703125" style="216" bestFit="1" customWidth="1"/>
    <col min="11023" max="11023" width="13.7109375" style="216" customWidth="1"/>
    <col min="11024" max="11024" width="54.5703125" style="216" bestFit="1" customWidth="1"/>
    <col min="11025" max="11263" width="9.140625" style="216"/>
    <col min="11264" max="11264" width="2.85546875" style="216" customWidth="1"/>
    <col min="11265" max="11265" width="5" style="216" customWidth="1"/>
    <col min="11266" max="11266" width="62" style="216" customWidth="1"/>
    <col min="11267" max="11267" width="12.7109375" style="216" bestFit="1" customWidth="1"/>
    <col min="11268" max="11268" width="1.7109375" style="216" customWidth="1"/>
    <col min="11269" max="11271" width="15.7109375" style="216" customWidth="1"/>
    <col min="11272" max="11272" width="17.85546875" style="216" bestFit="1" customWidth="1"/>
    <col min="11273" max="11273" width="18.5703125" style="216" bestFit="1" customWidth="1"/>
    <col min="11274" max="11276" width="15.7109375" style="216" customWidth="1"/>
    <col min="11277" max="11277" width="20" style="216" customWidth="1"/>
    <col min="11278" max="11278" width="18.5703125" style="216" bestFit="1" customWidth="1"/>
    <col min="11279" max="11279" width="13.7109375" style="216" customWidth="1"/>
    <col min="11280" max="11280" width="54.5703125" style="216" bestFit="1" customWidth="1"/>
    <col min="11281" max="11519" width="9.140625" style="216"/>
    <col min="11520" max="11520" width="2.85546875" style="216" customWidth="1"/>
    <col min="11521" max="11521" width="5" style="216" customWidth="1"/>
    <col min="11522" max="11522" width="62" style="216" customWidth="1"/>
    <col min="11523" max="11523" width="12.7109375" style="216" bestFit="1" customWidth="1"/>
    <col min="11524" max="11524" width="1.7109375" style="216" customWidth="1"/>
    <col min="11525" max="11527" width="15.7109375" style="216" customWidth="1"/>
    <col min="11528" max="11528" width="17.85546875" style="216" bestFit="1" customWidth="1"/>
    <col min="11529" max="11529" width="18.5703125" style="216" bestFit="1" customWidth="1"/>
    <col min="11530" max="11532" width="15.7109375" style="216" customWidth="1"/>
    <col min="11533" max="11533" width="20" style="216" customWidth="1"/>
    <col min="11534" max="11534" width="18.5703125" style="216" bestFit="1" customWidth="1"/>
    <col min="11535" max="11535" width="13.7109375" style="216" customWidth="1"/>
    <col min="11536" max="11536" width="54.5703125" style="216" bestFit="1" customWidth="1"/>
    <col min="11537" max="11775" width="9.140625" style="216"/>
    <col min="11776" max="11776" width="2.85546875" style="216" customWidth="1"/>
    <col min="11777" max="11777" width="5" style="216" customWidth="1"/>
    <col min="11778" max="11778" width="62" style="216" customWidth="1"/>
    <col min="11779" max="11779" width="12.7109375" style="216" bestFit="1" customWidth="1"/>
    <col min="11780" max="11780" width="1.7109375" style="216" customWidth="1"/>
    <col min="11781" max="11783" width="15.7109375" style="216" customWidth="1"/>
    <col min="11784" max="11784" width="17.85546875" style="216" bestFit="1" customWidth="1"/>
    <col min="11785" max="11785" width="18.5703125" style="216" bestFit="1" customWidth="1"/>
    <col min="11786" max="11788" width="15.7109375" style="216" customWidth="1"/>
    <col min="11789" max="11789" width="20" style="216" customWidth="1"/>
    <col min="11790" max="11790" width="18.5703125" style="216" bestFit="1" customWidth="1"/>
    <col min="11791" max="11791" width="13.7109375" style="216" customWidth="1"/>
    <col min="11792" max="11792" width="54.5703125" style="216" bestFit="1" customWidth="1"/>
    <col min="11793" max="12031" width="9.140625" style="216"/>
    <col min="12032" max="12032" width="2.85546875" style="216" customWidth="1"/>
    <col min="12033" max="12033" width="5" style="216" customWidth="1"/>
    <col min="12034" max="12034" width="62" style="216" customWidth="1"/>
    <col min="12035" max="12035" width="12.7109375" style="216" bestFit="1" customWidth="1"/>
    <col min="12036" max="12036" width="1.7109375" style="216" customWidth="1"/>
    <col min="12037" max="12039" width="15.7109375" style="216" customWidth="1"/>
    <col min="12040" max="12040" width="17.85546875" style="216" bestFit="1" customWidth="1"/>
    <col min="12041" max="12041" width="18.5703125" style="216" bestFit="1" customWidth="1"/>
    <col min="12042" max="12044" width="15.7109375" style="216" customWidth="1"/>
    <col min="12045" max="12045" width="20" style="216" customWidth="1"/>
    <col min="12046" max="12046" width="18.5703125" style="216" bestFit="1" customWidth="1"/>
    <col min="12047" max="12047" width="13.7109375" style="216" customWidth="1"/>
    <col min="12048" max="12048" width="54.5703125" style="216" bestFit="1" customWidth="1"/>
    <col min="12049" max="12287" width="9.140625" style="216"/>
    <col min="12288" max="12288" width="2.85546875" style="216" customWidth="1"/>
    <col min="12289" max="12289" width="5" style="216" customWidth="1"/>
    <col min="12290" max="12290" width="62" style="216" customWidth="1"/>
    <col min="12291" max="12291" width="12.7109375" style="216" bestFit="1" customWidth="1"/>
    <col min="12292" max="12292" width="1.7109375" style="216" customWidth="1"/>
    <col min="12293" max="12295" width="15.7109375" style="216" customWidth="1"/>
    <col min="12296" max="12296" width="17.85546875" style="216" bestFit="1" customWidth="1"/>
    <col min="12297" max="12297" width="18.5703125" style="216" bestFit="1" customWidth="1"/>
    <col min="12298" max="12300" width="15.7109375" style="216" customWidth="1"/>
    <col min="12301" max="12301" width="20" style="216" customWidth="1"/>
    <col min="12302" max="12302" width="18.5703125" style="216" bestFit="1" customWidth="1"/>
    <col min="12303" max="12303" width="13.7109375" style="216" customWidth="1"/>
    <col min="12304" max="12304" width="54.5703125" style="216" bestFit="1" customWidth="1"/>
    <col min="12305" max="12543" width="9.140625" style="216"/>
    <col min="12544" max="12544" width="2.85546875" style="216" customWidth="1"/>
    <col min="12545" max="12545" width="5" style="216" customWidth="1"/>
    <col min="12546" max="12546" width="62" style="216" customWidth="1"/>
    <col min="12547" max="12547" width="12.7109375" style="216" bestFit="1" customWidth="1"/>
    <col min="12548" max="12548" width="1.7109375" style="216" customWidth="1"/>
    <col min="12549" max="12551" width="15.7109375" style="216" customWidth="1"/>
    <col min="12552" max="12552" width="17.85546875" style="216" bestFit="1" customWidth="1"/>
    <col min="12553" max="12553" width="18.5703125" style="216" bestFit="1" customWidth="1"/>
    <col min="12554" max="12556" width="15.7109375" style="216" customWidth="1"/>
    <col min="12557" max="12557" width="20" style="216" customWidth="1"/>
    <col min="12558" max="12558" width="18.5703125" style="216" bestFit="1" customWidth="1"/>
    <col min="12559" max="12559" width="13.7109375" style="216" customWidth="1"/>
    <col min="12560" max="12560" width="54.5703125" style="216" bestFit="1" customWidth="1"/>
    <col min="12561" max="12799" width="9.140625" style="216"/>
    <col min="12800" max="12800" width="2.85546875" style="216" customWidth="1"/>
    <col min="12801" max="12801" width="5" style="216" customWidth="1"/>
    <col min="12802" max="12802" width="62" style="216" customWidth="1"/>
    <col min="12803" max="12803" width="12.7109375" style="216" bestFit="1" customWidth="1"/>
    <col min="12804" max="12804" width="1.7109375" style="216" customWidth="1"/>
    <col min="12805" max="12807" width="15.7109375" style="216" customWidth="1"/>
    <col min="12808" max="12808" width="17.85546875" style="216" bestFit="1" customWidth="1"/>
    <col min="12809" max="12809" width="18.5703125" style="216" bestFit="1" customWidth="1"/>
    <col min="12810" max="12812" width="15.7109375" style="216" customWidth="1"/>
    <col min="12813" max="12813" width="20" style="216" customWidth="1"/>
    <col min="12814" max="12814" width="18.5703125" style="216" bestFit="1" customWidth="1"/>
    <col min="12815" max="12815" width="13.7109375" style="216" customWidth="1"/>
    <col min="12816" max="12816" width="54.5703125" style="216" bestFit="1" customWidth="1"/>
    <col min="12817" max="13055" width="9.140625" style="216"/>
    <col min="13056" max="13056" width="2.85546875" style="216" customWidth="1"/>
    <col min="13057" max="13057" width="5" style="216" customWidth="1"/>
    <col min="13058" max="13058" width="62" style="216" customWidth="1"/>
    <col min="13059" max="13059" width="12.7109375" style="216" bestFit="1" customWidth="1"/>
    <col min="13060" max="13060" width="1.7109375" style="216" customWidth="1"/>
    <col min="13061" max="13063" width="15.7109375" style="216" customWidth="1"/>
    <col min="13064" max="13064" width="17.85546875" style="216" bestFit="1" customWidth="1"/>
    <col min="13065" max="13065" width="18.5703125" style="216" bestFit="1" customWidth="1"/>
    <col min="13066" max="13068" width="15.7109375" style="216" customWidth="1"/>
    <col min="13069" max="13069" width="20" style="216" customWidth="1"/>
    <col min="13070" max="13070" width="18.5703125" style="216" bestFit="1" customWidth="1"/>
    <col min="13071" max="13071" width="13.7109375" style="216" customWidth="1"/>
    <col min="13072" max="13072" width="54.5703125" style="216" bestFit="1" customWidth="1"/>
    <col min="13073" max="13311" width="9.140625" style="216"/>
    <col min="13312" max="13312" width="2.85546875" style="216" customWidth="1"/>
    <col min="13313" max="13313" width="5" style="216" customWidth="1"/>
    <col min="13314" max="13314" width="62" style="216" customWidth="1"/>
    <col min="13315" max="13315" width="12.7109375" style="216" bestFit="1" customWidth="1"/>
    <col min="13316" max="13316" width="1.7109375" style="216" customWidth="1"/>
    <col min="13317" max="13319" width="15.7109375" style="216" customWidth="1"/>
    <col min="13320" max="13320" width="17.85546875" style="216" bestFit="1" customWidth="1"/>
    <col min="13321" max="13321" width="18.5703125" style="216" bestFit="1" customWidth="1"/>
    <col min="13322" max="13324" width="15.7109375" style="216" customWidth="1"/>
    <col min="13325" max="13325" width="20" style="216" customWidth="1"/>
    <col min="13326" max="13326" width="18.5703125" style="216" bestFit="1" customWidth="1"/>
    <col min="13327" max="13327" width="13.7109375" style="216" customWidth="1"/>
    <col min="13328" max="13328" width="54.5703125" style="216" bestFit="1" customWidth="1"/>
    <col min="13329" max="13567" width="9.140625" style="216"/>
    <col min="13568" max="13568" width="2.85546875" style="216" customWidth="1"/>
    <col min="13569" max="13569" width="5" style="216" customWidth="1"/>
    <col min="13570" max="13570" width="62" style="216" customWidth="1"/>
    <col min="13571" max="13571" width="12.7109375" style="216" bestFit="1" customWidth="1"/>
    <col min="13572" max="13572" width="1.7109375" style="216" customWidth="1"/>
    <col min="13573" max="13575" width="15.7109375" style="216" customWidth="1"/>
    <col min="13576" max="13576" width="17.85546875" style="216" bestFit="1" customWidth="1"/>
    <col min="13577" max="13577" width="18.5703125" style="216" bestFit="1" customWidth="1"/>
    <col min="13578" max="13580" width="15.7109375" style="216" customWidth="1"/>
    <col min="13581" max="13581" width="20" style="216" customWidth="1"/>
    <col min="13582" max="13582" width="18.5703125" style="216" bestFit="1" customWidth="1"/>
    <col min="13583" max="13583" width="13.7109375" style="216" customWidth="1"/>
    <col min="13584" max="13584" width="54.5703125" style="216" bestFit="1" customWidth="1"/>
    <col min="13585" max="13823" width="9.140625" style="216"/>
    <col min="13824" max="13824" width="2.85546875" style="216" customWidth="1"/>
    <col min="13825" max="13825" width="5" style="216" customWidth="1"/>
    <col min="13826" max="13826" width="62" style="216" customWidth="1"/>
    <col min="13827" max="13827" width="12.7109375" style="216" bestFit="1" customWidth="1"/>
    <col min="13828" max="13828" width="1.7109375" style="216" customWidth="1"/>
    <col min="13829" max="13831" width="15.7109375" style="216" customWidth="1"/>
    <col min="13832" max="13832" width="17.85546875" style="216" bestFit="1" customWidth="1"/>
    <col min="13833" max="13833" width="18.5703125" style="216" bestFit="1" customWidth="1"/>
    <col min="13834" max="13836" width="15.7109375" style="216" customWidth="1"/>
    <col min="13837" max="13837" width="20" style="216" customWidth="1"/>
    <col min="13838" max="13838" width="18.5703125" style="216" bestFit="1" customWidth="1"/>
    <col min="13839" max="13839" width="13.7109375" style="216" customWidth="1"/>
    <col min="13840" max="13840" width="54.5703125" style="216" bestFit="1" customWidth="1"/>
    <col min="13841" max="14079" width="9.140625" style="216"/>
    <col min="14080" max="14080" width="2.85546875" style="216" customWidth="1"/>
    <col min="14081" max="14081" width="5" style="216" customWidth="1"/>
    <col min="14082" max="14082" width="62" style="216" customWidth="1"/>
    <col min="14083" max="14083" width="12.7109375" style="216" bestFit="1" customWidth="1"/>
    <col min="14084" max="14084" width="1.7109375" style="216" customWidth="1"/>
    <col min="14085" max="14087" width="15.7109375" style="216" customWidth="1"/>
    <col min="14088" max="14088" width="17.85546875" style="216" bestFit="1" customWidth="1"/>
    <col min="14089" max="14089" width="18.5703125" style="216" bestFit="1" customWidth="1"/>
    <col min="14090" max="14092" width="15.7109375" style="216" customWidth="1"/>
    <col min="14093" max="14093" width="20" style="216" customWidth="1"/>
    <col min="14094" max="14094" width="18.5703125" style="216" bestFit="1" customWidth="1"/>
    <col min="14095" max="14095" width="13.7109375" style="216" customWidth="1"/>
    <col min="14096" max="14096" width="54.5703125" style="216" bestFit="1" customWidth="1"/>
    <col min="14097" max="14335" width="9.140625" style="216"/>
    <col min="14336" max="14336" width="2.85546875" style="216" customWidth="1"/>
    <col min="14337" max="14337" width="5" style="216" customWidth="1"/>
    <col min="14338" max="14338" width="62" style="216" customWidth="1"/>
    <col min="14339" max="14339" width="12.7109375" style="216" bestFit="1" customWidth="1"/>
    <col min="14340" max="14340" width="1.7109375" style="216" customWidth="1"/>
    <col min="14341" max="14343" width="15.7109375" style="216" customWidth="1"/>
    <col min="14344" max="14344" width="17.85546875" style="216" bestFit="1" customWidth="1"/>
    <col min="14345" max="14345" width="18.5703125" style="216" bestFit="1" customWidth="1"/>
    <col min="14346" max="14348" width="15.7109375" style="216" customWidth="1"/>
    <col min="14349" max="14349" width="20" style="216" customWidth="1"/>
    <col min="14350" max="14350" width="18.5703125" style="216" bestFit="1" customWidth="1"/>
    <col min="14351" max="14351" width="13.7109375" style="216" customWidth="1"/>
    <col min="14352" max="14352" width="54.5703125" style="216" bestFit="1" customWidth="1"/>
    <col min="14353" max="14591" width="9.140625" style="216"/>
    <col min="14592" max="14592" width="2.85546875" style="216" customWidth="1"/>
    <col min="14593" max="14593" width="5" style="216" customWidth="1"/>
    <col min="14594" max="14594" width="62" style="216" customWidth="1"/>
    <col min="14595" max="14595" width="12.7109375" style="216" bestFit="1" customWidth="1"/>
    <col min="14596" max="14596" width="1.7109375" style="216" customWidth="1"/>
    <col min="14597" max="14599" width="15.7109375" style="216" customWidth="1"/>
    <col min="14600" max="14600" width="17.85546875" style="216" bestFit="1" customWidth="1"/>
    <col min="14601" max="14601" width="18.5703125" style="216" bestFit="1" customWidth="1"/>
    <col min="14602" max="14604" width="15.7109375" style="216" customWidth="1"/>
    <col min="14605" max="14605" width="20" style="216" customWidth="1"/>
    <col min="14606" max="14606" width="18.5703125" style="216" bestFit="1" customWidth="1"/>
    <col min="14607" max="14607" width="13.7109375" style="216" customWidth="1"/>
    <col min="14608" max="14608" width="54.5703125" style="216" bestFit="1" customWidth="1"/>
    <col min="14609" max="14847" width="9.140625" style="216"/>
    <col min="14848" max="14848" width="2.85546875" style="216" customWidth="1"/>
    <col min="14849" max="14849" width="5" style="216" customWidth="1"/>
    <col min="14850" max="14850" width="62" style="216" customWidth="1"/>
    <col min="14851" max="14851" width="12.7109375" style="216" bestFit="1" customWidth="1"/>
    <col min="14852" max="14852" width="1.7109375" style="216" customWidth="1"/>
    <col min="14853" max="14855" width="15.7109375" style="216" customWidth="1"/>
    <col min="14856" max="14856" width="17.85546875" style="216" bestFit="1" customWidth="1"/>
    <col min="14857" max="14857" width="18.5703125" style="216" bestFit="1" customWidth="1"/>
    <col min="14858" max="14860" width="15.7109375" style="216" customWidth="1"/>
    <col min="14861" max="14861" width="20" style="216" customWidth="1"/>
    <col min="14862" max="14862" width="18.5703125" style="216" bestFit="1" customWidth="1"/>
    <col min="14863" max="14863" width="13.7109375" style="216" customWidth="1"/>
    <col min="14864" max="14864" width="54.5703125" style="216" bestFit="1" customWidth="1"/>
    <col min="14865" max="15103" width="9.140625" style="216"/>
    <col min="15104" max="15104" width="2.85546875" style="216" customWidth="1"/>
    <col min="15105" max="15105" width="5" style="216" customWidth="1"/>
    <col min="15106" max="15106" width="62" style="216" customWidth="1"/>
    <col min="15107" max="15107" width="12.7109375" style="216" bestFit="1" customWidth="1"/>
    <col min="15108" max="15108" width="1.7109375" style="216" customWidth="1"/>
    <col min="15109" max="15111" width="15.7109375" style="216" customWidth="1"/>
    <col min="15112" max="15112" width="17.85546875" style="216" bestFit="1" customWidth="1"/>
    <col min="15113" max="15113" width="18.5703125" style="216" bestFit="1" customWidth="1"/>
    <col min="15114" max="15116" width="15.7109375" style="216" customWidth="1"/>
    <col min="15117" max="15117" width="20" style="216" customWidth="1"/>
    <col min="15118" max="15118" width="18.5703125" style="216" bestFit="1" customWidth="1"/>
    <col min="15119" max="15119" width="13.7109375" style="216" customWidth="1"/>
    <col min="15120" max="15120" width="54.5703125" style="216" bestFit="1" customWidth="1"/>
    <col min="15121" max="15359" width="9.140625" style="216"/>
    <col min="15360" max="15360" width="2.85546875" style="216" customWidth="1"/>
    <col min="15361" max="15361" width="5" style="216" customWidth="1"/>
    <col min="15362" max="15362" width="62" style="216" customWidth="1"/>
    <col min="15363" max="15363" width="12.7109375" style="216" bestFit="1" customWidth="1"/>
    <col min="15364" max="15364" width="1.7109375" style="216" customWidth="1"/>
    <col min="15365" max="15367" width="15.7109375" style="216" customWidth="1"/>
    <col min="15368" max="15368" width="17.85546875" style="216" bestFit="1" customWidth="1"/>
    <col min="15369" max="15369" width="18.5703125" style="216" bestFit="1" customWidth="1"/>
    <col min="15370" max="15372" width="15.7109375" style="216" customWidth="1"/>
    <col min="15373" max="15373" width="20" style="216" customWidth="1"/>
    <col min="15374" max="15374" width="18.5703125" style="216" bestFit="1" customWidth="1"/>
    <col min="15375" max="15375" width="13.7109375" style="216" customWidth="1"/>
    <col min="15376" max="15376" width="54.5703125" style="216" bestFit="1" customWidth="1"/>
    <col min="15377" max="15615" width="9.140625" style="216"/>
    <col min="15616" max="15616" width="2.85546875" style="216" customWidth="1"/>
    <col min="15617" max="15617" width="5" style="216" customWidth="1"/>
    <col min="15618" max="15618" width="62" style="216" customWidth="1"/>
    <col min="15619" max="15619" width="12.7109375" style="216" bestFit="1" customWidth="1"/>
    <col min="15620" max="15620" width="1.7109375" style="216" customWidth="1"/>
    <col min="15621" max="15623" width="15.7109375" style="216" customWidth="1"/>
    <col min="15624" max="15624" width="17.85546875" style="216" bestFit="1" customWidth="1"/>
    <col min="15625" max="15625" width="18.5703125" style="216" bestFit="1" customWidth="1"/>
    <col min="15626" max="15628" width="15.7109375" style="216" customWidth="1"/>
    <col min="15629" max="15629" width="20" style="216" customWidth="1"/>
    <col min="15630" max="15630" width="18.5703125" style="216" bestFit="1" customWidth="1"/>
    <col min="15631" max="15631" width="13.7109375" style="216" customWidth="1"/>
    <col min="15632" max="15632" width="54.5703125" style="216" bestFit="1" customWidth="1"/>
    <col min="15633" max="15871" width="9.140625" style="216"/>
    <col min="15872" max="15872" width="2.85546875" style="216" customWidth="1"/>
    <col min="15873" max="15873" width="5" style="216" customWidth="1"/>
    <col min="15874" max="15874" width="62" style="216" customWidth="1"/>
    <col min="15875" max="15875" width="12.7109375" style="216" bestFit="1" customWidth="1"/>
    <col min="15876" max="15876" width="1.7109375" style="216" customWidth="1"/>
    <col min="15877" max="15879" width="15.7109375" style="216" customWidth="1"/>
    <col min="15880" max="15880" width="17.85546875" style="216" bestFit="1" customWidth="1"/>
    <col min="15881" max="15881" width="18.5703125" style="216" bestFit="1" customWidth="1"/>
    <col min="15882" max="15884" width="15.7109375" style="216" customWidth="1"/>
    <col min="15885" max="15885" width="20" style="216" customWidth="1"/>
    <col min="15886" max="15886" width="18.5703125" style="216" bestFit="1" customWidth="1"/>
    <col min="15887" max="15887" width="13.7109375" style="216" customWidth="1"/>
    <col min="15888" max="15888" width="54.5703125" style="216" bestFit="1" customWidth="1"/>
    <col min="15889" max="16127" width="9.140625" style="216"/>
    <col min="16128" max="16128" width="2.85546875" style="216" customWidth="1"/>
    <col min="16129" max="16129" width="5" style="216" customWidth="1"/>
    <col min="16130" max="16130" width="62" style="216" customWidth="1"/>
    <col min="16131" max="16131" width="12.7109375" style="216" bestFit="1" customWidth="1"/>
    <col min="16132" max="16132" width="1.7109375" style="216" customWidth="1"/>
    <col min="16133" max="16135" width="15.7109375" style="216" customWidth="1"/>
    <col min="16136" max="16136" width="17.85546875" style="216" bestFit="1" customWidth="1"/>
    <col min="16137" max="16137" width="18.5703125" style="216" bestFit="1" customWidth="1"/>
    <col min="16138" max="16140" width="15.7109375" style="216" customWidth="1"/>
    <col min="16141" max="16141" width="20" style="216" customWidth="1"/>
    <col min="16142" max="16142" width="18.5703125" style="216" bestFit="1" customWidth="1"/>
    <col min="16143" max="16143" width="13.7109375" style="216" customWidth="1"/>
    <col min="16144" max="16144" width="54.5703125" style="216" bestFit="1" customWidth="1"/>
    <col min="16145" max="16384" width="9.140625" style="216"/>
  </cols>
  <sheetData>
    <row r="1" spans="1:16" x14ac:dyDescent="0.2">
      <c r="F1" s="219"/>
      <c r="K1" s="217"/>
      <c r="L1" s="217" t="s">
        <v>419</v>
      </c>
      <c r="M1" s="766" t="str">
        <f>EBNUMBER</f>
        <v>EB-2014-0113</v>
      </c>
    </row>
    <row r="2" spans="1:16" x14ac:dyDescent="0.2">
      <c r="F2" s="219"/>
      <c r="K2" s="217"/>
      <c r="L2" s="217" t="s">
        <v>420</v>
      </c>
      <c r="M2" s="767">
        <v>2</v>
      </c>
    </row>
    <row r="3" spans="1:16" x14ac:dyDescent="0.2">
      <c r="F3" s="219"/>
      <c r="K3" s="217"/>
      <c r="L3" s="217" t="s">
        <v>421</v>
      </c>
      <c r="M3" s="767">
        <v>2</v>
      </c>
    </row>
    <row r="4" spans="1:16" x14ac:dyDescent="0.2">
      <c r="F4" s="219"/>
      <c r="K4" s="217"/>
      <c r="L4" s="217" t="s">
        <v>422</v>
      </c>
      <c r="M4" s="767">
        <v>2</v>
      </c>
    </row>
    <row r="5" spans="1:16" x14ac:dyDescent="0.2">
      <c r="F5" s="219"/>
      <c r="K5" s="217"/>
      <c r="L5" s="217" t="s">
        <v>423</v>
      </c>
      <c r="M5" s="768"/>
    </row>
    <row r="6" spans="1:16" x14ac:dyDescent="0.2">
      <c r="F6" s="219"/>
      <c r="K6" s="217"/>
      <c r="L6" s="217"/>
      <c r="M6" s="766"/>
    </row>
    <row r="7" spans="1:16" x14ac:dyDescent="0.2">
      <c r="F7" s="219"/>
      <c r="K7" s="217"/>
      <c r="L7" s="217" t="s">
        <v>424</v>
      </c>
      <c r="M7" s="1467">
        <v>42119</v>
      </c>
    </row>
    <row r="8" spans="1:16" ht="8.25" customHeight="1" x14ac:dyDescent="0.2"/>
    <row r="9" spans="1:16" ht="21" customHeight="1" x14ac:dyDescent="0.2">
      <c r="A9" s="1810" t="s">
        <v>801</v>
      </c>
      <c r="B9" s="1810"/>
      <c r="C9" s="1810"/>
      <c r="D9" s="1810"/>
      <c r="E9" s="1810"/>
      <c r="F9" s="1810"/>
      <c r="G9" s="1810"/>
      <c r="H9" s="1810"/>
      <c r="I9" s="1810"/>
      <c r="J9" s="1810"/>
      <c r="K9" s="1810"/>
      <c r="L9" s="1810"/>
      <c r="M9" s="1810"/>
      <c r="N9" s="679"/>
      <c r="O9" s="679"/>
      <c r="P9" s="679"/>
    </row>
    <row r="10" spans="1:16" ht="19.5" customHeight="1" x14ac:dyDescent="0.2">
      <c r="A10" s="1810" t="s">
        <v>616</v>
      </c>
      <c r="B10" s="1810"/>
      <c r="C10" s="1810"/>
      <c r="D10" s="1810"/>
      <c r="E10" s="1810"/>
      <c r="F10" s="1810"/>
      <c r="G10" s="1810"/>
      <c r="H10" s="1810"/>
      <c r="I10" s="1810"/>
      <c r="J10" s="1810"/>
      <c r="K10" s="1810"/>
      <c r="L10" s="1810"/>
      <c r="M10" s="1810"/>
      <c r="N10" s="680"/>
      <c r="O10" s="680"/>
      <c r="P10" s="680"/>
    </row>
    <row r="12" spans="1:16" ht="24" customHeight="1" x14ac:dyDescent="0.2">
      <c r="A12" s="1895" t="s">
        <v>802</v>
      </c>
      <c r="B12" s="1895"/>
      <c r="C12" s="1895"/>
      <c r="D12" s="1895"/>
      <c r="E12" s="1895"/>
      <c r="F12" s="1895"/>
      <c r="G12" s="1895"/>
      <c r="H12" s="1895"/>
      <c r="I12" s="1895"/>
      <c r="J12" s="1895"/>
      <c r="K12" s="1895"/>
      <c r="L12" s="1895"/>
      <c r="M12" s="1895"/>
      <c r="N12" s="680"/>
      <c r="O12" s="680"/>
      <c r="P12" s="680"/>
    </row>
    <row r="13" spans="1:16" ht="15" thickBot="1" x14ac:dyDescent="0.25">
      <c r="E13" s="242" t="s">
        <v>538</v>
      </c>
      <c r="F13" s="242" t="s">
        <v>47</v>
      </c>
      <c r="G13" s="242" t="s">
        <v>327</v>
      </c>
      <c r="H13" s="242" t="s">
        <v>48</v>
      </c>
      <c r="I13" s="242" t="s">
        <v>539</v>
      </c>
      <c r="J13" s="242" t="s">
        <v>185</v>
      </c>
      <c r="K13" s="242" t="s">
        <v>186</v>
      </c>
    </row>
    <row r="14" spans="1:16" x14ac:dyDescent="0.2">
      <c r="A14" s="1896" t="s">
        <v>540</v>
      </c>
      <c r="B14" s="1897"/>
      <c r="C14" s="1898"/>
      <c r="D14" s="243"/>
      <c r="E14" s="256" t="s">
        <v>541</v>
      </c>
      <c r="F14" s="256" t="s">
        <v>541</v>
      </c>
      <c r="G14" s="256" t="s">
        <v>541</v>
      </c>
      <c r="H14" s="244" t="s">
        <v>542</v>
      </c>
      <c r="I14" s="244" t="s">
        <v>542</v>
      </c>
      <c r="J14" s="244" t="s">
        <v>543</v>
      </c>
      <c r="K14" s="1905" t="s">
        <v>544</v>
      </c>
      <c r="L14" s="1906"/>
      <c r="M14" s="1907"/>
    </row>
    <row r="15" spans="1:16" x14ac:dyDescent="0.2">
      <c r="A15" s="1899"/>
      <c r="B15" s="1900"/>
      <c r="C15" s="1901"/>
      <c r="D15" s="245"/>
      <c r="E15" s="257" t="s">
        <v>545</v>
      </c>
      <c r="F15" s="257" t="s">
        <v>545</v>
      </c>
      <c r="G15" s="257" t="s">
        <v>545</v>
      </c>
      <c r="H15" s="246" t="s">
        <v>546</v>
      </c>
      <c r="I15" s="246" t="s">
        <v>546</v>
      </c>
      <c r="J15" s="246" t="s">
        <v>547</v>
      </c>
      <c r="K15" s="1908" t="s">
        <v>548</v>
      </c>
      <c r="L15" s="1909"/>
      <c r="M15" s="1910"/>
    </row>
    <row r="16" spans="1:16" ht="13.5" thickBot="1" x14ac:dyDescent="0.25">
      <c r="A16" s="1902"/>
      <c r="B16" s="1903"/>
      <c r="C16" s="1904"/>
      <c r="D16" s="245"/>
      <c r="E16" s="258" t="s">
        <v>549</v>
      </c>
      <c r="F16" s="258" t="s">
        <v>431</v>
      </c>
      <c r="G16" s="258" t="s">
        <v>432</v>
      </c>
      <c r="H16" s="247" t="s">
        <v>550</v>
      </c>
      <c r="I16" s="247" t="s">
        <v>551</v>
      </c>
      <c r="J16" s="247" t="s">
        <v>552</v>
      </c>
      <c r="K16" s="1911" t="s">
        <v>553</v>
      </c>
      <c r="L16" s="1912"/>
      <c r="M16" s="1913"/>
    </row>
    <row r="17" spans="1:13" x14ac:dyDescent="0.2">
      <c r="A17" s="1914" t="s">
        <v>554</v>
      </c>
      <c r="B17" s="1915"/>
      <c r="C17" s="1916"/>
      <c r="D17" s="245"/>
      <c r="E17" s="259">
        <v>140425</v>
      </c>
      <c r="F17" s="260">
        <v>185000</v>
      </c>
      <c r="G17" s="260">
        <v>189000</v>
      </c>
      <c r="H17" s="249">
        <f t="shared" ref="H17:H30" si="0">+G17-F17</f>
        <v>4000</v>
      </c>
      <c r="I17" s="249">
        <f t="shared" ref="I17:I30" si="1">+G17-E17</f>
        <v>48575</v>
      </c>
      <c r="J17" s="319" t="s">
        <v>1977</v>
      </c>
      <c r="K17" s="1920" t="s">
        <v>1978</v>
      </c>
      <c r="L17" s="1921"/>
      <c r="M17" s="1922"/>
    </row>
    <row r="18" spans="1:13" x14ac:dyDescent="0.2">
      <c r="A18" s="1923" t="s">
        <v>555</v>
      </c>
      <c r="B18" s="1924"/>
      <c r="C18" s="1925"/>
      <c r="D18" s="245"/>
      <c r="E18" s="260"/>
      <c r="F18" s="260"/>
      <c r="G18" s="260"/>
      <c r="H18" s="249">
        <f t="shared" si="0"/>
        <v>0</v>
      </c>
      <c r="I18" s="249">
        <f t="shared" si="1"/>
        <v>0</v>
      </c>
      <c r="J18" s="319"/>
      <c r="K18" s="1917"/>
      <c r="L18" s="1918"/>
      <c r="M18" s="1919"/>
    </row>
    <row r="19" spans="1:13" x14ac:dyDescent="0.2">
      <c r="A19" s="1914" t="s">
        <v>556</v>
      </c>
      <c r="B19" s="1915"/>
      <c r="C19" s="1916"/>
      <c r="D19" s="245"/>
      <c r="E19" s="260"/>
      <c r="F19" s="260"/>
      <c r="G19" s="260"/>
      <c r="H19" s="249">
        <f t="shared" si="0"/>
        <v>0</v>
      </c>
      <c r="I19" s="249">
        <f t="shared" si="1"/>
        <v>0</v>
      </c>
      <c r="J19" s="319"/>
      <c r="K19" s="1917"/>
      <c r="L19" s="1918"/>
      <c r="M19" s="1919"/>
    </row>
    <row r="20" spans="1:13" x14ac:dyDescent="0.2">
      <c r="A20" s="1926" t="s">
        <v>557</v>
      </c>
      <c r="B20" s="1927"/>
      <c r="C20" s="1928"/>
      <c r="D20" s="245"/>
      <c r="E20" s="260"/>
      <c r="F20" s="260"/>
      <c r="G20" s="260"/>
      <c r="H20" s="249">
        <f t="shared" si="0"/>
        <v>0</v>
      </c>
      <c r="I20" s="249">
        <f t="shared" si="1"/>
        <v>0</v>
      </c>
      <c r="J20" s="319"/>
      <c r="K20" s="1917"/>
      <c r="L20" s="1918"/>
      <c r="M20" s="1919"/>
    </row>
    <row r="21" spans="1:13" x14ac:dyDescent="0.2">
      <c r="A21" s="1923" t="s">
        <v>558</v>
      </c>
      <c r="B21" s="1924"/>
      <c r="C21" s="1925"/>
      <c r="D21" s="245"/>
      <c r="E21" s="260"/>
      <c r="F21" s="260"/>
      <c r="G21" s="260"/>
      <c r="H21" s="249">
        <f t="shared" si="0"/>
        <v>0</v>
      </c>
      <c r="I21" s="249">
        <f t="shared" si="1"/>
        <v>0</v>
      </c>
      <c r="J21" s="319"/>
      <c r="K21" s="1917"/>
      <c r="L21" s="1918"/>
      <c r="M21" s="1919"/>
    </row>
    <row r="22" spans="1:13" x14ac:dyDescent="0.2">
      <c r="A22" s="1923"/>
      <c r="B22" s="1924"/>
      <c r="C22" s="1925"/>
      <c r="D22" s="245"/>
      <c r="E22" s="260"/>
      <c r="F22" s="260"/>
      <c r="G22" s="260"/>
      <c r="H22" s="249">
        <f t="shared" si="0"/>
        <v>0</v>
      </c>
      <c r="I22" s="249">
        <f t="shared" si="1"/>
        <v>0</v>
      </c>
      <c r="J22" s="319"/>
      <c r="K22" s="1917"/>
      <c r="L22" s="1918"/>
      <c r="M22" s="1919"/>
    </row>
    <row r="23" spans="1:13" x14ac:dyDescent="0.2">
      <c r="A23" s="1914" t="s">
        <v>559</v>
      </c>
      <c r="B23" s="1915"/>
      <c r="C23" s="1916"/>
      <c r="D23" s="245"/>
      <c r="E23" s="260"/>
      <c r="F23" s="260"/>
      <c r="G23" s="260"/>
      <c r="H23" s="249">
        <f t="shared" si="0"/>
        <v>0</v>
      </c>
      <c r="I23" s="249">
        <f t="shared" si="1"/>
        <v>0</v>
      </c>
      <c r="J23" s="319"/>
      <c r="K23" s="1917"/>
      <c r="L23" s="1918"/>
      <c r="M23" s="1919"/>
    </row>
    <row r="24" spans="1:13" ht="24.95" customHeight="1" x14ac:dyDescent="0.2">
      <c r="A24" s="1926" t="s">
        <v>560</v>
      </c>
      <c r="B24" s="1927"/>
      <c r="C24" s="1928"/>
      <c r="D24" s="245"/>
      <c r="E24" s="260"/>
      <c r="F24" s="260"/>
      <c r="G24" s="260"/>
      <c r="H24" s="249">
        <f t="shared" si="0"/>
        <v>0</v>
      </c>
      <c r="I24" s="249">
        <f t="shared" si="1"/>
        <v>0</v>
      </c>
      <c r="J24" s="319"/>
      <c r="K24" s="1917"/>
      <c r="L24" s="1918"/>
      <c r="M24" s="1919"/>
    </row>
    <row r="25" spans="1:13" ht="24.95" customHeight="1" x14ac:dyDescent="0.2">
      <c r="A25" s="1926" t="s">
        <v>561</v>
      </c>
      <c r="B25" s="1927"/>
      <c r="C25" s="1928"/>
      <c r="D25" s="245"/>
      <c r="E25" s="260"/>
      <c r="F25" s="260"/>
      <c r="G25" s="260"/>
      <c r="H25" s="249">
        <f t="shared" si="0"/>
        <v>0</v>
      </c>
      <c r="I25" s="249">
        <f t="shared" si="1"/>
        <v>0</v>
      </c>
      <c r="J25" s="319"/>
      <c r="K25" s="1917"/>
      <c r="L25" s="1918"/>
      <c r="M25" s="1919"/>
    </row>
    <row r="26" spans="1:13" x14ac:dyDescent="0.2">
      <c r="A26" s="1923" t="s">
        <v>562</v>
      </c>
      <c r="B26" s="1924"/>
      <c r="C26" s="1925"/>
      <c r="D26" s="245"/>
      <c r="E26" s="260">
        <v>0</v>
      </c>
      <c r="F26" s="260">
        <v>0</v>
      </c>
      <c r="G26" s="260">
        <v>0</v>
      </c>
      <c r="H26" s="249">
        <f t="shared" si="0"/>
        <v>0</v>
      </c>
      <c r="I26" s="249">
        <f t="shared" si="1"/>
        <v>0</v>
      </c>
      <c r="J26" s="319"/>
      <c r="K26" s="1917"/>
      <c r="L26" s="1918"/>
      <c r="M26" s="1919"/>
    </row>
    <row r="27" spans="1:13" ht="13.5" customHeight="1" x14ac:dyDescent="0.2">
      <c r="A27" s="1914"/>
      <c r="B27" s="1915"/>
      <c r="C27" s="1916"/>
      <c r="D27" s="245"/>
      <c r="E27" s="260"/>
      <c r="F27" s="260"/>
      <c r="G27" s="260"/>
      <c r="H27" s="249">
        <f t="shared" si="0"/>
        <v>0</v>
      </c>
      <c r="I27" s="249">
        <f t="shared" si="1"/>
        <v>0</v>
      </c>
      <c r="J27" s="319"/>
      <c r="K27" s="1917"/>
      <c r="L27" s="1918"/>
      <c r="M27" s="1919"/>
    </row>
    <row r="28" spans="1:13" ht="13.5" customHeight="1" x14ac:dyDescent="0.2">
      <c r="A28" s="1923"/>
      <c r="B28" s="1924"/>
      <c r="C28" s="1925"/>
      <c r="D28" s="245"/>
      <c r="E28" s="260"/>
      <c r="F28" s="260"/>
      <c r="G28" s="260"/>
      <c r="H28" s="249">
        <f t="shared" si="0"/>
        <v>0</v>
      </c>
      <c r="I28" s="249">
        <f t="shared" si="1"/>
        <v>0</v>
      </c>
      <c r="J28" s="319"/>
      <c r="K28" s="1917"/>
      <c r="L28" s="1918"/>
      <c r="M28" s="1919"/>
    </row>
    <row r="29" spans="1:13" ht="27" customHeight="1" x14ac:dyDescent="0.2">
      <c r="A29" s="1923"/>
      <c r="B29" s="1924"/>
      <c r="C29" s="1925"/>
      <c r="D29" s="245"/>
      <c r="E29" s="260"/>
      <c r="F29" s="260"/>
      <c r="G29" s="260"/>
      <c r="H29" s="249">
        <f t="shared" si="0"/>
        <v>0</v>
      </c>
      <c r="I29" s="249">
        <f t="shared" si="1"/>
        <v>0</v>
      </c>
      <c r="J29" s="319"/>
      <c r="K29" s="1917"/>
      <c r="L29" s="1918"/>
      <c r="M29" s="1919"/>
    </row>
    <row r="30" spans="1:13" ht="13.5" thickBot="1" x14ac:dyDescent="0.25">
      <c r="A30" s="1935" t="s">
        <v>257</v>
      </c>
      <c r="B30" s="1936"/>
      <c r="C30" s="1937"/>
      <c r="D30" s="316"/>
      <c r="E30" s="261"/>
      <c r="F30" s="261"/>
      <c r="G30" s="261"/>
      <c r="H30" s="314">
        <f t="shared" si="0"/>
        <v>0</v>
      </c>
      <c r="I30" s="314">
        <f t="shared" si="1"/>
        <v>0</v>
      </c>
      <c r="J30" s="320"/>
      <c r="K30" s="1938"/>
      <c r="L30" s="1939"/>
      <c r="M30" s="1940"/>
    </row>
    <row r="31" spans="1:13" ht="14.25" thickTop="1" thickBot="1" x14ac:dyDescent="0.25">
      <c r="A31" s="1941" t="s">
        <v>413</v>
      </c>
      <c r="B31" s="1942"/>
      <c r="C31" s="1943"/>
      <c r="D31" s="312"/>
      <c r="E31" s="90">
        <f>SUM(E17:E30)</f>
        <v>140425</v>
      </c>
      <c r="F31" s="90">
        <f>SUM(F17:F30)</f>
        <v>185000</v>
      </c>
      <c r="G31" s="90">
        <f>SUM(G17:G30)</f>
        <v>189000</v>
      </c>
      <c r="H31" s="90">
        <f>SUM(H17:H30)</f>
        <v>4000</v>
      </c>
      <c r="I31" s="90">
        <f>SUM(I17:I30)</f>
        <v>48575</v>
      </c>
      <c r="J31" s="315"/>
      <c r="K31" s="1944"/>
      <c r="L31" s="1945"/>
      <c r="M31" s="1946"/>
    </row>
    <row r="32" spans="1:13" x14ac:dyDescent="0.2">
      <c r="A32" s="251"/>
      <c r="B32" s="251"/>
      <c r="C32" s="251"/>
      <c r="D32" s="252"/>
      <c r="E32" s="253"/>
      <c r="F32" s="253"/>
      <c r="G32" s="253"/>
      <c r="H32" s="253"/>
      <c r="I32" s="253"/>
      <c r="J32" s="253"/>
      <c r="K32" s="253"/>
      <c r="L32" s="253"/>
    </row>
    <row r="33" spans="1:16" x14ac:dyDescent="0.2">
      <c r="A33" s="251"/>
      <c r="B33" s="251"/>
      <c r="C33" s="251"/>
      <c r="D33" s="252"/>
      <c r="E33" s="253"/>
      <c r="F33" s="253"/>
      <c r="G33" s="253"/>
      <c r="H33" s="253"/>
      <c r="I33" s="253"/>
      <c r="J33" s="253"/>
      <c r="K33" s="253"/>
      <c r="L33" s="253"/>
    </row>
    <row r="34" spans="1:16" ht="27" customHeight="1" x14ac:dyDescent="0.2">
      <c r="A34" s="1947" t="s">
        <v>563</v>
      </c>
      <c r="B34" s="1947"/>
      <c r="C34" s="1947"/>
      <c r="D34" s="1947"/>
      <c r="E34" s="1947"/>
      <c r="F34" s="1947"/>
      <c r="G34" s="1947"/>
      <c r="H34" s="1947"/>
      <c r="I34" s="1947"/>
      <c r="J34" s="1947"/>
      <c r="K34" s="1947"/>
      <c r="L34" s="1947"/>
      <c r="M34" s="1947"/>
      <c r="N34" s="678"/>
      <c r="O34" s="678"/>
      <c r="P34" s="678"/>
    </row>
    <row r="35" spans="1:16" ht="15" thickBot="1" x14ac:dyDescent="0.25">
      <c r="E35" s="242" t="s">
        <v>538</v>
      </c>
      <c r="F35" s="242" t="s">
        <v>47</v>
      </c>
      <c r="G35" s="242" t="s">
        <v>327</v>
      </c>
      <c r="H35" s="242" t="s">
        <v>48</v>
      </c>
      <c r="I35" s="242" t="s">
        <v>539</v>
      </c>
      <c r="J35" s="242" t="s">
        <v>185</v>
      </c>
      <c r="K35" s="242" t="s">
        <v>186</v>
      </c>
    </row>
    <row r="36" spans="1:16" ht="12.75" customHeight="1" x14ac:dyDescent="0.2">
      <c r="A36" s="1896" t="s">
        <v>540</v>
      </c>
      <c r="B36" s="1897"/>
      <c r="C36" s="1898"/>
      <c r="D36" s="243"/>
      <c r="E36" s="256" t="s">
        <v>541</v>
      </c>
      <c r="F36" s="256" t="s">
        <v>541</v>
      </c>
      <c r="G36" s="256" t="s">
        <v>541</v>
      </c>
      <c r="H36" s="244" t="s">
        <v>542</v>
      </c>
      <c r="I36" s="244" t="s">
        <v>542</v>
      </c>
      <c r="J36" s="244" t="s">
        <v>543</v>
      </c>
      <c r="K36" s="1905" t="s">
        <v>564</v>
      </c>
      <c r="L36" s="1929"/>
      <c r="M36" s="1930"/>
    </row>
    <row r="37" spans="1:16" x14ac:dyDescent="0.2">
      <c r="A37" s="1899"/>
      <c r="B37" s="1900"/>
      <c r="C37" s="1901"/>
      <c r="D37" s="245"/>
      <c r="E37" s="257" t="s">
        <v>565</v>
      </c>
      <c r="F37" s="257" t="s">
        <v>565</v>
      </c>
      <c r="G37" s="257" t="s">
        <v>565</v>
      </c>
      <c r="H37" s="246" t="s">
        <v>566</v>
      </c>
      <c r="I37" s="246" t="s">
        <v>566</v>
      </c>
      <c r="J37" s="246" t="s">
        <v>547</v>
      </c>
      <c r="K37" s="1908" t="s">
        <v>548</v>
      </c>
      <c r="L37" s="1931"/>
      <c r="M37" s="1932"/>
    </row>
    <row r="38" spans="1:16" ht="13.5" thickBot="1" x14ac:dyDescent="0.25">
      <c r="A38" s="1902"/>
      <c r="B38" s="1903"/>
      <c r="C38" s="1904"/>
      <c r="D38" s="245"/>
      <c r="E38" s="258" t="s">
        <v>549</v>
      </c>
      <c r="F38" s="258" t="s">
        <v>431</v>
      </c>
      <c r="G38" s="258" t="s">
        <v>432</v>
      </c>
      <c r="H38" s="247" t="s">
        <v>550</v>
      </c>
      <c r="I38" s="247" t="s">
        <v>551</v>
      </c>
      <c r="J38" s="247" t="s">
        <v>552</v>
      </c>
      <c r="K38" s="1911" t="s">
        <v>553</v>
      </c>
      <c r="L38" s="1933"/>
      <c r="M38" s="1934"/>
    </row>
    <row r="39" spans="1:16" ht="12.75" customHeight="1" x14ac:dyDescent="0.2">
      <c r="A39" s="1914" t="s">
        <v>554</v>
      </c>
      <c r="B39" s="1915"/>
      <c r="C39" s="1916"/>
      <c r="D39" s="245"/>
      <c r="E39" s="260">
        <f>+E17</f>
        <v>140425</v>
      </c>
      <c r="F39" s="260">
        <f>+F17</f>
        <v>185000</v>
      </c>
      <c r="G39" s="260">
        <f>+G17</f>
        <v>189000</v>
      </c>
      <c r="H39" s="249">
        <f>+G39-F39</f>
        <v>4000</v>
      </c>
      <c r="I39" s="249">
        <f>+G39-E39</f>
        <v>48575</v>
      </c>
      <c r="J39" s="319"/>
      <c r="K39" s="1920" t="str">
        <f>+K17</f>
        <v>alloaction of direct benefits expressed as an overhead percentage applied at payroll time sheet entry</v>
      </c>
      <c r="L39" s="1921"/>
      <c r="M39" s="1922"/>
    </row>
    <row r="40" spans="1:16" ht="12.75" customHeight="1" x14ac:dyDescent="0.2">
      <c r="A40" s="1923" t="s">
        <v>555</v>
      </c>
      <c r="B40" s="1924"/>
      <c r="C40" s="1925"/>
      <c r="D40" s="245"/>
      <c r="E40" s="260"/>
      <c r="F40" s="260"/>
      <c r="G40" s="260"/>
      <c r="H40" s="249">
        <f>+G40-F40</f>
        <v>0</v>
      </c>
      <c r="I40" s="249">
        <f>+G40-E40</f>
        <v>0</v>
      </c>
      <c r="J40" s="319"/>
      <c r="K40" s="1917"/>
      <c r="L40" s="1918"/>
      <c r="M40" s="1919"/>
    </row>
    <row r="41" spans="1:16" ht="12.75" customHeight="1" x14ac:dyDescent="0.2">
      <c r="A41" s="1914" t="s">
        <v>556</v>
      </c>
      <c r="B41" s="1915"/>
      <c r="C41" s="1916"/>
      <c r="D41" s="245"/>
      <c r="E41" s="260"/>
      <c r="F41" s="260"/>
      <c r="G41" s="260"/>
      <c r="H41" s="249">
        <f>+G41-F41</f>
        <v>0</v>
      </c>
      <c r="I41" s="249">
        <f>+G41-E41</f>
        <v>0</v>
      </c>
      <c r="J41" s="319"/>
      <c r="K41" s="1917"/>
      <c r="L41" s="1918"/>
      <c r="M41" s="1919"/>
    </row>
    <row r="42" spans="1:16" ht="12.75" customHeight="1" x14ac:dyDescent="0.2">
      <c r="A42" s="1926" t="s">
        <v>557</v>
      </c>
      <c r="B42" s="1927"/>
      <c r="C42" s="1928"/>
      <c r="D42" s="245"/>
      <c r="E42" s="260"/>
      <c r="F42" s="260"/>
      <c r="G42" s="260"/>
      <c r="H42" s="249">
        <f>+G42-F42</f>
        <v>0</v>
      </c>
      <c r="I42" s="249">
        <f>+G42-E42</f>
        <v>0</v>
      </c>
      <c r="J42" s="319"/>
      <c r="K42" s="1917"/>
      <c r="L42" s="1918"/>
      <c r="M42" s="1919"/>
    </row>
    <row r="43" spans="1:16" ht="12.75" customHeight="1" x14ac:dyDescent="0.2">
      <c r="A43" s="1923" t="s">
        <v>558</v>
      </c>
      <c r="B43" s="1924"/>
      <c r="C43" s="1925"/>
      <c r="D43" s="245"/>
      <c r="E43" s="260"/>
      <c r="F43" s="260"/>
      <c r="G43" s="260"/>
      <c r="H43" s="249">
        <f>+G43-F43</f>
        <v>0</v>
      </c>
      <c r="I43" s="249">
        <f>+G43-E43</f>
        <v>0</v>
      </c>
      <c r="J43" s="319"/>
      <c r="K43" s="1917"/>
      <c r="L43" s="1918"/>
      <c r="M43" s="1919"/>
    </row>
    <row r="44" spans="1:16" x14ac:dyDescent="0.2">
      <c r="A44" s="1923"/>
      <c r="B44" s="1924"/>
      <c r="C44" s="1925"/>
      <c r="D44" s="245"/>
      <c r="E44" s="260"/>
      <c r="F44" s="260"/>
      <c r="G44" s="260"/>
      <c r="H44" s="249"/>
      <c r="I44" s="249"/>
      <c r="J44" s="319"/>
      <c r="K44" s="1917"/>
      <c r="L44" s="1918"/>
      <c r="M44" s="1919"/>
    </row>
    <row r="45" spans="1:16" ht="12.75" customHeight="1" x14ac:dyDescent="0.2">
      <c r="A45" s="1914" t="s">
        <v>559</v>
      </c>
      <c r="B45" s="1915"/>
      <c r="C45" s="1916"/>
      <c r="D45" s="245"/>
      <c r="E45" s="260"/>
      <c r="F45" s="260"/>
      <c r="G45" s="260"/>
      <c r="H45" s="249">
        <f t="shared" ref="H45:H52" si="2">+G45-F45</f>
        <v>0</v>
      </c>
      <c r="I45" s="249">
        <f t="shared" ref="I45:I52" si="3">+G45-E45</f>
        <v>0</v>
      </c>
      <c r="J45" s="319"/>
      <c r="K45" s="1917"/>
      <c r="L45" s="1918"/>
      <c r="M45" s="1919"/>
    </row>
    <row r="46" spans="1:16" ht="12.75" customHeight="1" x14ac:dyDescent="0.2">
      <c r="A46" s="1926" t="s">
        <v>560</v>
      </c>
      <c r="B46" s="1927"/>
      <c r="C46" s="1928"/>
      <c r="D46" s="245"/>
      <c r="E46" s="260"/>
      <c r="F46" s="260"/>
      <c r="G46" s="260"/>
      <c r="H46" s="249">
        <f t="shared" si="2"/>
        <v>0</v>
      </c>
      <c r="I46" s="249">
        <f t="shared" si="3"/>
        <v>0</v>
      </c>
      <c r="J46" s="319"/>
      <c r="K46" s="1917"/>
      <c r="L46" s="1918"/>
      <c r="M46" s="1919"/>
    </row>
    <row r="47" spans="1:16" ht="12.75" customHeight="1" x14ac:dyDescent="0.2">
      <c r="A47" s="1926" t="s">
        <v>561</v>
      </c>
      <c r="B47" s="1927"/>
      <c r="C47" s="1928"/>
      <c r="D47" s="245"/>
      <c r="E47" s="260"/>
      <c r="F47" s="260"/>
      <c r="G47" s="260"/>
      <c r="H47" s="249">
        <f t="shared" si="2"/>
        <v>0</v>
      </c>
      <c r="I47" s="249">
        <f t="shared" si="3"/>
        <v>0</v>
      </c>
      <c r="J47" s="319"/>
      <c r="K47" s="1917"/>
      <c r="L47" s="1918"/>
      <c r="M47" s="1919"/>
    </row>
    <row r="48" spans="1:16" ht="12.75" customHeight="1" x14ac:dyDescent="0.2">
      <c r="A48" s="1923" t="s">
        <v>562</v>
      </c>
      <c r="B48" s="1924"/>
      <c r="C48" s="1925"/>
      <c r="D48" s="245"/>
      <c r="E48" s="260"/>
      <c r="F48" s="260"/>
      <c r="G48" s="260"/>
      <c r="H48" s="249">
        <f t="shared" si="2"/>
        <v>0</v>
      </c>
      <c r="I48" s="249">
        <f t="shared" si="3"/>
        <v>0</v>
      </c>
      <c r="J48" s="319"/>
      <c r="K48" s="1917"/>
      <c r="L48" s="1918"/>
      <c r="M48" s="1919"/>
    </row>
    <row r="49" spans="1:13" x14ac:dyDescent="0.2">
      <c r="A49" s="1914"/>
      <c r="B49" s="1915"/>
      <c r="C49" s="1916"/>
      <c r="D49" s="245"/>
      <c r="E49" s="260"/>
      <c r="F49" s="260"/>
      <c r="G49" s="260"/>
      <c r="H49" s="249">
        <f t="shared" si="2"/>
        <v>0</v>
      </c>
      <c r="I49" s="249">
        <f t="shared" si="3"/>
        <v>0</v>
      </c>
      <c r="J49" s="319"/>
      <c r="K49" s="1917"/>
      <c r="L49" s="1918"/>
      <c r="M49" s="1919"/>
    </row>
    <row r="50" spans="1:13" x14ac:dyDescent="0.2">
      <c r="A50" s="1923"/>
      <c r="B50" s="1924"/>
      <c r="C50" s="1925"/>
      <c r="D50" s="245"/>
      <c r="E50" s="260"/>
      <c r="F50" s="260"/>
      <c r="G50" s="260"/>
      <c r="H50" s="249">
        <f t="shared" si="2"/>
        <v>0</v>
      </c>
      <c r="I50" s="249">
        <f t="shared" si="3"/>
        <v>0</v>
      </c>
      <c r="J50" s="319"/>
      <c r="K50" s="1917"/>
      <c r="L50" s="1918"/>
      <c r="M50" s="1919"/>
    </row>
    <row r="51" spans="1:13" x14ac:dyDescent="0.2">
      <c r="A51" s="1923"/>
      <c r="B51" s="1924"/>
      <c r="C51" s="1925"/>
      <c r="D51" s="245"/>
      <c r="E51" s="260"/>
      <c r="F51" s="260"/>
      <c r="G51" s="260"/>
      <c r="H51" s="249">
        <f t="shared" si="2"/>
        <v>0</v>
      </c>
      <c r="I51" s="249">
        <f t="shared" si="3"/>
        <v>0</v>
      </c>
      <c r="J51" s="319"/>
      <c r="K51" s="1917"/>
      <c r="L51" s="1918"/>
      <c r="M51" s="1919"/>
    </row>
    <row r="52" spans="1:13" ht="13.5" customHeight="1" thickBot="1" x14ac:dyDescent="0.25">
      <c r="A52" s="1949" t="s">
        <v>257</v>
      </c>
      <c r="B52" s="1950"/>
      <c r="C52" s="1951"/>
      <c r="D52" s="245"/>
      <c r="E52" s="261"/>
      <c r="F52" s="261"/>
      <c r="G52" s="261"/>
      <c r="H52" s="249">
        <f t="shared" si="2"/>
        <v>0</v>
      </c>
      <c r="I52" s="249">
        <f t="shared" si="3"/>
        <v>0</v>
      </c>
      <c r="J52" s="320"/>
      <c r="K52" s="1917"/>
      <c r="L52" s="1918"/>
      <c r="M52" s="1919"/>
    </row>
    <row r="53" spans="1:13" ht="14.25" customHeight="1" thickTop="1" thickBot="1" x14ac:dyDescent="0.25">
      <c r="A53" s="1952" t="s">
        <v>413</v>
      </c>
      <c r="B53" s="1953"/>
      <c r="C53" s="1954"/>
      <c r="D53" s="312"/>
      <c r="E53" s="90">
        <f>SUM(E39:E52)</f>
        <v>140425</v>
      </c>
      <c r="F53" s="90">
        <f>SUM(F39:F52)</f>
        <v>185000</v>
      </c>
      <c r="G53" s="90">
        <f>SUM(G39:G52)</f>
        <v>189000</v>
      </c>
      <c r="H53" s="90">
        <f>SUM(H39:H52)</f>
        <v>4000</v>
      </c>
      <c r="I53" s="90">
        <f>SUM(I39:I52)</f>
        <v>48575</v>
      </c>
      <c r="J53" s="313"/>
      <c r="K53" s="1955"/>
      <c r="L53" s="1956"/>
      <c r="M53" s="1957"/>
    </row>
    <row r="54" spans="1:13" x14ac:dyDescent="0.2">
      <c r="A54" s="251"/>
      <c r="B54" s="251"/>
      <c r="C54" s="251"/>
      <c r="D54" s="252"/>
      <c r="E54" s="253"/>
      <c r="F54" s="253"/>
      <c r="G54" s="253"/>
      <c r="H54" s="253"/>
      <c r="I54" s="253"/>
      <c r="J54" s="253"/>
      <c r="K54" s="253"/>
      <c r="L54" s="253"/>
      <c r="M54" s="253"/>
    </row>
    <row r="55" spans="1:13" x14ac:dyDescent="0.2">
      <c r="A55" s="317" t="s">
        <v>15</v>
      </c>
      <c r="B55" s="251"/>
      <c r="C55" s="251"/>
      <c r="D55" s="252"/>
      <c r="E55" s="253"/>
      <c r="F55" s="253"/>
      <c r="G55" s="253"/>
      <c r="H55" s="253"/>
      <c r="I55" s="253"/>
      <c r="J55" s="253"/>
      <c r="K55" s="253"/>
      <c r="L55" s="253"/>
      <c r="M55" s="253"/>
    </row>
    <row r="56" spans="1:13" x14ac:dyDescent="0.2">
      <c r="A56" s="284">
        <v>1</v>
      </c>
      <c r="B56" s="1857" t="s">
        <v>803</v>
      </c>
      <c r="C56" s="1857"/>
      <c r="D56" s="1857"/>
      <c r="E56" s="1857"/>
      <c r="F56" s="1857"/>
      <c r="G56" s="1857"/>
      <c r="H56" s="1857"/>
      <c r="I56" s="1857"/>
      <c r="J56" s="1857"/>
      <c r="K56" s="1857"/>
      <c r="L56" s="1857"/>
      <c r="M56" s="1857"/>
    </row>
    <row r="57" spans="1:13" x14ac:dyDescent="0.2">
      <c r="B57" s="1857"/>
      <c r="C57" s="1857"/>
      <c r="D57" s="1857"/>
      <c r="E57" s="1857"/>
      <c r="F57" s="1857"/>
      <c r="G57" s="1857"/>
      <c r="H57" s="1857"/>
      <c r="I57" s="1857"/>
      <c r="J57" s="1857"/>
      <c r="K57" s="1857"/>
      <c r="L57" s="1857"/>
      <c r="M57" s="1857"/>
    </row>
    <row r="58" spans="1:13" ht="13.5" customHeight="1" x14ac:dyDescent="0.2">
      <c r="A58" s="1948"/>
      <c r="B58" s="1958"/>
      <c r="C58" s="1959"/>
      <c r="D58" s="1959"/>
      <c r="E58" s="1959"/>
      <c r="F58" s="254"/>
    </row>
    <row r="59" spans="1:13" x14ac:dyDescent="0.2">
      <c r="A59" s="1948"/>
      <c r="B59" s="1959"/>
      <c r="C59" s="1959"/>
      <c r="D59" s="1959"/>
      <c r="E59" s="1959"/>
      <c r="F59" s="678"/>
    </row>
    <row r="60" spans="1:13" x14ac:dyDescent="0.2">
      <c r="A60" s="242"/>
      <c r="B60" s="236"/>
      <c r="C60" s="236"/>
      <c r="D60" s="236"/>
      <c r="E60" s="236"/>
    </row>
    <row r="61" spans="1:13" x14ac:dyDescent="0.2">
      <c r="A61" s="1948"/>
      <c r="B61" s="1958"/>
      <c r="C61" s="1958"/>
      <c r="D61" s="1958"/>
      <c r="E61" s="1958"/>
      <c r="F61" s="255"/>
    </row>
    <row r="62" spans="1:13" x14ac:dyDescent="0.2">
      <c r="A62" s="1948"/>
      <c r="B62" s="318"/>
      <c r="C62" s="318"/>
      <c r="D62" s="318"/>
      <c r="E62" s="318"/>
    </row>
    <row r="63" spans="1:13" ht="12.75" customHeight="1" x14ac:dyDescent="0.2">
      <c r="A63" s="1948"/>
      <c r="B63" s="318"/>
      <c r="C63" s="318"/>
      <c r="D63" s="318"/>
      <c r="E63" s="318"/>
      <c r="F63" s="678"/>
    </row>
    <row r="64" spans="1:13" x14ac:dyDescent="0.2">
      <c r="A64" s="1948"/>
      <c r="B64" s="318"/>
      <c r="C64" s="318"/>
      <c r="D64" s="318"/>
      <c r="E64" s="318"/>
      <c r="F64" s="678"/>
    </row>
    <row r="65" spans="1:14" x14ac:dyDescent="0.2">
      <c r="A65" s="242"/>
      <c r="B65" s="318"/>
      <c r="C65" s="318"/>
      <c r="D65" s="318"/>
      <c r="E65" s="318"/>
    </row>
    <row r="66" spans="1:14" ht="12.75" customHeight="1" x14ac:dyDescent="0.2">
      <c r="A66" s="1948"/>
      <c r="B66" s="318"/>
      <c r="C66" s="318"/>
      <c r="D66" s="318"/>
      <c r="E66" s="318"/>
      <c r="F66" s="678"/>
      <c r="G66" s="678"/>
      <c r="H66" s="678"/>
      <c r="I66" s="678"/>
      <c r="J66" s="678"/>
      <c r="K66" s="678"/>
      <c r="L66" s="678"/>
      <c r="M66" s="678"/>
      <c r="N66" s="678"/>
    </row>
    <row r="67" spans="1:14" x14ac:dyDescent="0.2">
      <c r="A67" s="1948"/>
      <c r="C67" s="318"/>
      <c r="D67" s="318"/>
      <c r="E67" s="318"/>
      <c r="F67" s="678"/>
      <c r="G67" s="678"/>
      <c r="H67" s="678"/>
      <c r="I67" s="678"/>
      <c r="J67" s="678"/>
      <c r="K67" s="678"/>
      <c r="L67" s="678"/>
      <c r="M67" s="678"/>
      <c r="N67" s="678"/>
    </row>
    <row r="68" spans="1:14" ht="12.75" customHeight="1" x14ac:dyDescent="0.2">
      <c r="A68" s="242"/>
      <c r="C68" s="318"/>
      <c r="D68" s="318"/>
      <c r="E68" s="318"/>
      <c r="F68" s="678"/>
      <c r="G68" s="678"/>
      <c r="H68" s="678"/>
      <c r="I68" s="678"/>
      <c r="J68" s="678"/>
      <c r="K68" s="678"/>
      <c r="L68" s="678"/>
      <c r="M68" s="678"/>
      <c r="N68" s="678"/>
    </row>
    <row r="69" spans="1:14" x14ac:dyDescent="0.2">
      <c r="A69" s="1960"/>
      <c r="B69" s="318"/>
      <c r="C69" s="318"/>
      <c r="D69" s="318"/>
      <c r="E69" s="318"/>
      <c r="F69" s="678"/>
      <c r="G69" s="678"/>
      <c r="H69" s="678"/>
      <c r="I69" s="678"/>
      <c r="J69" s="678"/>
      <c r="K69" s="678"/>
      <c r="L69" s="678"/>
      <c r="M69" s="678"/>
      <c r="N69" s="678"/>
    </row>
    <row r="70" spans="1:14" x14ac:dyDescent="0.2">
      <c r="A70" s="1960"/>
      <c r="B70" s="318"/>
      <c r="C70" s="318"/>
      <c r="D70" s="318"/>
      <c r="E70" s="318"/>
      <c r="F70" s="678"/>
      <c r="G70" s="678"/>
      <c r="H70" s="678"/>
      <c r="I70" s="678"/>
      <c r="J70" s="678"/>
      <c r="K70" s="678"/>
      <c r="L70" s="678"/>
      <c r="M70" s="678"/>
      <c r="N70" s="678"/>
    </row>
    <row r="71" spans="1:14" x14ac:dyDescent="0.2">
      <c r="A71" s="1960"/>
      <c r="B71" s="318"/>
      <c r="C71" s="318"/>
      <c r="D71" s="318"/>
      <c r="E71" s="318"/>
      <c r="F71" s="678"/>
      <c r="G71" s="678"/>
      <c r="H71" s="678"/>
      <c r="I71" s="678"/>
      <c r="J71" s="678"/>
      <c r="K71" s="678"/>
      <c r="L71" s="678"/>
      <c r="M71" s="678"/>
      <c r="N71" s="678"/>
    </row>
    <row r="72" spans="1:14" x14ac:dyDescent="0.2">
      <c r="A72" s="1960"/>
      <c r="B72" s="318"/>
      <c r="C72" s="318"/>
      <c r="D72" s="318"/>
      <c r="E72" s="318"/>
      <c r="F72" s="678"/>
      <c r="G72" s="678"/>
      <c r="H72" s="678"/>
      <c r="I72" s="678"/>
      <c r="J72" s="678"/>
      <c r="K72" s="678"/>
      <c r="L72" s="678"/>
      <c r="M72" s="678"/>
      <c r="N72" s="678"/>
    </row>
    <row r="73" spans="1:14" x14ac:dyDescent="0.2">
      <c r="A73" s="242"/>
      <c r="B73" s="318"/>
      <c r="C73" s="318"/>
      <c r="D73" s="318"/>
      <c r="E73" s="318"/>
    </row>
    <row r="74" spans="1:14" ht="12.75" customHeight="1" x14ac:dyDescent="0.2">
      <c r="A74" s="1948"/>
      <c r="B74" s="318"/>
      <c r="C74" s="318"/>
      <c r="D74" s="318"/>
      <c r="E74" s="318"/>
      <c r="F74" s="678"/>
      <c r="G74" s="678"/>
      <c r="H74" s="678"/>
      <c r="I74" s="678"/>
      <c r="J74" s="678"/>
      <c r="K74" s="678"/>
      <c r="L74" s="678"/>
      <c r="M74" s="678"/>
      <c r="N74" s="678"/>
    </row>
    <row r="75" spans="1:14" x14ac:dyDescent="0.2">
      <c r="A75" s="1948"/>
      <c r="B75" s="318"/>
      <c r="C75" s="318"/>
      <c r="D75" s="318"/>
      <c r="E75" s="318"/>
      <c r="F75" s="678"/>
      <c r="G75" s="678"/>
      <c r="H75" s="678"/>
      <c r="I75" s="678"/>
      <c r="J75" s="678"/>
      <c r="K75" s="678"/>
      <c r="L75" s="678"/>
      <c r="M75" s="678"/>
      <c r="N75" s="678"/>
    </row>
    <row r="76" spans="1:14" x14ac:dyDescent="0.2">
      <c r="B76" s="318"/>
      <c r="C76" s="318"/>
      <c r="D76" s="318"/>
      <c r="E76" s="318"/>
    </row>
    <row r="77" spans="1:14" ht="12.75" customHeight="1" x14ac:dyDescent="0.2">
      <c r="B77" s="318"/>
      <c r="C77" s="318"/>
      <c r="D77" s="318"/>
      <c r="E77" s="318"/>
    </row>
  </sheetData>
  <mergeCells count="81">
    <mergeCell ref="A74:A75"/>
    <mergeCell ref="A52:C52"/>
    <mergeCell ref="K52:M52"/>
    <mergeCell ref="A53:C53"/>
    <mergeCell ref="K53:M53"/>
    <mergeCell ref="B56:M57"/>
    <mergeCell ref="A58:A59"/>
    <mergeCell ref="B58:E59"/>
    <mergeCell ref="A61:A62"/>
    <mergeCell ref="B61:E61"/>
    <mergeCell ref="A63:A64"/>
    <mergeCell ref="A66:A67"/>
    <mergeCell ref="A69:A72"/>
    <mergeCell ref="A49:C49"/>
    <mergeCell ref="K49:M49"/>
    <mergeCell ref="A50:C50"/>
    <mergeCell ref="K50:M50"/>
    <mergeCell ref="A51:C51"/>
    <mergeCell ref="K51:M51"/>
    <mergeCell ref="A46:C46"/>
    <mergeCell ref="K46:M46"/>
    <mergeCell ref="A47:C47"/>
    <mergeCell ref="K47:M47"/>
    <mergeCell ref="A48:C48"/>
    <mergeCell ref="K48:M48"/>
    <mergeCell ref="A45:C45"/>
    <mergeCell ref="K45:M45"/>
    <mergeCell ref="A39:C39"/>
    <mergeCell ref="K39:M39"/>
    <mergeCell ref="A40:C40"/>
    <mergeCell ref="K40:M40"/>
    <mergeCell ref="A41:C41"/>
    <mergeCell ref="K41:M41"/>
    <mergeCell ref="A42:C42"/>
    <mergeCell ref="K42:M42"/>
    <mergeCell ref="A43:C43"/>
    <mergeCell ref="K43:M43"/>
    <mergeCell ref="K44:M44"/>
    <mergeCell ref="A44:C44"/>
    <mergeCell ref="A36:C38"/>
    <mergeCell ref="K36:M36"/>
    <mergeCell ref="K37:M37"/>
    <mergeCell ref="K38:M38"/>
    <mergeCell ref="A27:C27"/>
    <mergeCell ref="K27:M27"/>
    <mergeCell ref="A28:C28"/>
    <mergeCell ref="K28:M28"/>
    <mergeCell ref="A29:C29"/>
    <mergeCell ref="K29:M29"/>
    <mergeCell ref="A30:C30"/>
    <mergeCell ref="K30:M30"/>
    <mergeCell ref="A31:C31"/>
    <mergeCell ref="K31:M31"/>
    <mergeCell ref="A34:M34"/>
    <mergeCell ref="A24:C24"/>
    <mergeCell ref="K24:M24"/>
    <mergeCell ref="A25:C25"/>
    <mergeCell ref="K25:M25"/>
    <mergeCell ref="A26:C26"/>
    <mergeCell ref="K26:M26"/>
    <mergeCell ref="A23:C23"/>
    <mergeCell ref="K23:M23"/>
    <mergeCell ref="A17:C17"/>
    <mergeCell ref="K17:M17"/>
    <mergeCell ref="A18:C18"/>
    <mergeCell ref="K18:M18"/>
    <mergeCell ref="A19:C19"/>
    <mergeCell ref="K19:M19"/>
    <mergeCell ref="A20:C20"/>
    <mergeCell ref="K20:M20"/>
    <mergeCell ref="A21:C21"/>
    <mergeCell ref="K21:M21"/>
    <mergeCell ref="K22:M22"/>
    <mergeCell ref="A22:C22"/>
    <mergeCell ref="A9:M9"/>
    <mergeCell ref="A10:M10"/>
    <mergeCell ref="A12:M12"/>
    <mergeCell ref="A14:C16"/>
    <mergeCell ref="K14:M14"/>
    <mergeCell ref="K15:M15"/>
    <mergeCell ref="K16:M16"/>
  </mergeCells>
  <dataValidations count="2">
    <dataValidation type="list" allowBlank="1" showInputMessage="1" showErrorMessage="1" sqref="J39:J52 J17:J30">
      <formula1>"Y, N"</formula1>
    </dataValidation>
    <dataValidation allowBlank="1" showInputMessage="1" showErrorMessage="1" promptTitle="Date Format" prompt="E.g:  &quot;August 1, 2011&quot;" sqref="WVU98304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dataValidations>
  <pageMargins left="0.75" right="0.75" top="1" bottom="1" header="0.5" footer="0.5"/>
  <pageSetup scale="4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P77"/>
  <sheetViews>
    <sheetView showGridLines="0" zoomScaleNormal="100" workbookViewId="0">
      <selection activeCell="L2" sqref="L2"/>
    </sheetView>
  </sheetViews>
  <sheetFormatPr defaultRowHeight="12.75" x14ac:dyDescent="0.2"/>
  <cols>
    <col min="1" max="1" width="5" style="216" customWidth="1"/>
    <col min="2" max="2" width="62" style="216" customWidth="1"/>
    <col min="3" max="3" width="12.7109375" style="216" bestFit="1" customWidth="1"/>
    <col min="4" max="4" width="1.7109375" style="216" customWidth="1"/>
    <col min="5" max="7" width="15.7109375" style="216" customWidth="1"/>
    <col min="8" max="8" width="17.85546875" style="216" bestFit="1" customWidth="1"/>
    <col min="9" max="9" width="18.5703125" style="216" bestFit="1" customWidth="1"/>
    <col min="10" max="12" width="15.7109375" style="216" customWidth="1"/>
    <col min="13" max="13" width="20" style="216" customWidth="1"/>
    <col min="14" max="14" width="18.5703125" style="216" bestFit="1" customWidth="1"/>
    <col min="15" max="15" width="13.7109375" style="216" customWidth="1"/>
    <col min="16" max="16" width="54.5703125" style="216" bestFit="1" customWidth="1"/>
    <col min="17" max="255" width="9.140625" style="216"/>
    <col min="256" max="256" width="2.85546875" style="216" customWidth="1"/>
    <col min="257" max="257" width="5" style="216" customWidth="1"/>
    <col min="258" max="258" width="62" style="216" customWidth="1"/>
    <col min="259" max="259" width="12.7109375" style="216" bestFit="1" customWidth="1"/>
    <col min="260" max="260" width="1.7109375" style="216" customWidth="1"/>
    <col min="261" max="263" width="15.7109375" style="216" customWidth="1"/>
    <col min="264" max="264" width="17.85546875" style="216" bestFit="1" customWidth="1"/>
    <col min="265" max="265" width="18.5703125" style="216" bestFit="1" customWidth="1"/>
    <col min="266" max="268" width="15.7109375" style="216" customWidth="1"/>
    <col min="269" max="269" width="20" style="216" customWidth="1"/>
    <col min="270" max="270" width="18.5703125" style="216" bestFit="1" customWidth="1"/>
    <col min="271" max="271" width="13.7109375" style="216" customWidth="1"/>
    <col min="272" max="272" width="54.5703125" style="216" bestFit="1" customWidth="1"/>
    <col min="273" max="511" width="9.140625" style="216"/>
    <col min="512" max="512" width="2.85546875" style="216" customWidth="1"/>
    <col min="513" max="513" width="5" style="216" customWidth="1"/>
    <col min="514" max="514" width="62" style="216" customWidth="1"/>
    <col min="515" max="515" width="12.7109375" style="216" bestFit="1" customWidth="1"/>
    <col min="516" max="516" width="1.7109375" style="216" customWidth="1"/>
    <col min="517" max="519" width="15.7109375" style="216" customWidth="1"/>
    <col min="520" max="520" width="17.85546875" style="216" bestFit="1" customWidth="1"/>
    <col min="521" max="521" width="18.5703125" style="216" bestFit="1" customWidth="1"/>
    <col min="522" max="524" width="15.7109375" style="216" customWidth="1"/>
    <col min="525" max="525" width="20" style="216" customWidth="1"/>
    <col min="526" max="526" width="18.5703125" style="216" bestFit="1" customWidth="1"/>
    <col min="527" max="527" width="13.7109375" style="216" customWidth="1"/>
    <col min="528" max="528" width="54.5703125" style="216" bestFit="1" customWidth="1"/>
    <col min="529" max="767" width="9.140625" style="216"/>
    <col min="768" max="768" width="2.85546875" style="216" customWidth="1"/>
    <col min="769" max="769" width="5" style="216" customWidth="1"/>
    <col min="770" max="770" width="62" style="216" customWidth="1"/>
    <col min="771" max="771" width="12.7109375" style="216" bestFit="1" customWidth="1"/>
    <col min="772" max="772" width="1.7109375" style="216" customWidth="1"/>
    <col min="773" max="775" width="15.7109375" style="216" customWidth="1"/>
    <col min="776" max="776" width="17.85546875" style="216" bestFit="1" customWidth="1"/>
    <col min="777" max="777" width="18.5703125" style="216" bestFit="1" customWidth="1"/>
    <col min="778" max="780" width="15.7109375" style="216" customWidth="1"/>
    <col min="781" max="781" width="20" style="216" customWidth="1"/>
    <col min="782" max="782" width="18.5703125" style="216" bestFit="1" customWidth="1"/>
    <col min="783" max="783" width="13.7109375" style="216" customWidth="1"/>
    <col min="784" max="784" width="54.5703125" style="216" bestFit="1" customWidth="1"/>
    <col min="785" max="1023" width="9.140625" style="216"/>
    <col min="1024" max="1024" width="2.85546875" style="216" customWidth="1"/>
    <col min="1025" max="1025" width="5" style="216" customWidth="1"/>
    <col min="1026" max="1026" width="62" style="216" customWidth="1"/>
    <col min="1027" max="1027" width="12.7109375" style="216" bestFit="1" customWidth="1"/>
    <col min="1028" max="1028" width="1.7109375" style="216" customWidth="1"/>
    <col min="1029" max="1031" width="15.7109375" style="216" customWidth="1"/>
    <col min="1032" max="1032" width="17.85546875" style="216" bestFit="1" customWidth="1"/>
    <col min="1033" max="1033" width="18.5703125" style="216" bestFit="1" customWidth="1"/>
    <col min="1034" max="1036" width="15.7109375" style="216" customWidth="1"/>
    <col min="1037" max="1037" width="20" style="216" customWidth="1"/>
    <col min="1038" max="1038" width="18.5703125" style="216" bestFit="1" customWidth="1"/>
    <col min="1039" max="1039" width="13.7109375" style="216" customWidth="1"/>
    <col min="1040" max="1040" width="54.5703125" style="216" bestFit="1" customWidth="1"/>
    <col min="1041" max="1279" width="9.140625" style="216"/>
    <col min="1280" max="1280" width="2.85546875" style="216" customWidth="1"/>
    <col min="1281" max="1281" width="5" style="216" customWidth="1"/>
    <col min="1282" max="1282" width="62" style="216" customWidth="1"/>
    <col min="1283" max="1283" width="12.7109375" style="216" bestFit="1" customWidth="1"/>
    <col min="1284" max="1284" width="1.7109375" style="216" customWidth="1"/>
    <col min="1285" max="1287" width="15.7109375" style="216" customWidth="1"/>
    <col min="1288" max="1288" width="17.85546875" style="216" bestFit="1" customWidth="1"/>
    <col min="1289" max="1289" width="18.5703125" style="216" bestFit="1" customWidth="1"/>
    <col min="1290" max="1292" width="15.7109375" style="216" customWidth="1"/>
    <col min="1293" max="1293" width="20" style="216" customWidth="1"/>
    <col min="1294" max="1294" width="18.5703125" style="216" bestFit="1" customWidth="1"/>
    <col min="1295" max="1295" width="13.7109375" style="216" customWidth="1"/>
    <col min="1296" max="1296" width="54.5703125" style="216" bestFit="1" customWidth="1"/>
    <col min="1297" max="1535" width="9.140625" style="216"/>
    <col min="1536" max="1536" width="2.85546875" style="216" customWidth="1"/>
    <col min="1537" max="1537" width="5" style="216" customWidth="1"/>
    <col min="1538" max="1538" width="62" style="216" customWidth="1"/>
    <col min="1539" max="1539" width="12.7109375" style="216" bestFit="1" customWidth="1"/>
    <col min="1540" max="1540" width="1.7109375" style="216" customWidth="1"/>
    <col min="1541" max="1543" width="15.7109375" style="216" customWidth="1"/>
    <col min="1544" max="1544" width="17.85546875" style="216" bestFit="1" customWidth="1"/>
    <col min="1545" max="1545" width="18.5703125" style="216" bestFit="1" customWidth="1"/>
    <col min="1546" max="1548" width="15.7109375" style="216" customWidth="1"/>
    <col min="1549" max="1549" width="20" style="216" customWidth="1"/>
    <col min="1550" max="1550" width="18.5703125" style="216" bestFit="1" customWidth="1"/>
    <col min="1551" max="1551" width="13.7109375" style="216" customWidth="1"/>
    <col min="1552" max="1552" width="54.5703125" style="216" bestFit="1" customWidth="1"/>
    <col min="1553" max="1791" width="9.140625" style="216"/>
    <col min="1792" max="1792" width="2.85546875" style="216" customWidth="1"/>
    <col min="1793" max="1793" width="5" style="216" customWidth="1"/>
    <col min="1794" max="1794" width="62" style="216" customWidth="1"/>
    <col min="1795" max="1795" width="12.7109375" style="216" bestFit="1" customWidth="1"/>
    <col min="1796" max="1796" width="1.7109375" style="216" customWidth="1"/>
    <col min="1797" max="1799" width="15.7109375" style="216" customWidth="1"/>
    <col min="1800" max="1800" width="17.85546875" style="216" bestFit="1" customWidth="1"/>
    <col min="1801" max="1801" width="18.5703125" style="216" bestFit="1" customWidth="1"/>
    <col min="1802" max="1804" width="15.7109375" style="216" customWidth="1"/>
    <col min="1805" max="1805" width="20" style="216" customWidth="1"/>
    <col min="1806" max="1806" width="18.5703125" style="216" bestFit="1" customWidth="1"/>
    <col min="1807" max="1807" width="13.7109375" style="216" customWidth="1"/>
    <col min="1808" max="1808" width="54.5703125" style="216" bestFit="1" customWidth="1"/>
    <col min="1809" max="2047" width="9.140625" style="216"/>
    <col min="2048" max="2048" width="2.85546875" style="216" customWidth="1"/>
    <col min="2049" max="2049" width="5" style="216" customWidth="1"/>
    <col min="2050" max="2050" width="62" style="216" customWidth="1"/>
    <col min="2051" max="2051" width="12.7109375" style="216" bestFit="1" customWidth="1"/>
    <col min="2052" max="2052" width="1.7109375" style="216" customWidth="1"/>
    <col min="2053" max="2055" width="15.7109375" style="216" customWidth="1"/>
    <col min="2056" max="2056" width="17.85546875" style="216" bestFit="1" customWidth="1"/>
    <col min="2057" max="2057" width="18.5703125" style="216" bestFit="1" customWidth="1"/>
    <col min="2058" max="2060" width="15.7109375" style="216" customWidth="1"/>
    <col min="2061" max="2061" width="20" style="216" customWidth="1"/>
    <col min="2062" max="2062" width="18.5703125" style="216" bestFit="1" customWidth="1"/>
    <col min="2063" max="2063" width="13.7109375" style="216" customWidth="1"/>
    <col min="2064" max="2064" width="54.5703125" style="216" bestFit="1" customWidth="1"/>
    <col min="2065" max="2303" width="9.140625" style="216"/>
    <col min="2304" max="2304" width="2.85546875" style="216" customWidth="1"/>
    <col min="2305" max="2305" width="5" style="216" customWidth="1"/>
    <col min="2306" max="2306" width="62" style="216" customWidth="1"/>
    <col min="2307" max="2307" width="12.7109375" style="216" bestFit="1" customWidth="1"/>
    <col min="2308" max="2308" width="1.7109375" style="216" customWidth="1"/>
    <col min="2309" max="2311" width="15.7109375" style="216" customWidth="1"/>
    <col min="2312" max="2312" width="17.85546875" style="216" bestFit="1" customWidth="1"/>
    <col min="2313" max="2313" width="18.5703125" style="216" bestFit="1" customWidth="1"/>
    <col min="2314" max="2316" width="15.7109375" style="216" customWidth="1"/>
    <col min="2317" max="2317" width="20" style="216" customWidth="1"/>
    <col min="2318" max="2318" width="18.5703125" style="216" bestFit="1" customWidth="1"/>
    <col min="2319" max="2319" width="13.7109375" style="216" customWidth="1"/>
    <col min="2320" max="2320" width="54.5703125" style="216" bestFit="1" customWidth="1"/>
    <col min="2321" max="2559" width="9.140625" style="216"/>
    <col min="2560" max="2560" width="2.85546875" style="216" customWidth="1"/>
    <col min="2561" max="2561" width="5" style="216" customWidth="1"/>
    <col min="2562" max="2562" width="62" style="216" customWidth="1"/>
    <col min="2563" max="2563" width="12.7109375" style="216" bestFit="1" customWidth="1"/>
    <col min="2564" max="2564" width="1.7109375" style="216" customWidth="1"/>
    <col min="2565" max="2567" width="15.7109375" style="216" customWidth="1"/>
    <col min="2568" max="2568" width="17.85546875" style="216" bestFit="1" customWidth="1"/>
    <col min="2569" max="2569" width="18.5703125" style="216" bestFit="1" customWidth="1"/>
    <col min="2570" max="2572" width="15.7109375" style="216" customWidth="1"/>
    <col min="2573" max="2573" width="20" style="216" customWidth="1"/>
    <col min="2574" max="2574" width="18.5703125" style="216" bestFit="1" customWidth="1"/>
    <col min="2575" max="2575" width="13.7109375" style="216" customWidth="1"/>
    <col min="2576" max="2576" width="54.5703125" style="216" bestFit="1" customWidth="1"/>
    <col min="2577" max="2815" width="9.140625" style="216"/>
    <col min="2816" max="2816" width="2.85546875" style="216" customWidth="1"/>
    <col min="2817" max="2817" width="5" style="216" customWidth="1"/>
    <col min="2818" max="2818" width="62" style="216" customWidth="1"/>
    <col min="2819" max="2819" width="12.7109375" style="216" bestFit="1" customWidth="1"/>
    <col min="2820" max="2820" width="1.7109375" style="216" customWidth="1"/>
    <col min="2821" max="2823" width="15.7109375" style="216" customWidth="1"/>
    <col min="2824" max="2824" width="17.85546875" style="216" bestFit="1" customWidth="1"/>
    <col min="2825" max="2825" width="18.5703125" style="216" bestFit="1" customWidth="1"/>
    <col min="2826" max="2828" width="15.7109375" style="216" customWidth="1"/>
    <col min="2829" max="2829" width="20" style="216" customWidth="1"/>
    <col min="2830" max="2830" width="18.5703125" style="216" bestFit="1" customWidth="1"/>
    <col min="2831" max="2831" width="13.7109375" style="216" customWidth="1"/>
    <col min="2832" max="2832" width="54.5703125" style="216" bestFit="1" customWidth="1"/>
    <col min="2833" max="3071" width="9.140625" style="216"/>
    <col min="3072" max="3072" width="2.85546875" style="216" customWidth="1"/>
    <col min="3073" max="3073" width="5" style="216" customWidth="1"/>
    <col min="3074" max="3074" width="62" style="216" customWidth="1"/>
    <col min="3075" max="3075" width="12.7109375" style="216" bestFit="1" customWidth="1"/>
    <col min="3076" max="3076" width="1.7109375" style="216" customWidth="1"/>
    <col min="3077" max="3079" width="15.7109375" style="216" customWidth="1"/>
    <col min="3080" max="3080" width="17.85546875" style="216" bestFit="1" customWidth="1"/>
    <col min="3081" max="3081" width="18.5703125" style="216" bestFit="1" customWidth="1"/>
    <col min="3082" max="3084" width="15.7109375" style="216" customWidth="1"/>
    <col min="3085" max="3085" width="20" style="216" customWidth="1"/>
    <col min="3086" max="3086" width="18.5703125" style="216" bestFit="1" customWidth="1"/>
    <col min="3087" max="3087" width="13.7109375" style="216" customWidth="1"/>
    <col min="3088" max="3088" width="54.5703125" style="216" bestFit="1" customWidth="1"/>
    <col min="3089" max="3327" width="9.140625" style="216"/>
    <col min="3328" max="3328" width="2.85546875" style="216" customWidth="1"/>
    <col min="3329" max="3329" width="5" style="216" customWidth="1"/>
    <col min="3330" max="3330" width="62" style="216" customWidth="1"/>
    <col min="3331" max="3331" width="12.7109375" style="216" bestFit="1" customWidth="1"/>
    <col min="3332" max="3332" width="1.7109375" style="216" customWidth="1"/>
    <col min="3333" max="3335" width="15.7109375" style="216" customWidth="1"/>
    <col min="3336" max="3336" width="17.85546875" style="216" bestFit="1" customWidth="1"/>
    <col min="3337" max="3337" width="18.5703125" style="216" bestFit="1" customWidth="1"/>
    <col min="3338" max="3340" width="15.7109375" style="216" customWidth="1"/>
    <col min="3341" max="3341" width="20" style="216" customWidth="1"/>
    <col min="3342" max="3342" width="18.5703125" style="216" bestFit="1" customWidth="1"/>
    <col min="3343" max="3343" width="13.7109375" style="216" customWidth="1"/>
    <col min="3344" max="3344" width="54.5703125" style="216" bestFit="1" customWidth="1"/>
    <col min="3345" max="3583" width="9.140625" style="216"/>
    <col min="3584" max="3584" width="2.85546875" style="216" customWidth="1"/>
    <col min="3585" max="3585" width="5" style="216" customWidth="1"/>
    <col min="3586" max="3586" width="62" style="216" customWidth="1"/>
    <col min="3587" max="3587" width="12.7109375" style="216" bestFit="1" customWidth="1"/>
    <col min="3588" max="3588" width="1.7109375" style="216" customWidth="1"/>
    <col min="3589" max="3591" width="15.7109375" style="216" customWidth="1"/>
    <col min="3592" max="3592" width="17.85546875" style="216" bestFit="1" customWidth="1"/>
    <col min="3593" max="3593" width="18.5703125" style="216" bestFit="1" customWidth="1"/>
    <col min="3594" max="3596" width="15.7109375" style="216" customWidth="1"/>
    <col min="3597" max="3597" width="20" style="216" customWidth="1"/>
    <col min="3598" max="3598" width="18.5703125" style="216" bestFit="1" customWidth="1"/>
    <col min="3599" max="3599" width="13.7109375" style="216" customWidth="1"/>
    <col min="3600" max="3600" width="54.5703125" style="216" bestFit="1" customWidth="1"/>
    <col min="3601" max="3839" width="9.140625" style="216"/>
    <col min="3840" max="3840" width="2.85546875" style="216" customWidth="1"/>
    <col min="3841" max="3841" width="5" style="216" customWidth="1"/>
    <col min="3842" max="3842" width="62" style="216" customWidth="1"/>
    <col min="3843" max="3843" width="12.7109375" style="216" bestFit="1" customWidth="1"/>
    <col min="3844" max="3844" width="1.7109375" style="216" customWidth="1"/>
    <col min="3845" max="3847" width="15.7109375" style="216" customWidth="1"/>
    <col min="3848" max="3848" width="17.85546875" style="216" bestFit="1" customWidth="1"/>
    <col min="3849" max="3849" width="18.5703125" style="216" bestFit="1" customWidth="1"/>
    <col min="3850" max="3852" width="15.7109375" style="216" customWidth="1"/>
    <col min="3853" max="3853" width="20" style="216" customWidth="1"/>
    <col min="3854" max="3854" width="18.5703125" style="216" bestFit="1" customWidth="1"/>
    <col min="3855" max="3855" width="13.7109375" style="216" customWidth="1"/>
    <col min="3856" max="3856" width="54.5703125" style="216" bestFit="1" customWidth="1"/>
    <col min="3857" max="4095" width="9.140625" style="216"/>
    <col min="4096" max="4096" width="2.85546875" style="216" customWidth="1"/>
    <col min="4097" max="4097" width="5" style="216" customWidth="1"/>
    <col min="4098" max="4098" width="62" style="216" customWidth="1"/>
    <col min="4099" max="4099" width="12.7109375" style="216" bestFit="1" customWidth="1"/>
    <col min="4100" max="4100" width="1.7109375" style="216" customWidth="1"/>
    <col min="4101" max="4103" width="15.7109375" style="216" customWidth="1"/>
    <col min="4104" max="4104" width="17.85546875" style="216" bestFit="1" customWidth="1"/>
    <col min="4105" max="4105" width="18.5703125" style="216" bestFit="1" customWidth="1"/>
    <col min="4106" max="4108" width="15.7109375" style="216" customWidth="1"/>
    <col min="4109" max="4109" width="20" style="216" customWidth="1"/>
    <col min="4110" max="4110" width="18.5703125" style="216" bestFit="1" customWidth="1"/>
    <col min="4111" max="4111" width="13.7109375" style="216" customWidth="1"/>
    <col min="4112" max="4112" width="54.5703125" style="216" bestFit="1" customWidth="1"/>
    <col min="4113" max="4351" width="9.140625" style="216"/>
    <col min="4352" max="4352" width="2.85546875" style="216" customWidth="1"/>
    <col min="4353" max="4353" width="5" style="216" customWidth="1"/>
    <col min="4354" max="4354" width="62" style="216" customWidth="1"/>
    <col min="4355" max="4355" width="12.7109375" style="216" bestFit="1" customWidth="1"/>
    <col min="4356" max="4356" width="1.7109375" style="216" customWidth="1"/>
    <col min="4357" max="4359" width="15.7109375" style="216" customWidth="1"/>
    <col min="4360" max="4360" width="17.85546875" style="216" bestFit="1" customWidth="1"/>
    <col min="4361" max="4361" width="18.5703125" style="216" bestFit="1" customWidth="1"/>
    <col min="4362" max="4364" width="15.7109375" style="216" customWidth="1"/>
    <col min="4365" max="4365" width="20" style="216" customWidth="1"/>
    <col min="4366" max="4366" width="18.5703125" style="216" bestFit="1" customWidth="1"/>
    <col min="4367" max="4367" width="13.7109375" style="216" customWidth="1"/>
    <col min="4368" max="4368" width="54.5703125" style="216" bestFit="1" customWidth="1"/>
    <col min="4369" max="4607" width="9.140625" style="216"/>
    <col min="4608" max="4608" width="2.85546875" style="216" customWidth="1"/>
    <col min="4609" max="4609" width="5" style="216" customWidth="1"/>
    <col min="4610" max="4610" width="62" style="216" customWidth="1"/>
    <col min="4611" max="4611" width="12.7109375" style="216" bestFit="1" customWidth="1"/>
    <col min="4612" max="4612" width="1.7109375" style="216" customWidth="1"/>
    <col min="4613" max="4615" width="15.7109375" style="216" customWidth="1"/>
    <col min="4616" max="4616" width="17.85546875" style="216" bestFit="1" customWidth="1"/>
    <col min="4617" max="4617" width="18.5703125" style="216" bestFit="1" customWidth="1"/>
    <col min="4618" max="4620" width="15.7109375" style="216" customWidth="1"/>
    <col min="4621" max="4621" width="20" style="216" customWidth="1"/>
    <col min="4622" max="4622" width="18.5703125" style="216" bestFit="1" customWidth="1"/>
    <col min="4623" max="4623" width="13.7109375" style="216" customWidth="1"/>
    <col min="4624" max="4624" width="54.5703125" style="216" bestFit="1" customWidth="1"/>
    <col min="4625" max="4863" width="9.140625" style="216"/>
    <col min="4864" max="4864" width="2.85546875" style="216" customWidth="1"/>
    <col min="4865" max="4865" width="5" style="216" customWidth="1"/>
    <col min="4866" max="4866" width="62" style="216" customWidth="1"/>
    <col min="4867" max="4867" width="12.7109375" style="216" bestFit="1" customWidth="1"/>
    <col min="4868" max="4868" width="1.7109375" style="216" customWidth="1"/>
    <col min="4869" max="4871" width="15.7109375" style="216" customWidth="1"/>
    <col min="4872" max="4872" width="17.85546875" style="216" bestFit="1" customWidth="1"/>
    <col min="4873" max="4873" width="18.5703125" style="216" bestFit="1" customWidth="1"/>
    <col min="4874" max="4876" width="15.7109375" style="216" customWidth="1"/>
    <col min="4877" max="4877" width="20" style="216" customWidth="1"/>
    <col min="4878" max="4878" width="18.5703125" style="216" bestFit="1" customWidth="1"/>
    <col min="4879" max="4879" width="13.7109375" style="216" customWidth="1"/>
    <col min="4880" max="4880" width="54.5703125" style="216" bestFit="1" customWidth="1"/>
    <col min="4881" max="5119" width="9.140625" style="216"/>
    <col min="5120" max="5120" width="2.85546875" style="216" customWidth="1"/>
    <col min="5121" max="5121" width="5" style="216" customWidth="1"/>
    <col min="5122" max="5122" width="62" style="216" customWidth="1"/>
    <col min="5123" max="5123" width="12.7109375" style="216" bestFit="1" customWidth="1"/>
    <col min="5124" max="5124" width="1.7109375" style="216" customWidth="1"/>
    <col min="5125" max="5127" width="15.7109375" style="216" customWidth="1"/>
    <col min="5128" max="5128" width="17.85546875" style="216" bestFit="1" customWidth="1"/>
    <col min="5129" max="5129" width="18.5703125" style="216" bestFit="1" customWidth="1"/>
    <col min="5130" max="5132" width="15.7109375" style="216" customWidth="1"/>
    <col min="5133" max="5133" width="20" style="216" customWidth="1"/>
    <col min="5134" max="5134" width="18.5703125" style="216" bestFit="1" customWidth="1"/>
    <col min="5135" max="5135" width="13.7109375" style="216" customWidth="1"/>
    <col min="5136" max="5136" width="54.5703125" style="216" bestFit="1" customWidth="1"/>
    <col min="5137" max="5375" width="9.140625" style="216"/>
    <col min="5376" max="5376" width="2.85546875" style="216" customWidth="1"/>
    <col min="5377" max="5377" width="5" style="216" customWidth="1"/>
    <col min="5378" max="5378" width="62" style="216" customWidth="1"/>
    <col min="5379" max="5379" width="12.7109375" style="216" bestFit="1" customWidth="1"/>
    <col min="5380" max="5380" width="1.7109375" style="216" customWidth="1"/>
    <col min="5381" max="5383" width="15.7109375" style="216" customWidth="1"/>
    <col min="5384" max="5384" width="17.85546875" style="216" bestFit="1" customWidth="1"/>
    <col min="5385" max="5385" width="18.5703125" style="216" bestFit="1" customWidth="1"/>
    <col min="5386" max="5388" width="15.7109375" style="216" customWidth="1"/>
    <col min="5389" max="5389" width="20" style="216" customWidth="1"/>
    <col min="5390" max="5390" width="18.5703125" style="216" bestFit="1" customWidth="1"/>
    <col min="5391" max="5391" width="13.7109375" style="216" customWidth="1"/>
    <col min="5392" max="5392" width="54.5703125" style="216" bestFit="1" customWidth="1"/>
    <col min="5393" max="5631" width="9.140625" style="216"/>
    <col min="5632" max="5632" width="2.85546875" style="216" customWidth="1"/>
    <col min="5633" max="5633" width="5" style="216" customWidth="1"/>
    <col min="5634" max="5634" width="62" style="216" customWidth="1"/>
    <col min="5635" max="5635" width="12.7109375" style="216" bestFit="1" customWidth="1"/>
    <col min="5636" max="5636" width="1.7109375" style="216" customWidth="1"/>
    <col min="5637" max="5639" width="15.7109375" style="216" customWidth="1"/>
    <col min="5640" max="5640" width="17.85546875" style="216" bestFit="1" customWidth="1"/>
    <col min="5641" max="5641" width="18.5703125" style="216" bestFit="1" customWidth="1"/>
    <col min="5642" max="5644" width="15.7109375" style="216" customWidth="1"/>
    <col min="5645" max="5645" width="20" style="216" customWidth="1"/>
    <col min="5646" max="5646" width="18.5703125" style="216" bestFit="1" customWidth="1"/>
    <col min="5647" max="5647" width="13.7109375" style="216" customWidth="1"/>
    <col min="5648" max="5648" width="54.5703125" style="216" bestFit="1" customWidth="1"/>
    <col min="5649" max="5887" width="9.140625" style="216"/>
    <col min="5888" max="5888" width="2.85546875" style="216" customWidth="1"/>
    <col min="5889" max="5889" width="5" style="216" customWidth="1"/>
    <col min="5890" max="5890" width="62" style="216" customWidth="1"/>
    <col min="5891" max="5891" width="12.7109375" style="216" bestFit="1" customWidth="1"/>
    <col min="5892" max="5892" width="1.7109375" style="216" customWidth="1"/>
    <col min="5893" max="5895" width="15.7109375" style="216" customWidth="1"/>
    <col min="5896" max="5896" width="17.85546875" style="216" bestFit="1" customWidth="1"/>
    <col min="5897" max="5897" width="18.5703125" style="216" bestFit="1" customWidth="1"/>
    <col min="5898" max="5900" width="15.7109375" style="216" customWidth="1"/>
    <col min="5901" max="5901" width="20" style="216" customWidth="1"/>
    <col min="5902" max="5902" width="18.5703125" style="216" bestFit="1" customWidth="1"/>
    <col min="5903" max="5903" width="13.7109375" style="216" customWidth="1"/>
    <col min="5904" max="5904" width="54.5703125" style="216" bestFit="1" customWidth="1"/>
    <col min="5905" max="6143" width="9.140625" style="216"/>
    <col min="6144" max="6144" width="2.85546875" style="216" customWidth="1"/>
    <col min="6145" max="6145" width="5" style="216" customWidth="1"/>
    <col min="6146" max="6146" width="62" style="216" customWidth="1"/>
    <col min="6147" max="6147" width="12.7109375" style="216" bestFit="1" customWidth="1"/>
    <col min="6148" max="6148" width="1.7109375" style="216" customWidth="1"/>
    <col min="6149" max="6151" width="15.7109375" style="216" customWidth="1"/>
    <col min="6152" max="6152" width="17.85546875" style="216" bestFit="1" customWidth="1"/>
    <col min="6153" max="6153" width="18.5703125" style="216" bestFit="1" customWidth="1"/>
    <col min="6154" max="6156" width="15.7109375" style="216" customWidth="1"/>
    <col min="6157" max="6157" width="20" style="216" customWidth="1"/>
    <col min="6158" max="6158" width="18.5703125" style="216" bestFit="1" customWidth="1"/>
    <col min="6159" max="6159" width="13.7109375" style="216" customWidth="1"/>
    <col min="6160" max="6160" width="54.5703125" style="216" bestFit="1" customWidth="1"/>
    <col min="6161" max="6399" width="9.140625" style="216"/>
    <col min="6400" max="6400" width="2.85546875" style="216" customWidth="1"/>
    <col min="6401" max="6401" width="5" style="216" customWidth="1"/>
    <col min="6402" max="6402" width="62" style="216" customWidth="1"/>
    <col min="6403" max="6403" width="12.7109375" style="216" bestFit="1" customWidth="1"/>
    <col min="6404" max="6404" width="1.7109375" style="216" customWidth="1"/>
    <col min="6405" max="6407" width="15.7109375" style="216" customWidth="1"/>
    <col min="6408" max="6408" width="17.85546875" style="216" bestFit="1" customWidth="1"/>
    <col min="6409" max="6409" width="18.5703125" style="216" bestFit="1" customWidth="1"/>
    <col min="6410" max="6412" width="15.7109375" style="216" customWidth="1"/>
    <col min="6413" max="6413" width="20" style="216" customWidth="1"/>
    <col min="6414" max="6414" width="18.5703125" style="216" bestFit="1" customWidth="1"/>
    <col min="6415" max="6415" width="13.7109375" style="216" customWidth="1"/>
    <col min="6416" max="6416" width="54.5703125" style="216" bestFit="1" customWidth="1"/>
    <col min="6417" max="6655" width="9.140625" style="216"/>
    <col min="6656" max="6656" width="2.85546875" style="216" customWidth="1"/>
    <col min="6657" max="6657" width="5" style="216" customWidth="1"/>
    <col min="6658" max="6658" width="62" style="216" customWidth="1"/>
    <col min="6659" max="6659" width="12.7109375" style="216" bestFit="1" customWidth="1"/>
    <col min="6660" max="6660" width="1.7109375" style="216" customWidth="1"/>
    <col min="6661" max="6663" width="15.7109375" style="216" customWidth="1"/>
    <col min="6664" max="6664" width="17.85546875" style="216" bestFit="1" customWidth="1"/>
    <col min="6665" max="6665" width="18.5703125" style="216" bestFit="1" customWidth="1"/>
    <col min="6666" max="6668" width="15.7109375" style="216" customWidth="1"/>
    <col min="6669" max="6669" width="20" style="216" customWidth="1"/>
    <col min="6670" max="6670" width="18.5703125" style="216" bestFit="1" customWidth="1"/>
    <col min="6671" max="6671" width="13.7109375" style="216" customWidth="1"/>
    <col min="6672" max="6672" width="54.5703125" style="216" bestFit="1" customWidth="1"/>
    <col min="6673" max="6911" width="9.140625" style="216"/>
    <col min="6912" max="6912" width="2.85546875" style="216" customWidth="1"/>
    <col min="6913" max="6913" width="5" style="216" customWidth="1"/>
    <col min="6914" max="6914" width="62" style="216" customWidth="1"/>
    <col min="6915" max="6915" width="12.7109375" style="216" bestFit="1" customWidth="1"/>
    <col min="6916" max="6916" width="1.7109375" style="216" customWidth="1"/>
    <col min="6917" max="6919" width="15.7109375" style="216" customWidth="1"/>
    <col min="6920" max="6920" width="17.85546875" style="216" bestFit="1" customWidth="1"/>
    <col min="6921" max="6921" width="18.5703125" style="216" bestFit="1" customWidth="1"/>
    <col min="6922" max="6924" width="15.7109375" style="216" customWidth="1"/>
    <col min="6925" max="6925" width="20" style="216" customWidth="1"/>
    <col min="6926" max="6926" width="18.5703125" style="216" bestFit="1" customWidth="1"/>
    <col min="6927" max="6927" width="13.7109375" style="216" customWidth="1"/>
    <col min="6928" max="6928" width="54.5703125" style="216" bestFit="1" customWidth="1"/>
    <col min="6929" max="7167" width="9.140625" style="216"/>
    <col min="7168" max="7168" width="2.85546875" style="216" customWidth="1"/>
    <col min="7169" max="7169" width="5" style="216" customWidth="1"/>
    <col min="7170" max="7170" width="62" style="216" customWidth="1"/>
    <col min="7171" max="7171" width="12.7109375" style="216" bestFit="1" customWidth="1"/>
    <col min="7172" max="7172" width="1.7109375" style="216" customWidth="1"/>
    <col min="7173" max="7175" width="15.7109375" style="216" customWidth="1"/>
    <col min="7176" max="7176" width="17.85546875" style="216" bestFit="1" customWidth="1"/>
    <col min="7177" max="7177" width="18.5703125" style="216" bestFit="1" customWidth="1"/>
    <col min="7178" max="7180" width="15.7109375" style="216" customWidth="1"/>
    <col min="7181" max="7181" width="20" style="216" customWidth="1"/>
    <col min="7182" max="7182" width="18.5703125" style="216" bestFit="1" customWidth="1"/>
    <col min="7183" max="7183" width="13.7109375" style="216" customWidth="1"/>
    <col min="7184" max="7184" width="54.5703125" style="216" bestFit="1" customWidth="1"/>
    <col min="7185" max="7423" width="9.140625" style="216"/>
    <col min="7424" max="7424" width="2.85546875" style="216" customWidth="1"/>
    <col min="7425" max="7425" width="5" style="216" customWidth="1"/>
    <col min="7426" max="7426" width="62" style="216" customWidth="1"/>
    <col min="7427" max="7427" width="12.7109375" style="216" bestFit="1" customWidth="1"/>
    <col min="7428" max="7428" width="1.7109375" style="216" customWidth="1"/>
    <col min="7429" max="7431" width="15.7109375" style="216" customWidth="1"/>
    <col min="7432" max="7432" width="17.85546875" style="216" bestFit="1" customWidth="1"/>
    <col min="7433" max="7433" width="18.5703125" style="216" bestFit="1" customWidth="1"/>
    <col min="7434" max="7436" width="15.7109375" style="216" customWidth="1"/>
    <col min="7437" max="7437" width="20" style="216" customWidth="1"/>
    <col min="7438" max="7438" width="18.5703125" style="216" bestFit="1" customWidth="1"/>
    <col min="7439" max="7439" width="13.7109375" style="216" customWidth="1"/>
    <col min="7440" max="7440" width="54.5703125" style="216" bestFit="1" customWidth="1"/>
    <col min="7441" max="7679" width="9.140625" style="216"/>
    <col min="7680" max="7680" width="2.85546875" style="216" customWidth="1"/>
    <col min="7681" max="7681" width="5" style="216" customWidth="1"/>
    <col min="7682" max="7682" width="62" style="216" customWidth="1"/>
    <col min="7683" max="7683" width="12.7109375" style="216" bestFit="1" customWidth="1"/>
    <col min="7684" max="7684" width="1.7109375" style="216" customWidth="1"/>
    <col min="7685" max="7687" width="15.7109375" style="216" customWidth="1"/>
    <col min="7688" max="7688" width="17.85546875" style="216" bestFit="1" customWidth="1"/>
    <col min="7689" max="7689" width="18.5703125" style="216" bestFit="1" customWidth="1"/>
    <col min="7690" max="7692" width="15.7109375" style="216" customWidth="1"/>
    <col min="7693" max="7693" width="20" style="216" customWidth="1"/>
    <col min="7694" max="7694" width="18.5703125" style="216" bestFit="1" customWidth="1"/>
    <col min="7695" max="7695" width="13.7109375" style="216" customWidth="1"/>
    <col min="7696" max="7696" width="54.5703125" style="216" bestFit="1" customWidth="1"/>
    <col min="7697" max="7935" width="9.140625" style="216"/>
    <col min="7936" max="7936" width="2.85546875" style="216" customWidth="1"/>
    <col min="7937" max="7937" width="5" style="216" customWidth="1"/>
    <col min="7938" max="7938" width="62" style="216" customWidth="1"/>
    <col min="7939" max="7939" width="12.7109375" style="216" bestFit="1" customWidth="1"/>
    <col min="7940" max="7940" width="1.7109375" style="216" customWidth="1"/>
    <col min="7941" max="7943" width="15.7109375" style="216" customWidth="1"/>
    <col min="7944" max="7944" width="17.85546875" style="216" bestFit="1" customWidth="1"/>
    <col min="7945" max="7945" width="18.5703125" style="216" bestFit="1" customWidth="1"/>
    <col min="7946" max="7948" width="15.7109375" style="216" customWidth="1"/>
    <col min="7949" max="7949" width="20" style="216" customWidth="1"/>
    <col min="7950" max="7950" width="18.5703125" style="216" bestFit="1" customWidth="1"/>
    <col min="7951" max="7951" width="13.7109375" style="216" customWidth="1"/>
    <col min="7952" max="7952" width="54.5703125" style="216" bestFit="1" customWidth="1"/>
    <col min="7953" max="8191" width="9.140625" style="216"/>
    <col min="8192" max="8192" width="2.85546875" style="216" customWidth="1"/>
    <col min="8193" max="8193" width="5" style="216" customWidth="1"/>
    <col min="8194" max="8194" width="62" style="216" customWidth="1"/>
    <col min="8195" max="8195" width="12.7109375" style="216" bestFit="1" customWidth="1"/>
    <col min="8196" max="8196" width="1.7109375" style="216" customWidth="1"/>
    <col min="8197" max="8199" width="15.7109375" style="216" customWidth="1"/>
    <col min="8200" max="8200" width="17.85546875" style="216" bestFit="1" customWidth="1"/>
    <col min="8201" max="8201" width="18.5703125" style="216" bestFit="1" customWidth="1"/>
    <col min="8202" max="8204" width="15.7109375" style="216" customWidth="1"/>
    <col min="8205" max="8205" width="20" style="216" customWidth="1"/>
    <col min="8206" max="8206" width="18.5703125" style="216" bestFit="1" customWidth="1"/>
    <col min="8207" max="8207" width="13.7109375" style="216" customWidth="1"/>
    <col min="8208" max="8208" width="54.5703125" style="216" bestFit="1" customWidth="1"/>
    <col min="8209" max="8447" width="9.140625" style="216"/>
    <col min="8448" max="8448" width="2.85546875" style="216" customWidth="1"/>
    <col min="8449" max="8449" width="5" style="216" customWidth="1"/>
    <col min="8450" max="8450" width="62" style="216" customWidth="1"/>
    <col min="8451" max="8451" width="12.7109375" style="216" bestFit="1" customWidth="1"/>
    <col min="8452" max="8452" width="1.7109375" style="216" customWidth="1"/>
    <col min="8453" max="8455" width="15.7109375" style="216" customWidth="1"/>
    <col min="8456" max="8456" width="17.85546875" style="216" bestFit="1" customWidth="1"/>
    <col min="8457" max="8457" width="18.5703125" style="216" bestFit="1" customWidth="1"/>
    <col min="8458" max="8460" width="15.7109375" style="216" customWidth="1"/>
    <col min="8461" max="8461" width="20" style="216" customWidth="1"/>
    <col min="8462" max="8462" width="18.5703125" style="216" bestFit="1" customWidth="1"/>
    <col min="8463" max="8463" width="13.7109375" style="216" customWidth="1"/>
    <col min="8464" max="8464" width="54.5703125" style="216" bestFit="1" customWidth="1"/>
    <col min="8465" max="8703" width="9.140625" style="216"/>
    <col min="8704" max="8704" width="2.85546875" style="216" customWidth="1"/>
    <col min="8705" max="8705" width="5" style="216" customWidth="1"/>
    <col min="8706" max="8706" width="62" style="216" customWidth="1"/>
    <col min="8707" max="8707" width="12.7109375" style="216" bestFit="1" customWidth="1"/>
    <col min="8708" max="8708" width="1.7109375" style="216" customWidth="1"/>
    <col min="8709" max="8711" width="15.7109375" style="216" customWidth="1"/>
    <col min="8712" max="8712" width="17.85546875" style="216" bestFit="1" customWidth="1"/>
    <col min="8713" max="8713" width="18.5703125" style="216" bestFit="1" customWidth="1"/>
    <col min="8714" max="8716" width="15.7109375" style="216" customWidth="1"/>
    <col min="8717" max="8717" width="20" style="216" customWidth="1"/>
    <col min="8718" max="8718" width="18.5703125" style="216" bestFit="1" customWidth="1"/>
    <col min="8719" max="8719" width="13.7109375" style="216" customWidth="1"/>
    <col min="8720" max="8720" width="54.5703125" style="216" bestFit="1" customWidth="1"/>
    <col min="8721" max="8959" width="9.140625" style="216"/>
    <col min="8960" max="8960" width="2.85546875" style="216" customWidth="1"/>
    <col min="8961" max="8961" width="5" style="216" customWidth="1"/>
    <col min="8962" max="8962" width="62" style="216" customWidth="1"/>
    <col min="8963" max="8963" width="12.7109375" style="216" bestFit="1" customWidth="1"/>
    <col min="8964" max="8964" width="1.7109375" style="216" customWidth="1"/>
    <col min="8965" max="8967" width="15.7109375" style="216" customWidth="1"/>
    <col min="8968" max="8968" width="17.85546875" style="216" bestFit="1" customWidth="1"/>
    <col min="8969" max="8969" width="18.5703125" style="216" bestFit="1" customWidth="1"/>
    <col min="8970" max="8972" width="15.7109375" style="216" customWidth="1"/>
    <col min="8973" max="8973" width="20" style="216" customWidth="1"/>
    <col min="8974" max="8974" width="18.5703125" style="216" bestFit="1" customWidth="1"/>
    <col min="8975" max="8975" width="13.7109375" style="216" customWidth="1"/>
    <col min="8976" max="8976" width="54.5703125" style="216" bestFit="1" customWidth="1"/>
    <col min="8977" max="9215" width="9.140625" style="216"/>
    <col min="9216" max="9216" width="2.85546875" style="216" customWidth="1"/>
    <col min="9217" max="9217" width="5" style="216" customWidth="1"/>
    <col min="9218" max="9218" width="62" style="216" customWidth="1"/>
    <col min="9219" max="9219" width="12.7109375" style="216" bestFit="1" customWidth="1"/>
    <col min="9220" max="9220" width="1.7109375" style="216" customWidth="1"/>
    <col min="9221" max="9223" width="15.7109375" style="216" customWidth="1"/>
    <col min="9224" max="9224" width="17.85546875" style="216" bestFit="1" customWidth="1"/>
    <col min="9225" max="9225" width="18.5703125" style="216" bestFit="1" customWidth="1"/>
    <col min="9226" max="9228" width="15.7109375" style="216" customWidth="1"/>
    <col min="9229" max="9229" width="20" style="216" customWidth="1"/>
    <col min="9230" max="9230" width="18.5703125" style="216" bestFit="1" customWidth="1"/>
    <col min="9231" max="9231" width="13.7109375" style="216" customWidth="1"/>
    <col min="9232" max="9232" width="54.5703125" style="216" bestFit="1" customWidth="1"/>
    <col min="9233" max="9471" width="9.140625" style="216"/>
    <col min="9472" max="9472" width="2.85546875" style="216" customWidth="1"/>
    <col min="9473" max="9473" width="5" style="216" customWidth="1"/>
    <col min="9474" max="9474" width="62" style="216" customWidth="1"/>
    <col min="9475" max="9475" width="12.7109375" style="216" bestFit="1" customWidth="1"/>
    <col min="9476" max="9476" width="1.7109375" style="216" customWidth="1"/>
    <col min="9477" max="9479" width="15.7109375" style="216" customWidth="1"/>
    <col min="9480" max="9480" width="17.85546875" style="216" bestFit="1" customWidth="1"/>
    <col min="9481" max="9481" width="18.5703125" style="216" bestFit="1" customWidth="1"/>
    <col min="9482" max="9484" width="15.7109375" style="216" customWidth="1"/>
    <col min="9485" max="9485" width="20" style="216" customWidth="1"/>
    <col min="9486" max="9486" width="18.5703125" style="216" bestFit="1" customWidth="1"/>
    <col min="9487" max="9487" width="13.7109375" style="216" customWidth="1"/>
    <col min="9488" max="9488" width="54.5703125" style="216" bestFit="1" customWidth="1"/>
    <col min="9489" max="9727" width="9.140625" style="216"/>
    <col min="9728" max="9728" width="2.85546875" style="216" customWidth="1"/>
    <col min="9729" max="9729" width="5" style="216" customWidth="1"/>
    <col min="9730" max="9730" width="62" style="216" customWidth="1"/>
    <col min="9731" max="9731" width="12.7109375" style="216" bestFit="1" customWidth="1"/>
    <col min="9732" max="9732" width="1.7109375" style="216" customWidth="1"/>
    <col min="9733" max="9735" width="15.7109375" style="216" customWidth="1"/>
    <col min="9736" max="9736" width="17.85546875" style="216" bestFit="1" customWidth="1"/>
    <col min="9737" max="9737" width="18.5703125" style="216" bestFit="1" customWidth="1"/>
    <col min="9738" max="9740" width="15.7109375" style="216" customWidth="1"/>
    <col min="9741" max="9741" width="20" style="216" customWidth="1"/>
    <col min="9742" max="9742" width="18.5703125" style="216" bestFit="1" customWidth="1"/>
    <col min="9743" max="9743" width="13.7109375" style="216" customWidth="1"/>
    <col min="9744" max="9744" width="54.5703125" style="216" bestFit="1" customWidth="1"/>
    <col min="9745" max="9983" width="9.140625" style="216"/>
    <col min="9984" max="9984" width="2.85546875" style="216" customWidth="1"/>
    <col min="9985" max="9985" width="5" style="216" customWidth="1"/>
    <col min="9986" max="9986" width="62" style="216" customWidth="1"/>
    <col min="9987" max="9987" width="12.7109375" style="216" bestFit="1" customWidth="1"/>
    <col min="9988" max="9988" width="1.7109375" style="216" customWidth="1"/>
    <col min="9989" max="9991" width="15.7109375" style="216" customWidth="1"/>
    <col min="9992" max="9992" width="17.85546875" style="216" bestFit="1" customWidth="1"/>
    <col min="9993" max="9993" width="18.5703125" style="216" bestFit="1" customWidth="1"/>
    <col min="9994" max="9996" width="15.7109375" style="216" customWidth="1"/>
    <col min="9997" max="9997" width="20" style="216" customWidth="1"/>
    <col min="9998" max="9998" width="18.5703125" style="216" bestFit="1" customWidth="1"/>
    <col min="9999" max="9999" width="13.7109375" style="216" customWidth="1"/>
    <col min="10000" max="10000" width="54.5703125" style="216" bestFit="1" customWidth="1"/>
    <col min="10001" max="10239" width="9.140625" style="216"/>
    <col min="10240" max="10240" width="2.85546875" style="216" customWidth="1"/>
    <col min="10241" max="10241" width="5" style="216" customWidth="1"/>
    <col min="10242" max="10242" width="62" style="216" customWidth="1"/>
    <col min="10243" max="10243" width="12.7109375" style="216" bestFit="1" customWidth="1"/>
    <col min="10244" max="10244" width="1.7109375" style="216" customWidth="1"/>
    <col min="10245" max="10247" width="15.7109375" style="216" customWidth="1"/>
    <col min="10248" max="10248" width="17.85546875" style="216" bestFit="1" customWidth="1"/>
    <col min="10249" max="10249" width="18.5703125" style="216" bestFit="1" customWidth="1"/>
    <col min="10250" max="10252" width="15.7109375" style="216" customWidth="1"/>
    <col min="10253" max="10253" width="20" style="216" customWidth="1"/>
    <col min="10254" max="10254" width="18.5703125" style="216" bestFit="1" customWidth="1"/>
    <col min="10255" max="10255" width="13.7109375" style="216" customWidth="1"/>
    <col min="10256" max="10256" width="54.5703125" style="216" bestFit="1" customWidth="1"/>
    <col min="10257" max="10495" width="9.140625" style="216"/>
    <col min="10496" max="10496" width="2.85546875" style="216" customWidth="1"/>
    <col min="10497" max="10497" width="5" style="216" customWidth="1"/>
    <col min="10498" max="10498" width="62" style="216" customWidth="1"/>
    <col min="10499" max="10499" width="12.7109375" style="216" bestFit="1" customWidth="1"/>
    <col min="10500" max="10500" width="1.7109375" style="216" customWidth="1"/>
    <col min="10501" max="10503" width="15.7109375" style="216" customWidth="1"/>
    <col min="10504" max="10504" width="17.85546875" style="216" bestFit="1" customWidth="1"/>
    <col min="10505" max="10505" width="18.5703125" style="216" bestFit="1" customWidth="1"/>
    <col min="10506" max="10508" width="15.7109375" style="216" customWidth="1"/>
    <col min="10509" max="10509" width="20" style="216" customWidth="1"/>
    <col min="10510" max="10510" width="18.5703125" style="216" bestFit="1" customWidth="1"/>
    <col min="10511" max="10511" width="13.7109375" style="216" customWidth="1"/>
    <col min="10512" max="10512" width="54.5703125" style="216" bestFit="1" customWidth="1"/>
    <col min="10513" max="10751" width="9.140625" style="216"/>
    <col min="10752" max="10752" width="2.85546875" style="216" customWidth="1"/>
    <col min="10753" max="10753" width="5" style="216" customWidth="1"/>
    <col min="10754" max="10754" width="62" style="216" customWidth="1"/>
    <col min="10755" max="10755" width="12.7109375" style="216" bestFit="1" customWidth="1"/>
    <col min="10756" max="10756" width="1.7109375" style="216" customWidth="1"/>
    <col min="10757" max="10759" width="15.7109375" style="216" customWidth="1"/>
    <col min="10760" max="10760" width="17.85546875" style="216" bestFit="1" customWidth="1"/>
    <col min="10761" max="10761" width="18.5703125" style="216" bestFit="1" customWidth="1"/>
    <col min="10762" max="10764" width="15.7109375" style="216" customWidth="1"/>
    <col min="10765" max="10765" width="20" style="216" customWidth="1"/>
    <col min="10766" max="10766" width="18.5703125" style="216" bestFit="1" customWidth="1"/>
    <col min="10767" max="10767" width="13.7109375" style="216" customWidth="1"/>
    <col min="10768" max="10768" width="54.5703125" style="216" bestFit="1" customWidth="1"/>
    <col min="10769" max="11007" width="9.140625" style="216"/>
    <col min="11008" max="11008" width="2.85546875" style="216" customWidth="1"/>
    <col min="11009" max="11009" width="5" style="216" customWidth="1"/>
    <col min="11010" max="11010" width="62" style="216" customWidth="1"/>
    <col min="11011" max="11011" width="12.7109375" style="216" bestFit="1" customWidth="1"/>
    <col min="11012" max="11012" width="1.7109375" style="216" customWidth="1"/>
    <col min="11013" max="11015" width="15.7109375" style="216" customWidth="1"/>
    <col min="11016" max="11016" width="17.85546875" style="216" bestFit="1" customWidth="1"/>
    <col min="11017" max="11017" width="18.5703125" style="216" bestFit="1" customWidth="1"/>
    <col min="11018" max="11020" width="15.7109375" style="216" customWidth="1"/>
    <col min="11021" max="11021" width="20" style="216" customWidth="1"/>
    <col min="11022" max="11022" width="18.5703125" style="216" bestFit="1" customWidth="1"/>
    <col min="11023" max="11023" width="13.7109375" style="216" customWidth="1"/>
    <col min="11024" max="11024" width="54.5703125" style="216" bestFit="1" customWidth="1"/>
    <col min="11025" max="11263" width="9.140625" style="216"/>
    <col min="11264" max="11264" width="2.85546875" style="216" customWidth="1"/>
    <col min="11265" max="11265" width="5" style="216" customWidth="1"/>
    <col min="11266" max="11266" width="62" style="216" customWidth="1"/>
    <col min="11267" max="11267" width="12.7109375" style="216" bestFit="1" customWidth="1"/>
    <col min="11268" max="11268" width="1.7109375" style="216" customWidth="1"/>
    <col min="11269" max="11271" width="15.7109375" style="216" customWidth="1"/>
    <col min="11272" max="11272" width="17.85546875" style="216" bestFit="1" customWidth="1"/>
    <col min="11273" max="11273" width="18.5703125" style="216" bestFit="1" customWidth="1"/>
    <col min="11274" max="11276" width="15.7109375" style="216" customWidth="1"/>
    <col min="11277" max="11277" width="20" style="216" customWidth="1"/>
    <col min="11278" max="11278" width="18.5703125" style="216" bestFit="1" customWidth="1"/>
    <col min="11279" max="11279" width="13.7109375" style="216" customWidth="1"/>
    <col min="11280" max="11280" width="54.5703125" style="216" bestFit="1" customWidth="1"/>
    <col min="11281" max="11519" width="9.140625" style="216"/>
    <col min="11520" max="11520" width="2.85546875" style="216" customWidth="1"/>
    <col min="11521" max="11521" width="5" style="216" customWidth="1"/>
    <col min="11522" max="11522" width="62" style="216" customWidth="1"/>
    <col min="11523" max="11523" width="12.7109375" style="216" bestFit="1" customWidth="1"/>
    <col min="11524" max="11524" width="1.7109375" style="216" customWidth="1"/>
    <col min="11525" max="11527" width="15.7109375" style="216" customWidth="1"/>
    <col min="11528" max="11528" width="17.85546875" style="216" bestFit="1" customWidth="1"/>
    <col min="11529" max="11529" width="18.5703125" style="216" bestFit="1" customWidth="1"/>
    <col min="11530" max="11532" width="15.7109375" style="216" customWidth="1"/>
    <col min="11533" max="11533" width="20" style="216" customWidth="1"/>
    <col min="11534" max="11534" width="18.5703125" style="216" bestFit="1" customWidth="1"/>
    <col min="11535" max="11535" width="13.7109375" style="216" customWidth="1"/>
    <col min="11536" max="11536" width="54.5703125" style="216" bestFit="1" customWidth="1"/>
    <col min="11537" max="11775" width="9.140625" style="216"/>
    <col min="11776" max="11776" width="2.85546875" style="216" customWidth="1"/>
    <col min="11777" max="11777" width="5" style="216" customWidth="1"/>
    <col min="11778" max="11778" width="62" style="216" customWidth="1"/>
    <col min="11779" max="11779" width="12.7109375" style="216" bestFit="1" customWidth="1"/>
    <col min="11780" max="11780" width="1.7109375" style="216" customWidth="1"/>
    <col min="11781" max="11783" width="15.7109375" style="216" customWidth="1"/>
    <col min="11784" max="11784" width="17.85546875" style="216" bestFit="1" customWidth="1"/>
    <col min="11785" max="11785" width="18.5703125" style="216" bestFit="1" customWidth="1"/>
    <col min="11786" max="11788" width="15.7109375" style="216" customWidth="1"/>
    <col min="11789" max="11789" width="20" style="216" customWidth="1"/>
    <col min="11790" max="11790" width="18.5703125" style="216" bestFit="1" customWidth="1"/>
    <col min="11791" max="11791" width="13.7109375" style="216" customWidth="1"/>
    <col min="11792" max="11792" width="54.5703125" style="216" bestFit="1" customWidth="1"/>
    <col min="11793" max="12031" width="9.140625" style="216"/>
    <col min="12032" max="12032" width="2.85546875" style="216" customWidth="1"/>
    <col min="12033" max="12033" width="5" style="216" customWidth="1"/>
    <col min="12034" max="12034" width="62" style="216" customWidth="1"/>
    <col min="12035" max="12035" width="12.7109375" style="216" bestFit="1" customWidth="1"/>
    <col min="12036" max="12036" width="1.7109375" style="216" customWidth="1"/>
    <col min="12037" max="12039" width="15.7109375" style="216" customWidth="1"/>
    <col min="12040" max="12040" width="17.85546875" style="216" bestFit="1" customWidth="1"/>
    <col min="12041" max="12041" width="18.5703125" style="216" bestFit="1" customWidth="1"/>
    <col min="12042" max="12044" width="15.7109375" style="216" customWidth="1"/>
    <col min="12045" max="12045" width="20" style="216" customWidth="1"/>
    <col min="12046" max="12046" width="18.5703125" style="216" bestFit="1" customWidth="1"/>
    <col min="12047" max="12047" width="13.7109375" style="216" customWidth="1"/>
    <col min="12048" max="12048" width="54.5703125" style="216" bestFit="1" customWidth="1"/>
    <col min="12049" max="12287" width="9.140625" style="216"/>
    <col min="12288" max="12288" width="2.85546875" style="216" customWidth="1"/>
    <col min="12289" max="12289" width="5" style="216" customWidth="1"/>
    <col min="12290" max="12290" width="62" style="216" customWidth="1"/>
    <col min="12291" max="12291" width="12.7109375" style="216" bestFit="1" customWidth="1"/>
    <col min="12292" max="12292" width="1.7109375" style="216" customWidth="1"/>
    <col min="12293" max="12295" width="15.7109375" style="216" customWidth="1"/>
    <col min="12296" max="12296" width="17.85546875" style="216" bestFit="1" customWidth="1"/>
    <col min="12297" max="12297" width="18.5703125" style="216" bestFit="1" customWidth="1"/>
    <col min="12298" max="12300" width="15.7109375" style="216" customWidth="1"/>
    <col min="12301" max="12301" width="20" style="216" customWidth="1"/>
    <col min="12302" max="12302" width="18.5703125" style="216" bestFit="1" customWidth="1"/>
    <col min="12303" max="12303" width="13.7109375" style="216" customWidth="1"/>
    <col min="12304" max="12304" width="54.5703125" style="216" bestFit="1" customWidth="1"/>
    <col min="12305" max="12543" width="9.140625" style="216"/>
    <col min="12544" max="12544" width="2.85546875" style="216" customWidth="1"/>
    <col min="12545" max="12545" width="5" style="216" customWidth="1"/>
    <col min="12546" max="12546" width="62" style="216" customWidth="1"/>
    <col min="12547" max="12547" width="12.7109375" style="216" bestFit="1" customWidth="1"/>
    <col min="12548" max="12548" width="1.7109375" style="216" customWidth="1"/>
    <col min="12549" max="12551" width="15.7109375" style="216" customWidth="1"/>
    <col min="12552" max="12552" width="17.85546875" style="216" bestFit="1" customWidth="1"/>
    <col min="12553" max="12553" width="18.5703125" style="216" bestFit="1" customWidth="1"/>
    <col min="12554" max="12556" width="15.7109375" style="216" customWidth="1"/>
    <col min="12557" max="12557" width="20" style="216" customWidth="1"/>
    <col min="12558" max="12558" width="18.5703125" style="216" bestFit="1" customWidth="1"/>
    <col min="12559" max="12559" width="13.7109375" style="216" customWidth="1"/>
    <col min="12560" max="12560" width="54.5703125" style="216" bestFit="1" customWidth="1"/>
    <col min="12561" max="12799" width="9.140625" style="216"/>
    <col min="12800" max="12800" width="2.85546875" style="216" customWidth="1"/>
    <col min="12801" max="12801" width="5" style="216" customWidth="1"/>
    <col min="12802" max="12802" width="62" style="216" customWidth="1"/>
    <col min="12803" max="12803" width="12.7109375" style="216" bestFit="1" customWidth="1"/>
    <col min="12804" max="12804" width="1.7109375" style="216" customWidth="1"/>
    <col min="12805" max="12807" width="15.7109375" style="216" customWidth="1"/>
    <col min="12808" max="12808" width="17.85546875" style="216" bestFit="1" customWidth="1"/>
    <col min="12809" max="12809" width="18.5703125" style="216" bestFit="1" customWidth="1"/>
    <col min="12810" max="12812" width="15.7109375" style="216" customWidth="1"/>
    <col min="12813" max="12813" width="20" style="216" customWidth="1"/>
    <col min="12814" max="12814" width="18.5703125" style="216" bestFit="1" customWidth="1"/>
    <col min="12815" max="12815" width="13.7109375" style="216" customWidth="1"/>
    <col min="12816" max="12816" width="54.5703125" style="216" bestFit="1" customWidth="1"/>
    <col min="12817" max="13055" width="9.140625" style="216"/>
    <col min="13056" max="13056" width="2.85546875" style="216" customWidth="1"/>
    <col min="13057" max="13057" width="5" style="216" customWidth="1"/>
    <col min="13058" max="13058" width="62" style="216" customWidth="1"/>
    <col min="13059" max="13059" width="12.7109375" style="216" bestFit="1" customWidth="1"/>
    <col min="13060" max="13060" width="1.7109375" style="216" customWidth="1"/>
    <col min="13061" max="13063" width="15.7109375" style="216" customWidth="1"/>
    <col min="13064" max="13064" width="17.85546875" style="216" bestFit="1" customWidth="1"/>
    <col min="13065" max="13065" width="18.5703125" style="216" bestFit="1" customWidth="1"/>
    <col min="13066" max="13068" width="15.7109375" style="216" customWidth="1"/>
    <col min="13069" max="13069" width="20" style="216" customWidth="1"/>
    <col min="13070" max="13070" width="18.5703125" style="216" bestFit="1" customWidth="1"/>
    <col min="13071" max="13071" width="13.7109375" style="216" customWidth="1"/>
    <col min="13072" max="13072" width="54.5703125" style="216" bestFit="1" customWidth="1"/>
    <col min="13073" max="13311" width="9.140625" style="216"/>
    <col min="13312" max="13312" width="2.85546875" style="216" customWidth="1"/>
    <col min="13313" max="13313" width="5" style="216" customWidth="1"/>
    <col min="13314" max="13314" width="62" style="216" customWidth="1"/>
    <col min="13315" max="13315" width="12.7109375" style="216" bestFit="1" customWidth="1"/>
    <col min="13316" max="13316" width="1.7109375" style="216" customWidth="1"/>
    <col min="13317" max="13319" width="15.7109375" style="216" customWidth="1"/>
    <col min="13320" max="13320" width="17.85546875" style="216" bestFit="1" customWidth="1"/>
    <col min="13321" max="13321" width="18.5703125" style="216" bestFit="1" customWidth="1"/>
    <col min="13322" max="13324" width="15.7109375" style="216" customWidth="1"/>
    <col min="13325" max="13325" width="20" style="216" customWidth="1"/>
    <col min="13326" max="13326" width="18.5703125" style="216" bestFit="1" customWidth="1"/>
    <col min="13327" max="13327" width="13.7109375" style="216" customWidth="1"/>
    <col min="13328" max="13328" width="54.5703125" style="216" bestFit="1" customWidth="1"/>
    <col min="13329" max="13567" width="9.140625" style="216"/>
    <col min="13568" max="13568" width="2.85546875" style="216" customWidth="1"/>
    <col min="13569" max="13569" width="5" style="216" customWidth="1"/>
    <col min="13570" max="13570" width="62" style="216" customWidth="1"/>
    <col min="13571" max="13571" width="12.7109375" style="216" bestFit="1" customWidth="1"/>
    <col min="13572" max="13572" width="1.7109375" style="216" customWidth="1"/>
    <col min="13573" max="13575" width="15.7109375" style="216" customWidth="1"/>
    <col min="13576" max="13576" width="17.85546875" style="216" bestFit="1" customWidth="1"/>
    <col min="13577" max="13577" width="18.5703125" style="216" bestFit="1" customWidth="1"/>
    <col min="13578" max="13580" width="15.7109375" style="216" customWidth="1"/>
    <col min="13581" max="13581" width="20" style="216" customWidth="1"/>
    <col min="13582" max="13582" width="18.5703125" style="216" bestFit="1" customWidth="1"/>
    <col min="13583" max="13583" width="13.7109375" style="216" customWidth="1"/>
    <col min="13584" max="13584" width="54.5703125" style="216" bestFit="1" customWidth="1"/>
    <col min="13585" max="13823" width="9.140625" style="216"/>
    <col min="13824" max="13824" width="2.85546875" style="216" customWidth="1"/>
    <col min="13825" max="13825" width="5" style="216" customWidth="1"/>
    <col min="13826" max="13826" width="62" style="216" customWidth="1"/>
    <col min="13827" max="13827" width="12.7109375" style="216" bestFit="1" customWidth="1"/>
    <col min="13828" max="13828" width="1.7109375" style="216" customWidth="1"/>
    <col min="13829" max="13831" width="15.7109375" style="216" customWidth="1"/>
    <col min="13832" max="13832" width="17.85546875" style="216" bestFit="1" customWidth="1"/>
    <col min="13833" max="13833" width="18.5703125" style="216" bestFit="1" customWidth="1"/>
    <col min="13834" max="13836" width="15.7109375" style="216" customWidth="1"/>
    <col min="13837" max="13837" width="20" style="216" customWidth="1"/>
    <col min="13838" max="13838" width="18.5703125" style="216" bestFit="1" customWidth="1"/>
    <col min="13839" max="13839" width="13.7109375" style="216" customWidth="1"/>
    <col min="13840" max="13840" width="54.5703125" style="216" bestFit="1" customWidth="1"/>
    <col min="13841" max="14079" width="9.140625" style="216"/>
    <col min="14080" max="14080" width="2.85546875" style="216" customWidth="1"/>
    <col min="14081" max="14081" width="5" style="216" customWidth="1"/>
    <col min="14082" max="14082" width="62" style="216" customWidth="1"/>
    <col min="14083" max="14083" width="12.7109375" style="216" bestFit="1" customWidth="1"/>
    <col min="14084" max="14084" width="1.7109375" style="216" customWidth="1"/>
    <col min="14085" max="14087" width="15.7109375" style="216" customWidth="1"/>
    <col min="14088" max="14088" width="17.85546875" style="216" bestFit="1" customWidth="1"/>
    <col min="14089" max="14089" width="18.5703125" style="216" bestFit="1" customWidth="1"/>
    <col min="14090" max="14092" width="15.7109375" style="216" customWidth="1"/>
    <col min="14093" max="14093" width="20" style="216" customWidth="1"/>
    <col min="14094" max="14094" width="18.5703125" style="216" bestFit="1" customWidth="1"/>
    <col min="14095" max="14095" width="13.7109375" style="216" customWidth="1"/>
    <col min="14096" max="14096" width="54.5703125" style="216" bestFit="1" customWidth="1"/>
    <col min="14097" max="14335" width="9.140625" style="216"/>
    <col min="14336" max="14336" width="2.85546875" style="216" customWidth="1"/>
    <col min="14337" max="14337" width="5" style="216" customWidth="1"/>
    <col min="14338" max="14338" width="62" style="216" customWidth="1"/>
    <col min="14339" max="14339" width="12.7109375" style="216" bestFit="1" customWidth="1"/>
    <col min="14340" max="14340" width="1.7109375" style="216" customWidth="1"/>
    <col min="14341" max="14343" width="15.7109375" style="216" customWidth="1"/>
    <col min="14344" max="14344" width="17.85546875" style="216" bestFit="1" customWidth="1"/>
    <col min="14345" max="14345" width="18.5703125" style="216" bestFit="1" customWidth="1"/>
    <col min="14346" max="14348" width="15.7109375" style="216" customWidth="1"/>
    <col min="14349" max="14349" width="20" style="216" customWidth="1"/>
    <col min="14350" max="14350" width="18.5703125" style="216" bestFit="1" customWidth="1"/>
    <col min="14351" max="14351" width="13.7109375" style="216" customWidth="1"/>
    <col min="14352" max="14352" width="54.5703125" style="216" bestFit="1" customWidth="1"/>
    <col min="14353" max="14591" width="9.140625" style="216"/>
    <col min="14592" max="14592" width="2.85546875" style="216" customWidth="1"/>
    <col min="14593" max="14593" width="5" style="216" customWidth="1"/>
    <col min="14594" max="14594" width="62" style="216" customWidth="1"/>
    <col min="14595" max="14595" width="12.7109375" style="216" bestFit="1" customWidth="1"/>
    <col min="14596" max="14596" width="1.7109375" style="216" customWidth="1"/>
    <col min="14597" max="14599" width="15.7109375" style="216" customWidth="1"/>
    <col min="14600" max="14600" width="17.85546875" style="216" bestFit="1" customWidth="1"/>
    <col min="14601" max="14601" width="18.5703125" style="216" bestFit="1" customWidth="1"/>
    <col min="14602" max="14604" width="15.7109375" style="216" customWidth="1"/>
    <col min="14605" max="14605" width="20" style="216" customWidth="1"/>
    <col min="14606" max="14606" width="18.5703125" style="216" bestFit="1" customWidth="1"/>
    <col min="14607" max="14607" width="13.7109375" style="216" customWidth="1"/>
    <col min="14608" max="14608" width="54.5703125" style="216" bestFit="1" customWidth="1"/>
    <col min="14609" max="14847" width="9.140625" style="216"/>
    <col min="14848" max="14848" width="2.85546875" style="216" customWidth="1"/>
    <col min="14849" max="14849" width="5" style="216" customWidth="1"/>
    <col min="14850" max="14850" width="62" style="216" customWidth="1"/>
    <col min="14851" max="14851" width="12.7109375" style="216" bestFit="1" customWidth="1"/>
    <col min="14852" max="14852" width="1.7109375" style="216" customWidth="1"/>
    <col min="14853" max="14855" width="15.7109375" style="216" customWidth="1"/>
    <col min="14856" max="14856" width="17.85546875" style="216" bestFit="1" customWidth="1"/>
    <col min="14857" max="14857" width="18.5703125" style="216" bestFit="1" customWidth="1"/>
    <col min="14858" max="14860" width="15.7109375" style="216" customWidth="1"/>
    <col min="14861" max="14861" width="20" style="216" customWidth="1"/>
    <col min="14862" max="14862" width="18.5703125" style="216" bestFit="1" customWidth="1"/>
    <col min="14863" max="14863" width="13.7109375" style="216" customWidth="1"/>
    <col min="14864" max="14864" width="54.5703125" style="216" bestFit="1" customWidth="1"/>
    <col min="14865" max="15103" width="9.140625" style="216"/>
    <col min="15104" max="15104" width="2.85546875" style="216" customWidth="1"/>
    <col min="15105" max="15105" width="5" style="216" customWidth="1"/>
    <col min="15106" max="15106" width="62" style="216" customWidth="1"/>
    <col min="15107" max="15107" width="12.7109375" style="216" bestFit="1" customWidth="1"/>
    <col min="15108" max="15108" width="1.7109375" style="216" customWidth="1"/>
    <col min="15109" max="15111" width="15.7109375" style="216" customWidth="1"/>
    <col min="15112" max="15112" width="17.85546875" style="216" bestFit="1" customWidth="1"/>
    <col min="15113" max="15113" width="18.5703125" style="216" bestFit="1" customWidth="1"/>
    <col min="15114" max="15116" width="15.7109375" style="216" customWidth="1"/>
    <col min="15117" max="15117" width="20" style="216" customWidth="1"/>
    <col min="15118" max="15118" width="18.5703125" style="216" bestFit="1" customWidth="1"/>
    <col min="15119" max="15119" width="13.7109375" style="216" customWidth="1"/>
    <col min="15120" max="15120" width="54.5703125" style="216" bestFit="1" customWidth="1"/>
    <col min="15121" max="15359" width="9.140625" style="216"/>
    <col min="15360" max="15360" width="2.85546875" style="216" customWidth="1"/>
    <col min="15361" max="15361" width="5" style="216" customWidth="1"/>
    <col min="15362" max="15362" width="62" style="216" customWidth="1"/>
    <col min="15363" max="15363" width="12.7109375" style="216" bestFit="1" customWidth="1"/>
    <col min="15364" max="15364" width="1.7109375" style="216" customWidth="1"/>
    <col min="15365" max="15367" width="15.7109375" style="216" customWidth="1"/>
    <col min="15368" max="15368" width="17.85546875" style="216" bestFit="1" customWidth="1"/>
    <col min="15369" max="15369" width="18.5703125" style="216" bestFit="1" customWidth="1"/>
    <col min="15370" max="15372" width="15.7109375" style="216" customWidth="1"/>
    <col min="15373" max="15373" width="20" style="216" customWidth="1"/>
    <col min="15374" max="15374" width="18.5703125" style="216" bestFit="1" customWidth="1"/>
    <col min="15375" max="15375" width="13.7109375" style="216" customWidth="1"/>
    <col min="15376" max="15376" width="54.5703125" style="216" bestFit="1" customWidth="1"/>
    <col min="15377" max="15615" width="9.140625" style="216"/>
    <col min="15616" max="15616" width="2.85546875" style="216" customWidth="1"/>
    <col min="15617" max="15617" width="5" style="216" customWidth="1"/>
    <col min="15618" max="15618" width="62" style="216" customWidth="1"/>
    <col min="15619" max="15619" width="12.7109375" style="216" bestFit="1" customWidth="1"/>
    <col min="15620" max="15620" width="1.7109375" style="216" customWidth="1"/>
    <col min="15621" max="15623" width="15.7109375" style="216" customWidth="1"/>
    <col min="15624" max="15624" width="17.85546875" style="216" bestFit="1" customWidth="1"/>
    <col min="15625" max="15625" width="18.5703125" style="216" bestFit="1" customWidth="1"/>
    <col min="15626" max="15628" width="15.7109375" style="216" customWidth="1"/>
    <col min="15629" max="15629" width="20" style="216" customWidth="1"/>
    <col min="15630" max="15630" width="18.5703125" style="216" bestFit="1" customWidth="1"/>
    <col min="15631" max="15631" width="13.7109375" style="216" customWidth="1"/>
    <col min="15632" max="15632" width="54.5703125" style="216" bestFit="1" customWidth="1"/>
    <col min="15633" max="15871" width="9.140625" style="216"/>
    <col min="15872" max="15872" width="2.85546875" style="216" customWidth="1"/>
    <col min="15873" max="15873" width="5" style="216" customWidth="1"/>
    <col min="15874" max="15874" width="62" style="216" customWidth="1"/>
    <col min="15875" max="15875" width="12.7109375" style="216" bestFit="1" customWidth="1"/>
    <col min="15876" max="15876" width="1.7109375" style="216" customWidth="1"/>
    <col min="15877" max="15879" width="15.7109375" style="216" customWidth="1"/>
    <col min="15880" max="15880" width="17.85546875" style="216" bestFit="1" customWidth="1"/>
    <col min="15881" max="15881" width="18.5703125" style="216" bestFit="1" customWidth="1"/>
    <col min="15882" max="15884" width="15.7109375" style="216" customWidth="1"/>
    <col min="15885" max="15885" width="20" style="216" customWidth="1"/>
    <col min="15886" max="15886" width="18.5703125" style="216" bestFit="1" customWidth="1"/>
    <col min="15887" max="15887" width="13.7109375" style="216" customWidth="1"/>
    <col min="15888" max="15888" width="54.5703125" style="216" bestFit="1" customWidth="1"/>
    <col min="15889" max="16127" width="9.140625" style="216"/>
    <col min="16128" max="16128" width="2.85546875" style="216" customWidth="1"/>
    <col min="16129" max="16129" width="5" style="216" customWidth="1"/>
    <col min="16130" max="16130" width="62" style="216" customWidth="1"/>
    <col min="16131" max="16131" width="12.7109375" style="216" bestFit="1" customWidth="1"/>
    <col min="16132" max="16132" width="1.7109375" style="216" customWidth="1"/>
    <col min="16133" max="16135" width="15.7109375" style="216" customWidth="1"/>
    <col min="16136" max="16136" width="17.85546875" style="216" bestFit="1" customWidth="1"/>
    <col min="16137" max="16137" width="18.5703125" style="216" bestFit="1" customWidth="1"/>
    <col min="16138" max="16140" width="15.7109375" style="216" customWidth="1"/>
    <col min="16141" max="16141" width="20" style="216" customWidth="1"/>
    <col min="16142" max="16142" width="18.5703125" style="216" bestFit="1" customWidth="1"/>
    <col min="16143" max="16143" width="13.7109375" style="216" customWidth="1"/>
    <col min="16144" max="16144" width="54.5703125" style="216" bestFit="1" customWidth="1"/>
    <col min="16145" max="16384" width="9.140625" style="216"/>
  </cols>
  <sheetData>
    <row r="1" spans="1:16" x14ac:dyDescent="0.2">
      <c r="F1" s="219"/>
      <c r="K1" s="217"/>
      <c r="L1" s="217" t="s">
        <v>419</v>
      </c>
      <c r="M1" s="766" t="str">
        <f>EBNUMBER</f>
        <v>EB-2014-0113</v>
      </c>
    </row>
    <row r="2" spans="1:16" x14ac:dyDescent="0.2">
      <c r="F2" s="219"/>
      <c r="K2" s="217"/>
      <c r="L2" s="217" t="s">
        <v>420</v>
      </c>
      <c r="M2" s="767"/>
    </row>
    <row r="3" spans="1:16" x14ac:dyDescent="0.2">
      <c r="F3" s="219"/>
      <c r="K3" s="217"/>
      <c r="L3" s="217" t="s">
        <v>421</v>
      </c>
      <c r="M3" s="767"/>
    </row>
    <row r="4" spans="1:16" x14ac:dyDescent="0.2">
      <c r="F4" s="219"/>
      <c r="K4" s="217"/>
      <c r="L4" s="217" t="s">
        <v>422</v>
      </c>
      <c r="M4" s="767"/>
    </row>
    <row r="5" spans="1:16" x14ac:dyDescent="0.2">
      <c r="F5" s="219"/>
      <c r="K5" s="217"/>
      <c r="L5" s="217" t="s">
        <v>423</v>
      </c>
      <c r="M5" s="768"/>
    </row>
    <row r="6" spans="1:16" x14ac:dyDescent="0.2">
      <c r="F6" s="219"/>
      <c r="K6" s="217"/>
      <c r="L6" s="217"/>
      <c r="M6" s="766"/>
    </row>
    <row r="7" spans="1:16" x14ac:dyDescent="0.2">
      <c r="F7" s="219"/>
      <c r="K7" s="217"/>
      <c r="L7" s="217" t="s">
        <v>424</v>
      </c>
      <c r="M7" s="768"/>
    </row>
    <row r="8" spans="1:16" ht="8.25" customHeight="1" x14ac:dyDescent="0.2"/>
    <row r="9" spans="1:16" ht="21" customHeight="1" x14ac:dyDescent="0.2">
      <c r="A9" s="1810" t="s">
        <v>920</v>
      </c>
      <c r="B9" s="1810"/>
      <c r="C9" s="1810"/>
      <c r="D9" s="1810"/>
      <c r="E9" s="1810"/>
      <c r="F9" s="1810"/>
      <c r="G9" s="1810"/>
      <c r="H9" s="1810"/>
      <c r="I9" s="1810"/>
      <c r="J9" s="1810"/>
      <c r="K9" s="1810"/>
      <c r="L9" s="1810"/>
      <c r="M9" s="1810"/>
      <c r="N9" s="690"/>
      <c r="O9" s="690"/>
      <c r="P9" s="690"/>
    </row>
    <row r="10" spans="1:16" ht="19.5" customHeight="1" x14ac:dyDescent="0.2">
      <c r="A10" s="1810" t="s">
        <v>616</v>
      </c>
      <c r="B10" s="1810"/>
      <c r="C10" s="1810"/>
      <c r="D10" s="1810"/>
      <c r="E10" s="1810"/>
      <c r="F10" s="1810"/>
      <c r="G10" s="1810"/>
      <c r="H10" s="1810"/>
      <c r="I10" s="1810"/>
      <c r="J10" s="1810"/>
      <c r="K10" s="1810"/>
      <c r="L10" s="1810"/>
      <c r="M10" s="1810"/>
      <c r="N10" s="691"/>
      <c r="O10" s="691"/>
      <c r="P10" s="691"/>
    </row>
    <row r="12" spans="1:16" ht="42.75" customHeight="1" x14ac:dyDescent="0.2">
      <c r="A12" s="1895" t="s">
        <v>921</v>
      </c>
      <c r="B12" s="1895"/>
      <c r="C12" s="1895"/>
      <c r="D12" s="1895"/>
      <c r="E12" s="1895"/>
      <c r="F12" s="1895"/>
      <c r="G12" s="1895"/>
      <c r="H12" s="1895"/>
      <c r="I12" s="1895"/>
      <c r="J12" s="1895"/>
      <c r="K12" s="1895"/>
      <c r="L12" s="1895"/>
      <c r="M12" s="1895"/>
      <c r="N12" s="691"/>
      <c r="O12" s="691"/>
      <c r="P12" s="691"/>
    </row>
    <row r="13" spans="1:16" ht="13.5" thickBot="1" x14ac:dyDescent="0.25">
      <c r="E13" s="242" t="s">
        <v>922</v>
      </c>
      <c r="F13" s="242" t="s">
        <v>47</v>
      </c>
      <c r="G13" s="242" t="s">
        <v>327</v>
      </c>
      <c r="H13" s="242" t="s">
        <v>48</v>
      </c>
      <c r="I13" s="242" t="s">
        <v>923</v>
      </c>
      <c r="J13" s="242" t="s">
        <v>185</v>
      </c>
      <c r="K13" s="242" t="s">
        <v>186</v>
      </c>
    </row>
    <row r="14" spans="1:16" x14ac:dyDescent="0.2">
      <c r="A14" s="1896" t="s">
        <v>540</v>
      </c>
      <c r="B14" s="1897"/>
      <c r="C14" s="1898"/>
      <c r="D14" s="243"/>
      <c r="E14" s="256" t="s">
        <v>541</v>
      </c>
      <c r="F14" s="256" t="s">
        <v>541</v>
      </c>
      <c r="G14" s="256" t="s">
        <v>541</v>
      </c>
      <c r="H14" s="244" t="s">
        <v>542</v>
      </c>
      <c r="I14" s="244" t="s">
        <v>542</v>
      </c>
      <c r="J14" s="244" t="s">
        <v>543</v>
      </c>
      <c r="K14" s="1905" t="s">
        <v>544</v>
      </c>
      <c r="L14" s="1906"/>
      <c r="M14" s="1907"/>
    </row>
    <row r="15" spans="1:16" x14ac:dyDescent="0.2">
      <c r="A15" s="1899"/>
      <c r="B15" s="1900"/>
      <c r="C15" s="1901"/>
      <c r="D15" s="245"/>
      <c r="E15" s="257" t="s">
        <v>545</v>
      </c>
      <c r="F15" s="257" t="s">
        <v>545</v>
      </c>
      <c r="G15" s="257" t="s">
        <v>545</v>
      </c>
      <c r="H15" s="246" t="s">
        <v>546</v>
      </c>
      <c r="I15" s="246" t="s">
        <v>546</v>
      </c>
      <c r="J15" s="246" t="s">
        <v>547</v>
      </c>
      <c r="K15" s="1908" t="s">
        <v>924</v>
      </c>
      <c r="L15" s="1909"/>
      <c r="M15" s="1910"/>
    </row>
    <row r="16" spans="1:16" ht="13.5" thickBot="1" x14ac:dyDescent="0.25">
      <c r="A16" s="1902"/>
      <c r="B16" s="1903"/>
      <c r="C16" s="1904"/>
      <c r="D16" s="245"/>
      <c r="E16" s="258" t="s">
        <v>549</v>
      </c>
      <c r="F16" s="258" t="s">
        <v>431</v>
      </c>
      <c r="G16" s="258" t="s">
        <v>432</v>
      </c>
      <c r="H16" s="247" t="s">
        <v>550</v>
      </c>
      <c r="I16" s="247" t="s">
        <v>551</v>
      </c>
      <c r="J16" s="247" t="s">
        <v>552</v>
      </c>
      <c r="K16" s="1911" t="s">
        <v>925</v>
      </c>
      <c r="L16" s="1964"/>
      <c r="M16" s="1965"/>
    </row>
    <row r="17" spans="1:13" x14ac:dyDescent="0.2">
      <c r="A17" s="1914" t="s">
        <v>554</v>
      </c>
      <c r="B17" s="1915"/>
      <c r="C17" s="1916"/>
      <c r="D17" s="245"/>
      <c r="E17" s="259"/>
      <c r="F17" s="260"/>
      <c r="G17" s="260"/>
      <c r="H17" s="249">
        <f t="shared" ref="H17:H30" si="0">+G17-F17</f>
        <v>0</v>
      </c>
      <c r="I17" s="249">
        <f t="shared" ref="I17:I30" si="1">+G17-E17</f>
        <v>0</v>
      </c>
      <c r="J17" s="319"/>
      <c r="K17" s="1920"/>
      <c r="L17" s="1921"/>
      <c r="M17" s="1922"/>
    </row>
    <row r="18" spans="1:13" x14ac:dyDescent="0.2">
      <c r="A18" s="1923" t="s">
        <v>555</v>
      </c>
      <c r="B18" s="1924"/>
      <c r="C18" s="1925"/>
      <c r="D18" s="245"/>
      <c r="E18" s="260"/>
      <c r="F18" s="260"/>
      <c r="G18" s="260"/>
      <c r="H18" s="249">
        <f t="shared" si="0"/>
        <v>0</v>
      </c>
      <c r="I18" s="249">
        <f t="shared" si="1"/>
        <v>0</v>
      </c>
      <c r="J18" s="319"/>
      <c r="K18" s="1917"/>
      <c r="L18" s="1918"/>
      <c r="M18" s="1919"/>
    </row>
    <row r="19" spans="1:13" x14ac:dyDescent="0.2">
      <c r="A19" s="1914" t="s">
        <v>556</v>
      </c>
      <c r="B19" s="1915"/>
      <c r="C19" s="1916"/>
      <c r="D19" s="245"/>
      <c r="E19" s="260"/>
      <c r="F19" s="260"/>
      <c r="G19" s="260"/>
      <c r="H19" s="249">
        <f t="shared" si="0"/>
        <v>0</v>
      </c>
      <c r="I19" s="249">
        <f t="shared" si="1"/>
        <v>0</v>
      </c>
      <c r="J19" s="319"/>
      <c r="K19" s="1917"/>
      <c r="L19" s="1918"/>
      <c r="M19" s="1919"/>
    </row>
    <row r="20" spans="1:13" x14ac:dyDescent="0.2">
      <c r="A20" s="1926" t="s">
        <v>557</v>
      </c>
      <c r="B20" s="1927"/>
      <c r="C20" s="1928"/>
      <c r="D20" s="245"/>
      <c r="E20" s="260"/>
      <c r="F20" s="260"/>
      <c r="G20" s="260"/>
      <c r="H20" s="249">
        <f t="shared" si="0"/>
        <v>0</v>
      </c>
      <c r="I20" s="249">
        <f t="shared" si="1"/>
        <v>0</v>
      </c>
      <c r="J20" s="319"/>
      <c r="K20" s="1917"/>
      <c r="L20" s="1918"/>
      <c r="M20" s="1919"/>
    </row>
    <row r="21" spans="1:13" x14ac:dyDescent="0.2">
      <c r="A21" s="1923" t="s">
        <v>558</v>
      </c>
      <c r="B21" s="1924"/>
      <c r="C21" s="1925"/>
      <c r="D21" s="245"/>
      <c r="E21" s="260"/>
      <c r="F21" s="260"/>
      <c r="G21" s="260"/>
      <c r="H21" s="249">
        <f t="shared" si="0"/>
        <v>0</v>
      </c>
      <c r="I21" s="249">
        <f t="shared" si="1"/>
        <v>0</v>
      </c>
      <c r="J21" s="319"/>
      <c r="K21" s="1917"/>
      <c r="L21" s="1918"/>
      <c r="M21" s="1919"/>
    </row>
    <row r="22" spans="1:13" x14ac:dyDescent="0.2">
      <c r="A22" s="1961"/>
      <c r="B22" s="1962"/>
      <c r="C22" s="1963"/>
      <c r="D22" s="245"/>
      <c r="E22" s="260"/>
      <c r="F22" s="260"/>
      <c r="G22" s="260"/>
      <c r="H22" s="249">
        <f t="shared" si="0"/>
        <v>0</v>
      </c>
      <c r="I22" s="249">
        <f t="shared" si="1"/>
        <v>0</v>
      </c>
      <c r="J22" s="319"/>
      <c r="K22" s="1917"/>
      <c r="L22" s="1918"/>
      <c r="M22" s="1919"/>
    </row>
    <row r="23" spans="1:13" x14ac:dyDescent="0.2">
      <c r="A23" s="1914" t="s">
        <v>559</v>
      </c>
      <c r="B23" s="1915"/>
      <c r="C23" s="1916"/>
      <c r="D23" s="245"/>
      <c r="E23" s="260"/>
      <c r="F23" s="260"/>
      <c r="G23" s="260"/>
      <c r="H23" s="249">
        <f t="shared" si="0"/>
        <v>0</v>
      </c>
      <c r="I23" s="249">
        <f t="shared" si="1"/>
        <v>0</v>
      </c>
      <c r="J23" s="319"/>
      <c r="K23" s="1917"/>
      <c r="L23" s="1918"/>
      <c r="M23" s="1919"/>
    </row>
    <row r="24" spans="1:13" ht="24.95" customHeight="1" x14ac:dyDescent="0.2">
      <c r="A24" s="1926" t="s">
        <v>560</v>
      </c>
      <c r="B24" s="1927"/>
      <c r="C24" s="1928"/>
      <c r="D24" s="245"/>
      <c r="E24" s="260"/>
      <c r="F24" s="260"/>
      <c r="G24" s="260"/>
      <c r="H24" s="249">
        <f t="shared" si="0"/>
        <v>0</v>
      </c>
      <c r="I24" s="249">
        <f t="shared" si="1"/>
        <v>0</v>
      </c>
      <c r="J24" s="319"/>
      <c r="K24" s="1917"/>
      <c r="L24" s="1918"/>
      <c r="M24" s="1919"/>
    </row>
    <row r="25" spans="1:13" ht="24.95" customHeight="1" x14ac:dyDescent="0.2">
      <c r="A25" s="1926" t="s">
        <v>561</v>
      </c>
      <c r="B25" s="1927"/>
      <c r="C25" s="1928"/>
      <c r="D25" s="245"/>
      <c r="E25" s="260"/>
      <c r="F25" s="260"/>
      <c r="G25" s="260"/>
      <c r="H25" s="249">
        <f t="shared" si="0"/>
        <v>0</v>
      </c>
      <c r="I25" s="249">
        <f t="shared" si="1"/>
        <v>0</v>
      </c>
      <c r="J25" s="319"/>
      <c r="K25" s="1917"/>
      <c r="L25" s="1918"/>
      <c r="M25" s="1919"/>
    </row>
    <row r="26" spans="1:13" x14ac:dyDescent="0.2">
      <c r="A26" s="1923" t="s">
        <v>562</v>
      </c>
      <c r="B26" s="1924"/>
      <c r="C26" s="1925"/>
      <c r="D26" s="245"/>
      <c r="E26" s="260"/>
      <c r="F26" s="260"/>
      <c r="G26" s="260"/>
      <c r="H26" s="249">
        <f t="shared" si="0"/>
        <v>0</v>
      </c>
      <c r="I26" s="249">
        <f t="shared" si="1"/>
        <v>0</v>
      </c>
      <c r="J26" s="319"/>
      <c r="K26" s="1917"/>
      <c r="L26" s="1918"/>
      <c r="M26" s="1919"/>
    </row>
    <row r="27" spans="1:13" ht="13.5" customHeight="1" x14ac:dyDescent="0.2">
      <c r="A27" s="1914"/>
      <c r="B27" s="1915"/>
      <c r="C27" s="1916"/>
      <c r="D27" s="245"/>
      <c r="E27" s="260"/>
      <c r="F27" s="260"/>
      <c r="G27" s="260"/>
      <c r="H27" s="249">
        <f t="shared" si="0"/>
        <v>0</v>
      </c>
      <c r="I27" s="249">
        <f t="shared" si="1"/>
        <v>0</v>
      </c>
      <c r="J27" s="319"/>
      <c r="K27" s="1917"/>
      <c r="L27" s="1918"/>
      <c r="M27" s="1919"/>
    </row>
    <row r="28" spans="1:13" ht="13.5" customHeight="1" x14ac:dyDescent="0.2">
      <c r="A28" s="1923"/>
      <c r="B28" s="1924"/>
      <c r="C28" s="1925"/>
      <c r="D28" s="245"/>
      <c r="E28" s="260"/>
      <c r="F28" s="260"/>
      <c r="G28" s="260"/>
      <c r="H28" s="249">
        <f t="shared" si="0"/>
        <v>0</v>
      </c>
      <c r="I28" s="249">
        <f t="shared" si="1"/>
        <v>0</v>
      </c>
      <c r="J28" s="319"/>
      <c r="K28" s="1917"/>
      <c r="L28" s="1918"/>
      <c r="M28" s="1919"/>
    </row>
    <row r="29" spans="1:13" ht="27" customHeight="1" x14ac:dyDescent="0.2">
      <c r="A29" s="1923"/>
      <c r="B29" s="1924"/>
      <c r="C29" s="1925"/>
      <c r="D29" s="245"/>
      <c r="E29" s="260"/>
      <c r="F29" s="260"/>
      <c r="G29" s="260"/>
      <c r="H29" s="249">
        <f t="shared" si="0"/>
        <v>0</v>
      </c>
      <c r="I29" s="249">
        <f t="shared" si="1"/>
        <v>0</v>
      </c>
      <c r="J29" s="319"/>
      <c r="K29" s="1917"/>
      <c r="L29" s="1918"/>
      <c r="M29" s="1919"/>
    </row>
    <row r="30" spans="1:13" ht="13.5" thickBot="1" x14ac:dyDescent="0.25">
      <c r="A30" s="1935" t="s">
        <v>257</v>
      </c>
      <c r="B30" s="1936"/>
      <c r="C30" s="1937"/>
      <c r="D30" s="316"/>
      <c r="E30" s="261"/>
      <c r="F30" s="261"/>
      <c r="G30" s="261"/>
      <c r="H30" s="314">
        <f t="shared" si="0"/>
        <v>0</v>
      </c>
      <c r="I30" s="314">
        <f t="shared" si="1"/>
        <v>0</v>
      </c>
      <c r="J30" s="320"/>
      <c r="K30" s="1938"/>
      <c r="L30" s="1939"/>
      <c r="M30" s="1940"/>
    </row>
    <row r="31" spans="1:13" ht="14.25" thickTop="1" thickBot="1" x14ac:dyDescent="0.25">
      <c r="A31" s="1941" t="s">
        <v>413</v>
      </c>
      <c r="B31" s="1942"/>
      <c r="C31" s="1943"/>
      <c r="D31" s="312"/>
      <c r="E31" s="90">
        <f>SUM(E17:E30)</f>
        <v>0</v>
      </c>
      <c r="F31" s="90">
        <f>SUM(F17:F30)</f>
        <v>0</v>
      </c>
      <c r="G31" s="90">
        <f>SUM(G17:G30)</f>
        <v>0</v>
      </c>
      <c r="H31" s="90">
        <f>SUM(H17:H30)</f>
        <v>0</v>
      </c>
      <c r="I31" s="90">
        <f>SUM(I17:I30)</f>
        <v>0</v>
      </c>
      <c r="J31" s="315"/>
      <c r="K31" s="1944"/>
      <c r="L31" s="1945"/>
      <c r="M31" s="1946"/>
    </row>
    <row r="32" spans="1:13" x14ac:dyDescent="0.2">
      <c r="A32" s="251"/>
      <c r="B32" s="251"/>
      <c r="C32" s="251"/>
      <c r="D32" s="252"/>
      <c r="E32" s="253"/>
      <c r="F32" s="253"/>
      <c r="G32" s="253"/>
      <c r="H32" s="253"/>
      <c r="I32" s="253"/>
      <c r="J32" s="253"/>
      <c r="K32" s="253"/>
      <c r="L32" s="253"/>
    </row>
    <row r="33" spans="1:16" x14ac:dyDescent="0.2">
      <c r="A33" s="251"/>
      <c r="B33" s="251"/>
      <c r="C33" s="251"/>
      <c r="D33" s="252"/>
      <c r="E33" s="253"/>
      <c r="F33" s="253"/>
      <c r="G33" s="253"/>
      <c r="H33" s="253"/>
      <c r="I33" s="253"/>
      <c r="J33" s="253"/>
      <c r="K33" s="253"/>
      <c r="L33" s="253"/>
    </row>
    <row r="34" spans="1:16" ht="27" customHeight="1" x14ac:dyDescent="0.2">
      <c r="A34" s="1947" t="s">
        <v>926</v>
      </c>
      <c r="B34" s="1947"/>
      <c r="C34" s="1947"/>
      <c r="D34" s="1947"/>
      <c r="E34" s="1947"/>
      <c r="F34" s="1947"/>
      <c r="G34" s="1947"/>
      <c r="H34" s="1947"/>
      <c r="I34" s="1947"/>
      <c r="J34" s="1947"/>
      <c r="K34" s="1947"/>
      <c r="L34" s="1947"/>
      <c r="M34" s="1947"/>
      <c r="N34" s="687"/>
      <c r="O34" s="687"/>
      <c r="P34" s="687"/>
    </row>
    <row r="35" spans="1:16" ht="13.5" thickBot="1" x14ac:dyDescent="0.25">
      <c r="E35" s="242" t="s">
        <v>922</v>
      </c>
      <c r="F35" s="242" t="s">
        <v>47</v>
      </c>
      <c r="G35" s="242" t="s">
        <v>327</v>
      </c>
      <c r="H35" s="242" t="s">
        <v>48</v>
      </c>
      <c r="I35" s="242" t="s">
        <v>49</v>
      </c>
      <c r="J35" s="242" t="s">
        <v>185</v>
      </c>
      <c r="K35" s="242" t="s">
        <v>186</v>
      </c>
    </row>
    <row r="36" spans="1:16" ht="12.75" customHeight="1" x14ac:dyDescent="0.2">
      <c r="A36" s="1896" t="s">
        <v>540</v>
      </c>
      <c r="B36" s="1897"/>
      <c r="C36" s="1898"/>
      <c r="D36" s="243"/>
      <c r="E36" s="256" t="s">
        <v>541</v>
      </c>
      <c r="F36" s="256" t="s">
        <v>541</v>
      </c>
      <c r="G36" s="256" t="s">
        <v>541</v>
      </c>
      <c r="H36" s="244" t="s">
        <v>542</v>
      </c>
      <c r="I36" s="244" t="s">
        <v>542</v>
      </c>
      <c r="J36" s="244" t="s">
        <v>543</v>
      </c>
      <c r="K36" s="1905" t="s">
        <v>544</v>
      </c>
      <c r="L36" s="1906"/>
      <c r="M36" s="1907"/>
    </row>
    <row r="37" spans="1:16" x14ac:dyDescent="0.2">
      <c r="A37" s="1899"/>
      <c r="B37" s="1900"/>
      <c r="C37" s="1901"/>
      <c r="D37" s="245"/>
      <c r="E37" s="257" t="s">
        <v>565</v>
      </c>
      <c r="F37" s="257" t="s">
        <v>565</v>
      </c>
      <c r="G37" s="257" t="s">
        <v>565</v>
      </c>
      <c r="H37" s="246" t="s">
        <v>566</v>
      </c>
      <c r="I37" s="246" t="s">
        <v>566</v>
      </c>
      <c r="J37" s="246" t="s">
        <v>547</v>
      </c>
      <c r="K37" s="1908" t="s">
        <v>924</v>
      </c>
      <c r="L37" s="1909"/>
      <c r="M37" s="1910"/>
    </row>
    <row r="38" spans="1:16" ht="13.5" thickBot="1" x14ac:dyDescent="0.25">
      <c r="A38" s="1902"/>
      <c r="B38" s="1903"/>
      <c r="C38" s="1904"/>
      <c r="D38" s="245"/>
      <c r="E38" s="258" t="s">
        <v>549</v>
      </c>
      <c r="F38" s="258" t="s">
        <v>431</v>
      </c>
      <c r="G38" s="258" t="s">
        <v>432</v>
      </c>
      <c r="H38" s="247" t="s">
        <v>550</v>
      </c>
      <c r="I38" s="247" t="s">
        <v>551</v>
      </c>
      <c r="J38" s="247" t="s">
        <v>552</v>
      </c>
      <c r="K38" s="1911" t="s">
        <v>925</v>
      </c>
      <c r="L38" s="1964"/>
      <c r="M38" s="1965"/>
    </row>
    <row r="39" spans="1:16" ht="12.75" customHeight="1" x14ac:dyDescent="0.2">
      <c r="A39" s="1914" t="s">
        <v>554</v>
      </c>
      <c r="B39" s="1915"/>
      <c r="C39" s="1916"/>
      <c r="D39" s="245"/>
      <c r="E39" s="260"/>
      <c r="F39" s="260"/>
      <c r="G39" s="260"/>
      <c r="H39" s="249">
        <f>+G39-F39</f>
        <v>0</v>
      </c>
      <c r="I39" s="249">
        <f>+G39-E39</f>
        <v>0</v>
      </c>
      <c r="J39" s="319"/>
      <c r="K39" s="1920"/>
      <c r="L39" s="1921"/>
      <c r="M39" s="1922"/>
    </row>
    <row r="40" spans="1:16" ht="12.75" customHeight="1" x14ac:dyDescent="0.2">
      <c r="A40" s="1923" t="s">
        <v>555</v>
      </c>
      <c r="B40" s="1924"/>
      <c r="C40" s="1925"/>
      <c r="D40" s="245"/>
      <c r="E40" s="260"/>
      <c r="F40" s="260"/>
      <c r="G40" s="260"/>
      <c r="H40" s="249">
        <f>+G40-F40</f>
        <v>0</v>
      </c>
      <c r="I40" s="249">
        <f>+G40-E40</f>
        <v>0</v>
      </c>
      <c r="J40" s="319"/>
      <c r="K40" s="1917"/>
      <c r="L40" s="1918"/>
      <c r="M40" s="1919"/>
    </row>
    <row r="41" spans="1:16" ht="12.75" customHeight="1" x14ac:dyDescent="0.2">
      <c r="A41" s="1914" t="s">
        <v>556</v>
      </c>
      <c r="B41" s="1915"/>
      <c r="C41" s="1916"/>
      <c r="D41" s="245"/>
      <c r="E41" s="260"/>
      <c r="F41" s="260"/>
      <c r="G41" s="260"/>
      <c r="H41" s="249">
        <f>+G41-F41</f>
        <v>0</v>
      </c>
      <c r="I41" s="249">
        <f>+G41-E41</f>
        <v>0</v>
      </c>
      <c r="J41" s="319"/>
      <c r="K41" s="1917"/>
      <c r="L41" s="1918"/>
      <c r="M41" s="1919"/>
    </row>
    <row r="42" spans="1:16" ht="12.75" customHeight="1" x14ac:dyDescent="0.2">
      <c r="A42" s="1926" t="s">
        <v>557</v>
      </c>
      <c r="B42" s="1927"/>
      <c r="C42" s="1928"/>
      <c r="D42" s="245"/>
      <c r="E42" s="260"/>
      <c r="F42" s="260"/>
      <c r="G42" s="260"/>
      <c r="H42" s="249">
        <f>+G42-F42</f>
        <v>0</v>
      </c>
      <c r="I42" s="249">
        <f>+G42-E42</f>
        <v>0</v>
      </c>
      <c r="J42" s="319"/>
      <c r="K42" s="1917"/>
      <c r="L42" s="1918"/>
      <c r="M42" s="1919"/>
    </row>
    <row r="43" spans="1:16" ht="12.75" customHeight="1" x14ac:dyDescent="0.2">
      <c r="A43" s="1923" t="s">
        <v>558</v>
      </c>
      <c r="B43" s="1924"/>
      <c r="C43" s="1925"/>
      <c r="D43" s="245"/>
      <c r="E43" s="260"/>
      <c r="F43" s="260"/>
      <c r="G43" s="260"/>
      <c r="H43" s="249">
        <f>+G43-F43</f>
        <v>0</v>
      </c>
      <c r="I43" s="249">
        <f>+G43-E43</f>
        <v>0</v>
      </c>
      <c r="J43" s="319"/>
      <c r="K43" s="1917"/>
      <c r="L43" s="1918"/>
      <c r="M43" s="1919"/>
    </row>
    <row r="44" spans="1:16" x14ac:dyDescent="0.2">
      <c r="A44" s="1961"/>
      <c r="B44" s="1962"/>
      <c r="C44" s="1963"/>
      <c r="D44" s="245"/>
      <c r="E44" s="260"/>
      <c r="F44" s="260"/>
      <c r="G44" s="260"/>
      <c r="H44" s="249"/>
      <c r="I44" s="249"/>
      <c r="J44" s="319"/>
      <c r="K44" s="1917"/>
      <c r="L44" s="1918"/>
      <c r="M44" s="1919"/>
    </row>
    <row r="45" spans="1:16" ht="12.75" customHeight="1" x14ac:dyDescent="0.2">
      <c r="A45" s="1914" t="s">
        <v>559</v>
      </c>
      <c r="B45" s="1915"/>
      <c r="C45" s="1916"/>
      <c r="D45" s="245"/>
      <c r="E45" s="260"/>
      <c r="F45" s="260"/>
      <c r="G45" s="260"/>
      <c r="H45" s="249">
        <f t="shared" ref="H45:H52" si="2">+G45-F45</f>
        <v>0</v>
      </c>
      <c r="I45" s="249">
        <f t="shared" ref="I45:I52" si="3">+G45-E45</f>
        <v>0</v>
      </c>
      <c r="J45" s="319"/>
      <c r="K45" s="1917"/>
      <c r="L45" s="1918"/>
      <c r="M45" s="1919"/>
    </row>
    <row r="46" spans="1:16" ht="12.75" customHeight="1" x14ac:dyDescent="0.2">
      <c r="A46" s="1926" t="s">
        <v>560</v>
      </c>
      <c r="B46" s="1927"/>
      <c r="C46" s="1928"/>
      <c r="D46" s="245"/>
      <c r="E46" s="260"/>
      <c r="F46" s="260"/>
      <c r="G46" s="260"/>
      <c r="H46" s="249">
        <f t="shared" si="2"/>
        <v>0</v>
      </c>
      <c r="I46" s="249">
        <f t="shared" si="3"/>
        <v>0</v>
      </c>
      <c r="J46" s="319"/>
      <c r="K46" s="1917"/>
      <c r="L46" s="1918"/>
      <c r="M46" s="1919"/>
    </row>
    <row r="47" spans="1:16" ht="12.75" customHeight="1" x14ac:dyDescent="0.2">
      <c r="A47" s="1926" t="s">
        <v>561</v>
      </c>
      <c r="B47" s="1927"/>
      <c r="C47" s="1928"/>
      <c r="D47" s="245"/>
      <c r="E47" s="260"/>
      <c r="F47" s="260"/>
      <c r="G47" s="260"/>
      <c r="H47" s="249">
        <f t="shared" si="2"/>
        <v>0</v>
      </c>
      <c r="I47" s="249">
        <f t="shared" si="3"/>
        <v>0</v>
      </c>
      <c r="J47" s="319"/>
      <c r="K47" s="1917"/>
      <c r="L47" s="1918"/>
      <c r="M47" s="1919"/>
    </row>
    <row r="48" spans="1:16" ht="12.75" customHeight="1" x14ac:dyDescent="0.2">
      <c r="A48" s="1923" t="s">
        <v>562</v>
      </c>
      <c r="B48" s="1924"/>
      <c r="C48" s="1925"/>
      <c r="D48" s="245"/>
      <c r="E48" s="260"/>
      <c r="F48" s="260"/>
      <c r="G48" s="260"/>
      <c r="H48" s="249">
        <f t="shared" si="2"/>
        <v>0</v>
      </c>
      <c r="I48" s="249">
        <f t="shared" si="3"/>
        <v>0</v>
      </c>
      <c r="J48" s="319"/>
      <c r="K48" s="1917"/>
      <c r="L48" s="1918"/>
      <c r="M48" s="1919"/>
    </row>
    <row r="49" spans="1:13" x14ac:dyDescent="0.2">
      <c r="A49" s="1409"/>
      <c r="B49" s="1410"/>
      <c r="C49" s="1411"/>
      <c r="D49" s="245"/>
      <c r="E49" s="260"/>
      <c r="F49" s="260"/>
      <c r="G49" s="260"/>
      <c r="H49" s="249">
        <f t="shared" si="2"/>
        <v>0</v>
      </c>
      <c r="I49" s="249">
        <f t="shared" si="3"/>
        <v>0</v>
      </c>
      <c r="J49" s="319"/>
      <c r="K49" s="1917"/>
      <c r="L49" s="1918"/>
      <c r="M49" s="1919"/>
    </row>
    <row r="50" spans="1:13" x14ac:dyDescent="0.2">
      <c r="A50" s="1409"/>
      <c r="B50" s="1410"/>
      <c r="C50" s="1411"/>
      <c r="D50" s="245"/>
      <c r="E50" s="260"/>
      <c r="F50" s="260"/>
      <c r="G50" s="260"/>
      <c r="H50" s="249">
        <f t="shared" si="2"/>
        <v>0</v>
      </c>
      <c r="I50" s="249">
        <f t="shared" si="3"/>
        <v>0</v>
      </c>
      <c r="J50" s="319"/>
      <c r="K50" s="1917"/>
      <c r="L50" s="1918"/>
      <c r="M50" s="1919"/>
    </row>
    <row r="51" spans="1:13" x14ac:dyDescent="0.2">
      <c r="A51" s="1409"/>
      <c r="B51" s="1410"/>
      <c r="C51" s="1411"/>
      <c r="D51" s="245"/>
      <c r="E51" s="260"/>
      <c r="F51" s="260"/>
      <c r="G51" s="260"/>
      <c r="H51" s="249">
        <f t="shared" si="2"/>
        <v>0</v>
      </c>
      <c r="I51" s="249">
        <f t="shared" si="3"/>
        <v>0</v>
      </c>
      <c r="J51" s="319"/>
      <c r="K51" s="1917"/>
      <c r="L51" s="1918"/>
      <c r="M51" s="1919"/>
    </row>
    <row r="52" spans="1:13" ht="13.5" customHeight="1" thickBot="1" x14ac:dyDescent="0.25">
      <c r="A52" s="1949" t="s">
        <v>257</v>
      </c>
      <c r="B52" s="1950"/>
      <c r="C52" s="1951"/>
      <c r="D52" s="245"/>
      <c r="E52" s="261"/>
      <c r="F52" s="261"/>
      <c r="G52" s="261"/>
      <c r="H52" s="249">
        <f t="shared" si="2"/>
        <v>0</v>
      </c>
      <c r="I52" s="249">
        <f t="shared" si="3"/>
        <v>0</v>
      </c>
      <c r="J52" s="320"/>
      <c r="K52" s="1917"/>
      <c r="L52" s="1918"/>
      <c r="M52" s="1919"/>
    </row>
    <row r="53" spans="1:13" ht="14.25" customHeight="1" thickTop="1" thickBot="1" x14ac:dyDescent="0.25">
      <c r="A53" s="1952" t="s">
        <v>413</v>
      </c>
      <c r="B53" s="1953"/>
      <c r="C53" s="1954"/>
      <c r="D53" s="312"/>
      <c r="E53" s="90">
        <f>SUM(E39:E52)</f>
        <v>0</v>
      </c>
      <c r="F53" s="90">
        <f>SUM(F39:F52)</f>
        <v>0</v>
      </c>
      <c r="G53" s="90">
        <f>SUM(G39:G52)</f>
        <v>0</v>
      </c>
      <c r="H53" s="90">
        <f>SUM(H39:H52)</f>
        <v>0</v>
      </c>
      <c r="I53" s="90">
        <f>SUM(I39:I52)</f>
        <v>0</v>
      </c>
      <c r="J53" s="313"/>
      <c r="K53" s="1955"/>
      <c r="L53" s="1956"/>
      <c r="M53" s="1957"/>
    </row>
    <row r="54" spans="1:13" x14ac:dyDescent="0.2">
      <c r="A54" s="251"/>
      <c r="B54" s="251"/>
      <c r="C54" s="251"/>
      <c r="D54" s="252"/>
      <c r="E54" s="253"/>
      <c r="F54" s="253"/>
      <c r="G54" s="253"/>
      <c r="H54" s="253"/>
      <c r="I54" s="253"/>
      <c r="J54" s="253"/>
      <c r="K54" s="253"/>
      <c r="L54" s="253"/>
      <c r="M54" s="253"/>
    </row>
    <row r="55" spans="1:13" x14ac:dyDescent="0.2">
      <c r="A55" s="317"/>
      <c r="B55" s="251"/>
      <c r="C55" s="251"/>
      <c r="D55" s="252"/>
      <c r="E55" s="253"/>
      <c r="F55" s="253"/>
      <c r="G55" s="253"/>
      <c r="H55" s="253"/>
      <c r="I55" s="253"/>
      <c r="J55" s="253"/>
      <c r="K55" s="253"/>
      <c r="L55" s="253"/>
      <c r="M55" s="253"/>
    </row>
    <row r="56" spans="1:13" x14ac:dyDescent="0.2">
      <c r="A56" s="284"/>
      <c r="B56" s="1857"/>
      <c r="C56" s="1857"/>
      <c r="D56" s="1857"/>
      <c r="E56" s="1857"/>
      <c r="F56" s="1857"/>
      <c r="G56" s="1857"/>
      <c r="H56" s="1857"/>
      <c r="I56" s="1857"/>
      <c r="J56" s="1857"/>
      <c r="K56" s="1857"/>
      <c r="L56" s="1857"/>
      <c r="M56" s="1857"/>
    </row>
    <row r="57" spans="1:13" x14ac:dyDescent="0.2">
      <c r="B57" s="1857"/>
      <c r="C57" s="1857"/>
      <c r="D57" s="1857"/>
      <c r="E57" s="1857"/>
      <c r="F57" s="1857"/>
      <c r="G57" s="1857"/>
      <c r="H57" s="1857"/>
      <c r="I57" s="1857"/>
      <c r="J57" s="1857"/>
      <c r="K57" s="1857"/>
      <c r="L57" s="1857"/>
      <c r="M57" s="1857"/>
    </row>
    <row r="58" spans="1:13" ht="13.5" customHeight="1" x14ac:dyDescent="0.2">
      <c r="A58" s="1948"/>
      <c r="B58" s="1958"/>
      <c r="C58" s="1959"/>
      <c r="D58" s="1959"/>
      <c r="E58" s="1959"/>
      <c r="F58" s="799"/>
    </row>
    <row r="59" spans="1:13" x14ac:dyDescent="0.2">
      <c r="A59" s="1948"/>
      <c r="B59" s="1959"/>
      <c r="C59" s="1959"/>
      <c r="D59" s="1959"/>
      <c r="E59" s="1959"/>
      <c r="F59" s="687"/>
    </row>
    <row r="60" spans="1:13" x14ac:dyDescent="0.2">
      <c r="A60" s="242"/>
      <c r="B60" s="236"/>
      <c r="C60" s="236"/>
      <c r="D60" s="236"/>
      <c r="E60" s="236"/>
    </row>
    <row r="61" spans="1:13" x14ac:dyDescent="0.2">
      <c r="A61" s="1948"/>
      <c r="B61" s="1958"/>
      <c r="C61" s="1958"/>
      <c r="D61" s="1958"/>
      <c r="E61" s="1958"/>
      <c r="F61" s="255"/>
    </row>
    <row r="62" spans="1:13" x14ac:dyDescent="0.2">
      <c r="A62" s="1948"/>
      <c r="B62" s="318"/>
      <c r="C62" s="318"/>
      <c r="D62" s="318"/>
      <c r="E62" s="318"/>
    </row>
    <row r="63" spans="1:13" ht="12.75" customHeight="1" x14ac:dyDescent="0.2">
      <c r="A63" s="1948"/>
      <c r="B63" s="318"/>
      <c r="C63" s="318"/>
      <c r="D63" s="318"/>
      <c r="E63" s="318"/>
      <c r="F63" s="687"/>
    </row>
    <row r="64" spans="1:13" x14ac:dyDescent="0.2">
      <c r="A64" s="1948"/>
      <c r="B64" s="318"/>
      <c r="C64" s="318"/>
      <c r="D64" s="318"/>
      <c r="E64" s="318"/>
      <c r="F64" s="687"/>
    </row>
    <row r="65" spans="1:14" x14ac:dyDescent="0.2">
      <c r="A65" s="242"/>
      <c r="B65" s="318"/>
      <c r="C65" s="318"/>
      <c r="D65" s="318"/>
      <c r="E65" s="318"/>
    </row>
    <row r="66" spans="1:14" ht="12.75" customHeight="1" x14ac:dyDescent="0.2">
      <c r="A66" s="1948"/>
      <c r="B66" s="318"/>
      <c r="C66" s="318"/>
      <c r="D66" s="318"/>
      <c r="E66" s="318"/>
      <c r="F66" s="687"/>
      <c r="G66" s="687"/>
      <c r="H66" s="687"/>
      <c r="I66" s="687"/>
      <c r="J66" s="687"/>
      <c r="K66" s="687"/>
      <c r="L66" s="687"/>
      <c r="M66" s="687"/>
      <c r="N66" s="687"/>
    </row>
    <row r="67" spans="1:14" x14ac:dyDescent="0.2">
      <c r="A67" s="1948"/>
      <c r="C67" s="318"/>
      <c r="D67" s="318"/>
      <c r="E67" s="318"/>
      <c r="F67" s="687"/>
      <c r="G67" s="687"/>
      <c r="H67" s="687"/>
      <c r="I67" s="687"/>
      <c r="J67" s="687"/>
      <c r="K67" s="687"/>
      <c r="L67" s="687"/>
      <c r="M67" s="687"/>
      <c r="N67" s="687"/>
    </row>
    <row r="68" spans="1:14" ht="12.75" customHeight="1" x14ac:dyDescent="0.2">
      <c r="A68" s="242"/>
      <c r="C68" s="318"/>
      <c r="D68" s="318"/>
      <c r="E68" s="318"/>
      <c r="F68" s="687"/>
      <c r="G68" s="687"/>
      <c r="H68" s="687"/>
      <c r="I68" s="687"/>
      <c r="J68" s="687"/>
      <c r="K68" s="687"/>
      <c r="L68" s="687"/>
      <c r="M68" s="687"/>
      <c r="N68" s="687"/>
    </row>
    <row r="69" spans="1:14" x14ac:dyDescent="0.2">
      <c r="A69" s="1960"/>
      <c r="B69" s="318"/>
      <c r="C69" s="318"/>
      <c r="D69" s="318"/>
      <c r="E69" s="318"/>
      <c r="F69" s="687"/>
      <c r="G69" s="687"/>
      <c r="H69" s="687"/>
      <c r="I69" s="687"/>
      <c r="J69" s="687"/>
      <c r="K69" s="687"/>
      <c r="L69" s="687"/>
      <c r="M69" s="687"/>
      <c r="N69" s="687"/>
    </row>
    <row r="70" spans="1:14" x14ac:dyDescent="0.2">
      <c r="A70" s="1960"/>
      <c r="B70" s="318"/>
      <c r="C70" s="318"/>
      <c r="D70" s="318"/>
      <c r="E70" s="318"/>
      <c r="F70" s="687"/>
      <c r="G70" s="687"/>
      <c r="H70" s="687"/>
      <c r="I70" s="687"/>
      <c r="J70" s="687"/>
      <c r="K70" s="687"/>
      <c r="L70" s="687"/>
      <c r="M70" s="687"/>
      <c r="N70" s="687"/>
    </row>
    <row r="71" spans="1:14" x14ac:dyDescent="0.2">
      <c r="A71" s="1960"/>
      <c r="B71" s="318"/>
      <c r="C71" s="318"/>
      <c r="D71" s="318"/>
      <c r="E71" s="318"/>
      <c r="F71" s="687"/>
      <c r="G71" s="687"/>
      <c r="H71" s="687"/>
      <c r="I71" s="687"/>
      <c r="J71" s="687"/>
      <c r="K71" s="687"/>
      <c r="L71" s="687"/>
      <c r="M71" s="687"/>
      <c r="N71" s="687"/>
    </row>
    <row r="72" spans="1:14" x14ac:dyDescent="0.2">
      <c r="A72" s="1960"/>
      <c r="B72" s="318"/>
      <c r="C72" s="318"/>
      <c r="D72" s="318"/>
      <c r="E72" s="318"/>
      <c r="F72" s="687"/>
      <c r="G72" s="687"/>
      <c r="H72" s="687"/>
      <c r="I72" s="687"/>
      <c r="J72" s="687"/>
      <c r="K72" s="687"/>
      <c r="L72" s="687"/>
      <c r="M72" s="687"/>
      <c r="N72" s="687"/>
    </row>
    <row r="73" spans="1:14" x14ac:dyDescent="0.2">
      <c r="A73" s="242"/>
      <c r="B73" s="318"/>
      <c r="C73" s="318"/>
      <c r="D73" s="318"/>
      <c r="E73" s="318"/>
    </row>
    <row r="74" spans="1:14" ht="12.75" customHeight="1" x14ac:dyDescent="0.2">
      <c r="A74" s="1948"/>
      <c r="B74" s="318"/>
      <c r="C74" s="318"/>
      <c r="D74" s="318"/>
      <c r="E74" s="318"/>
      <c r="F74" s="687"/>
      <c r="G74" s="687"/>
      <c r="H74" s="687"/>
      <c r="I74" s="687"/>
      <c r="J74" s="687"/>
      <c r="K74" s="687"/>
      <c r="L74" s="687"/>
      <c r="M74" s="687"/>
      <c r="N74" s="687"/>
    </row>
    <row r="75" spans="1:14" x14ac:dyDescent="0.2">
      <c r="A75" s="1948"/>
      <c r="B75" s="318"/>
      <c r="C75" s="318"/>
      <c r="D75" s="318"/>
      <c r="E75" s="318"/>
      <c r="F75" s="687"/>
      <c r="G75" s="687"/>
      <c r="H75" s="687"/>
      <c r="I75" s="687"/>
      <c r="J75" s="687"/>
      <c r="K75" s="687"/>
      <c r="L75" s="687"/>
      <c r="M75" s="687"/>
      <c r="N75" s="687"/>
    </row>
    <row r="76" spans="1:14" x14ac:dyDescent="0.2">
      <c r="B76" s="318"/>
      <c r="C76" s="318"/>
      <c r="D76" s="318"/>
      <c r="E76" s="318"/>
    </row>
    <row r="77" spans="1:14" ht="12.75" customHeight="1" x14ac:dyDescent="0.2">
      <c r="B77" s="318"/>
      <c r="C77" s="318"/>
      <c r="D77" s="318"/>
      <c r="E77" s="318"/>
    </row>
  </sheetData>
  <mergeCells count="78">
    <mergeCell ref="A9:M9"/>
    <mergeCell ref="A10:M10"/>
    <mergeCell ref="A12:M12"/>
    <mergeCell ref="A14:C16"/>
    <mergeCell ref="K14:M14"/>
    <mergeCell ref="K15:M15"/>
    <mergeCell ref="K16:M16"/>
    <mergeCell ref="A23:C23"/>
    <mergeCell ref="K23:M23"/>
    <mergeCell ref="A17:C17"/>
    <mergeCell ref="K17:M17"/>
    <mergeCell ref="A18:C18"/>
    <mergeCell ref="K18:M18"/>
    <mergeCell ref="A19:C19"/>
    <mergeCell ref="K19:M19"/>
    <mergeCell ref="A20:C20"/>
    <mergeCell ref="K20:M20"/>
    <mergeCell ref="A21:C21"/>
    <mergeCell ref="K21:M21"/>
    <mergeCell ref="K22:M22"/>
    <mergeCell ref="A22:C22"/>
    <mergeCell ref="A24:C24"/>
    <mergeCell ref="K24:M24"/>
    <mergeCell ref="A25:C25"/>
    <mergeCell ref="K25:M25"/>
    <mergeCell ref="A26:C26"/>
    <mergeCell ref="K26:M26"/>
    <mergeCell ref="A36:C38"/>
    <mergeCell ref="K36:M36"/>
    <mergeCell ref="K37:M37"/>
    <mergeCell ref="K38:M38"/>
    <mergeCell ref="A27:C27"/>
    <mergeCell ref="K27:M27"/>
    <mergeCell ref="A28:C28"/>
    <mergeCell ref="K28:M28"/>
    <mergeCell ref="A29:C29"/>
    <mergeCell ref="K29:M29"/>
    <mergeCell ref="A30:C30"/>
    <mergeCell ref="K30:M30"/>
    <mergeCell ref="A31:C31"/>
    <mergeCell ref="K31:M31"/>
    <mergeCell ref="A34:M34"/>
    <mergeCell ref="A45:C45"/>
    <mergeCell ref="K45:M45"/>
    <mergeCell ref="A39:C39"/>
    <mergeCell ref="K39:M39"/>
    <mergeCell ref="A40:C40"/>
    <mergeCell ref="K40:M40"/>
    <mergeCell ref="A41:C41"/>
    <mergeCell ref="K41:M41"/>
    <mergeCell ref="A42:C42"/>
    <mergeCell ref="K42:M42"/>
    <mergeCell ref="A43:C43"/>
    <mergeCell ref="K43:M43"/>
    <mergeCell ref="K44:M44"/>
    <mergeCell ref="A44:C44"/>
    <mergeCell ref="A46:C46"/>
    <mergeCell ref="K46:M46"/>
    <mergeCell ref="A47:C47"/>
    <mergeCell ref="K47:M47"/>
    <mergeCell ref="A48:C48"/>
    <mergeCell ref="K48:M48"/>
    <mergeCell ref="K49:M49"/>
    <mergeCell ref="K50:M50"/>
    <mergeCell ref="K51:M51"/>
    <mergeCell ref="A74:A75"/>
    <mergeCell ref="A52:C52"/>
    <mergeCell ref="K52:M52"/>
    <mergeCell ref="A53:C53"/>
    <mergeCell ref="K53:M53"/>
    <mergeCell ref="B56:M57"/>
    <mergeCell ref="A58:A59"/>
    <mergeCell ref="B58:E59"/>
    <mergeCell ref="A61:A62"/>
    <mergeCell ref="B61:E61"/>
    <mergeCell ref="A63:A64"/>
    <mergeCell ref="A66:A67"/>
    <mergeCell ref="A69:A72"/>
  </mergeCells>
  <dataValidations count="2">
    <dataValidation type="list" allowBlank="1" showInputMessage="1" showErrorMessage="1" sqref="J39:J52 J17:J30">
      <formula1>"Y, N"</formula1>
    </dataValidation>
    <dataValidation allowBlank="1" showInputMessage="1" showErrorMessage="1" promptTitle="Date Format" prompt="E.g:  &quot;August 1, 2011&quot;" sqref="WVU98304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dataValidations>
  <pageMargins left="0.75" right="0.75" top="1" bottom="1" header="0.5" footer="0.5"/>
  <pageSetup scale="5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57"/>
  <sheetViews>
    <sheetView showGridLines="0" topLeftCell="A16" zoomScaleNormal="100" workbookViewId="0">
      <selection activeCell="L31" sqref="L31"/>
    </sheetView>
  </sheetViews>
  <sheetFormatPr defaultRowHeight="15" x14ac:dyDescent="0.25"/>
  <cols>
    <col min="1" max="1" width="51.7109375" style="265" customWidth="1"/>
    <col min="2" max="2" width="9.140625" style="265"/>
    <col min="3" max="7" width="10.28515625" style="265" bestFit="1" customWidth="1"/>
    <col min="8" max="8" width="12.7109375" style="265" customWidth="1"/>
    <col min="9" max="9" width="11" style="265" bestFit="1" customWidth="1"/>
    <col min="10" max="10" width="9.28515625" style="265" bestFit="1" customWidth="1"/>
    <col min="11" max="256" width="9.140625" style="265"/>
    <col min="257" max="257" width="51.7109375" style="265" customWidth="1"/>
    <col min="258" max="263" width="9.140625" style="265"/>
    <col min="264" max="264" width="11.28515625" style="265" customWidth="1"/>
    <col min="265" max="512" width="9.140625" style="265"/>
    <col min="513" max="513" width="51.7109375" style="265" customWidth="1"/>
    <col min="514" max="519" width="9.140625" style="265"/>
    <col min="520" max="520" width="11.28515625" style="265" customWidth="1"/>
    <col min="521" max="768" width="9.140625" style="265"/>
    <col min="769" max="769" width="51.7109375" style="265" customWidth="1"/>
    <col min="770" max="775" width="9.140625" style="265"/>
    <col min="776" max="776" width="11.28515625" style="265" customWidth="1"/>
    <col min="777" max="1024" width="9.140625" style="265"/>
    <col min="1025" max="1025" width="51.7109375" style="265" customWidth="1"/>
    <col min="1026" max="1031" width="9.140625" style="265"/>
    <col min="1032" max="1032" width="11.28515625" style="265" customWidth="1"/>
    <col min="1033" max="1280" width="9.140625" style="265"/>
    <col min="1281" max="1281" width="51.7109375" style="265" customWidth="1"/>
    <col min="1282" max="1287" width="9.140625" style="265"/>
    <col min="1288" max="1288" width="11.28515625" style="265" customWidth="1"/>
    <col min="1289" max="1536" width="9.140625" style="265"/>
    <col min="1537" max="1537" width="51.7109375" style="265" customWidth="1"/>
    <col min="1538" max="1543" width="9.140625" style="265"/>
    <col min="1544" max="1544" width="11.28515625" style="265" customWidth="1"/>
    <col min="1545" max="1792" width="9.140625" style="265"/>
    <col min="1793" max="1793" width="51.7109375" style="265" customWidth="1"/>
    <col min="1794" max="1799" width="9.140625" style="265"/>
    <col min="1800" max="1800" width="11.28515625" style="265" customWidth="1"/>
    <col min="1801" max="2048" width="9.140625" style="265"/>
    <col min="2049" max="2049" width="51.7109375" style="265" customWidth="1"/>
    <col min="2050" max="2055" width="9.140625" style="265"/>
    <col min="2056" max="2056" width="11.28515625" style="265" customWidth="1"/>
    <col min="2057" max="2304" width="9.140625" style="265"/>
    <col min="2305" max="2305" width="51.7109375" style="265" customWidth="1"/>
    <col min="2306" max="2311" width="9.140625" style="265"/>
    <col min="2312" max="2312" width="11.28515625" style="265" customWidth="1"/>
    <col min="2313" max="2560" width="9.140625" style="265"/>
    <col min="2561" max="2561" width="51.7109375" style="265" customWidth="1"/>
    <col min="2562" max="2567" width="9.140625" style="265"/>
    <col min="2568" max="2568" width="11.28515625" style="265" customWidth="1"/>
    <col min="2569" max="2816" width="9.140625" style="265"/>
    <col min="2817" max="2817" width="51.7109375" style="265" customWidth="1"/>
    <col min="2818" max="2823" width="9.140625" style="265"/>
    <col min="2824" max="2824" width="11.28515625" style="265" customWidth="1"/>
    <col min="2825" max="3072" width="9.140625" style="265"/>
    <col min="3073" max="3073" width="51.7109375" style="265" customWidth="1"/>
    <col min="3074" max="3079" width="9.140625" style="265"/>
    <col min="3080" max="3080" width="11.28515625" style="265" customWidth="1"/>
    <col min="3081" max="3328" width="9.140625" style="265"/>
    <col min="3329" max="3329" width="51.7109375" style="265" customWidth="1"/>
    <col min="3330" max="3335" width="9.140625" style="265"/>
    <col min="3336" max="3336" width="11.28515625" style="265" customWidth="1"/>
    <col min="3337" max="3584" width="9.140625" style="265"/>
    <col min="3585" max="3585" width="51.7109375" style="265" customWidth="1"/>
    <col min="3586" max="3591" width="9.140625" style="265"/>
    <col min="3592" max="3592" width="11.28515625" style="265" customWidth="1"/>
    <col min="3593" max="3840" width="9.140625" style="265"/>
    <col min="3841" max="3841" width="51.7109375" style="265" customWidth="1"/>
    <col min="3842" max="3847" width="9.140625" style="265"/>
    <col min="3848" max="3848" width="11.28515625" style="265" customWidth="1"/>
    <col min="3849" max="4096" width="9.140625" style="265"/>
    <col min="4097" max="4097" width="51.7109375" style="265" customWidth="1"/>
    <col min="4098" max="4103" width="9.140625" style="265"/>
    <col min="4104" max="4104" width="11.28515625" style="265" customWidth="1"/>
    <col min="4105" max="4352" width="9.140625" style="265"/>
    <col min="4353" max="4353" width="51.7109375" style="265" customWidth="1"/>
    <col min="4354" max="4359" width="9.140625" style="265"/>
    <col min="4360" max="4360" width="11.28515625" style="265" customWidth="1"/>
    <col min="4361" max="4608" width="9.140625" style="265"/>
    <col min="4609" max="4609" width="51.7109375" style="265" customWidth="1"/>
    <col min="4610" max="4615" width="9.140625" style="265"/>
    <col min="4616" max="4616" width="11.28515625" style="265" customWidth="1"/>
    <col min="4617" max="4864" width="9.140625" style="265"/>
    <col min="4865" max="4865" width="51.7109375" style="265" customWidth="1"/>
    <col min="4866" max="4871" width="9.140625" style="265"/>
    <col min="4872" max="4872" width="11.28515625" style="265" customWidth="1"/>
    <col min="4873" max="5120" width="9.140625" style="265"/>
    <col min="5121" max="5121" width="51.7109375" style="265" customWidth="1"/>
    <col min="5122" max="5127" width="9.140625" style="265"/>
    <col min="5128" max="5128" width="11.28515625" style="265" customWidth="1"/>
    <col min="5129" max="5376" width="9.140625" style="265"/>
    <col min="5377" max="5377" width="51.7109375" style="265" customWidth="1"/>
    <col min="5378" max="5383" width="9.140625" style="265"/>
    <col min="5384" max="5384" width="11.28515625" style="265" customWidth="1"/>
    <col min="5385" max="5632" width="9.140625" style="265"/>
    <col min="5633" max="5633" width="51.7109375" style="265" customWidth="1"/>
    <col min="5634" max="5639" width="9.140625" style="265"/>
    <col min="5640" max="5640" width="11.28515625" style="265" customWidth="1"/>
    <col min="5641" max="5888" width="9.140625" style="265"/>
    <col min="5889" max="5889" width="51.7109375" style="265" customWidth="1"/>
    <col min="5890" max="5895" width="9.140625" style="265"/>
    <col min="5896" max="5896" width="11.28515625" style="265" customWidth="1"/>
    <col min="5897" max="6144" width="9.140625" style="265"/>
    <col min="6145" max="6145" width="51.7109375" style="265" customWidth="1"/>
    <col min="6146" max="6151" width="9.140625" style="265"/>
    <col min="6152" max="6152" width="11.28515625" style="265" customWidth="1"/>
    <col min="6153" max="6400" width="9.140625" style="265"/>
    <col min="6401" max="6401" width="51.7109375" style="265" customWidth="1"/>
    <col min="6402" max="6407" width="9.140625" style="265"/>
    <col min="6408" max="6408" width="11.28515625" style="265" customWidth="1"/>
    <col min="6409" max="6656" width="9.140625" style="265"/>
    <col min="6657" max="6657" width="51.7109375" style="265" customWidth="1"/>
    <col min="6658" max="6663" width="9.140625" style="265"/>
    <col min="6664" max="6664" width="11.28515625" style="265" customWidth="1"/>
    <col min="6665" max="6912" width="9.140625" style="265"/>
    <col min="6913" max="6913" width="51.7109375" style="265" customWidth="1"/>
    <col min="6914" max="6919" width="9.140625" style="265"/>
    <col min="6920" max="6920" width="11.28515625" style="265" customWidth="1"/>
    <col min="6921" max="7168" width="9.140625" style="265"/>
    <col min="7169" max="7169" width="51.7109375" style="265" customWidth="1"/>
    <col min="7170" max="7175" width="9.140625" style="265"/>
    <col min="7176" max="7176" width="11.28515625" style="265" customWidth="1"/>
    <col min="7177" max="7424" width="9.140625" style="265"/>
    <col min="7425" max="7425" width="51.7109375" style="265" customWidth="1"/>
    <col min="7426" max="7431" width="9.140625" style="265"/>
    <col min="7432" max="7432" width="11.28515625" style="265" customWidth="1"/>
    <col min="7433" max="7680" width="9.140625" style="265"/>
    <col min="7681" max="7681" width="51.7109375" style="265" customWidth="1"/>
    <col min="7682" max="7687" width="9.140625" style="265"/>
    <col min="7688" max="7688" width="11.28515625" style="265" customWidth="1"/>
    <col min="7689" max="7936" width="9.140625" style="265"/>
    <col min="7937" max="7937" width="51.7109375" style="265" customWidth="1"/>
    <col min="7938" max="7943" width="9.140625" style="265"/>
    <col min="7944" max="7944" width="11.28515625" style="265" customWidth="1"/>
    <col min="7945" max="8192" width="9.140625" style="265"/>
    <col min="8193" max="8193" width="51.7109375" style="265" customWidth="1"/>
    <col min="8194" max="8199" width="9.140625" style="265"/>
    <col min="8200" max="8200" width="11.28515625" style="265" customWidth="1"/>
    <col min="8201" max="8448" width="9.140625" style="265"/>
    <col min="8449" max="8449" width="51.7109375" style="265" customWidth="1"/>
    <col min="8450" max="8455" width="9.140625" style="265"/>
    <col min="8456" max="8456" width="11.28515625" style="265" customWidth="1"/>
    <col min="8457" max="8704" width="9.140625" style="265"/>
    <col min="8705" max="8705" width="51.7109375" style="265" customWidth="1"/>
    <col min="8706" max="8711" width="9.140625" style="265"/>
    <col min="8712" max="8712" width="11.28515625" style="265" customWidth="1"/>
    <col min="8713" max="8960" width="9.140625" style="265"/>
    <col min="8961" max="8961" width="51.7109375" style="265" customWidth="1"/>
    <col min="8962" max="8967" width="9.140625" style="265"/>
    <col min="8968" max="8968" width="11.28515625" style="265" customWidth="1"/>
    <col min="8969" max="9216" width="9.140625" style="265"/>
    <col min="9217" max="9217" width="51.7109375" style="265" customWidth="1"/>
    <col min="9218" max="9223" width="9.140625" style="265"/>
    <col min="9224" max="9224" width="11.28515625" style="265" customWidth="1"/>
    <col min="9225" max="9472" width="9.140625" style="265"/>
    <col min="9473" max="9473" width="51.7109375" style="265" customWidth="1"/>
    <col min="9474" max="9479" width="9.140625" style="265"/>
    <col min="9480" max="9480" width="11.28515625" style="265" customWidth="1"/>
    <col min="9481" max="9728" width="9.140625" style="265"/>
    <col min="9729" max="9729" width="51.7109375" style="265" customWidth="1"/>
    <col min="9730" max="9735" width="9.140625" style="265"/>
    <col min="9736" max="9736" width="11.28515625" style="265" customWidth="1"/>
    <col min="9737" max="9984" width="9.140625" style="265"/>
    <col min="9985" max="9985" width="51.7109375" style="265" customWidth="1"/>
    <col min="9986" max="9991" width="9.140625" style="265"/>
    <col min="9992" max="9992" width="11.28515625" style="265" customWidth="1"/>
    <col min="9993" max="10240" width="9.140625" style="265"/>
    <col min="10241" max="10241" width="51.7109375" style="265" customWidth="1"/>
    <col min="10242" max="10247" width="9.140625" style="265"/>
    <col min="10248" max="10248" width="11.28515625" style="265" customWidth="1"/>
    <col min="10249" max="10496" width="9.140625" style="265"/>
    <col min="10497" max="10497" width="51.7109375" style="265" customWidth="1"/>
    <col min="10498" max="10503" width="9.140625" style="265"/>
    <col min="10504" max="10504" width="11.28515625" style="265" customWidth="1"/>
    <col min="10505" max="10752" width="9.140625" style="265"/>
    <col min="10753" max="10753" width="51.7109375" style="265" customWidth="1"/>
    <col min="10754" max="10759" width="9.140625" style="265"/>
    <col min="10760" max="10760" width="11.28515625" style="265" customWidth="1"/>
    <col min="10761" max="11008" width="9.140625" style="265"/>
    <col min="11009" max="11009" width="51.7109375" style="265" customWidth="1"/>
    <col min="11010" max="11015" width="9.140625" style="265"/>
    <col min="11016" max="11016" width="11.28515625" style="265" customWidth="1"/>
    <col min="11017" max="11264" width="9.140625" style="265"/>
    <col min="11265" max="11265" width="51.7109375" style="265" customWidth="1"/>
    <col min="11266" max="11271" width="9.140625" style="265"/>
    <col min="11272" max="11272" width="11.28515625" style="265" customWidth="1"/>
    <col min="11273" max="11520" width="9.140625" style="265"/>
    <col min="11521" max="11521" width="51.7109375" style="265" customWidth="1"/>
    <col min="11522" max="11527" width="9.140625" style="265"/>
    <col min="11528" max="11528" width="11.28515625" style="265" customWidth="1"/>
    <col min="11529" max="11776" width="9.140625" style="265"/>
    <col min="11777" max="11777" width="51.7109375" style="265" customWidth="1"/>
    <col min="11778" max="11783" width="9.140625" style="265"/>
    <col min="11784" max="11784" width="11.28515625" style="265" customWidth="1"/>
    <col min="11785" max="12032" width="9.140625" style="265"/>
    <col min="12033" max="12033" width="51.7109375" style="265" customWidth="1"/>
    <col min="12034" max="12039" width="9.140625" style="265"/>
    <col min="12040" max="12040" width="11.28515625" style="265" customWidth="1"/>
    <col min="12041" max="12288" width="9.140625" style="265"/>
    <col min="12289" max="12289" width="51.7109375" style="265" customWidth="1"/>
    <col min="12290" max="12295" width="9.140625" style="265"/>
    <col min="12296" max="12296" width="11.28515625" style="265" customWidth="1"/>
    <col min="12297" max="12544" width="9.140625" style="265"/>
    <col min="12545" max="12545" width="51.7109375" style="265" customWidth="1"/>
    <col min="12546" max="12551" width="9.140625" style="265"/>
    <col min="12552" max="12552" width="11.28515625" style="265" customWidth="1"/>
    <col min="12553" max="12800" width="9.140625" style="265"/>
    <col min="12801" max="12801" width="51.7109375" style="265" customWidth="1"/>
    <col min="12802" max="12807" width="9.140625" style="265"/>
    <col min="12808" max="12808" width="11.28515625" style="265" customWidth="1"/>
    <col min="12809" max="13056" width="9.140625" style="265"/>
    <col min="13057" max="13057" width="51.7109375" style="265" customWidth="1"/>
    <col min="13058" max="13063" width="9.140625" style="265"/>
    <col min="13064" max="13064" width="11.28515625" style="265" customWidth="1"/>
    <col min="13065" max="13312" width="9.140625" style="265"/>
    <col min="13313" max="13313" width="51.7109375" style="265" customWidth="1"/>
    <col min="13314" max="13319" width="9.140625" style="265"/>
    <col min="13320" max="13320" width="11.28515625" style="265" customWidth="1"/>
    <col min="13321" max="13568" width="9.140625" style="265"/>
    <col min="13569" max="13569" width="51.7109375" style="265" customWidth="1"/>
    <col min="13570" max="13575" width="9.140625" style="265"/>
    <col min="13576" max="13576" width="11.28515625" style="265" customWidth="1"/>
    <col min="13577" max="13824" width="9.140625" style="265"/>
    <col min="13825" max="13825" width="51.7109375" style="265" customWidth="1"/>
    <col min="13826" max="13831" width="9.140625" style="265"/>
    <col min="13832" max="13832" width="11.28515625" style="265" customWidth="1"/>
    <col min="13833" max="14080" width="9.140625" style="265"/>
    <col min="14081" max="14081" width="51.7109375" style="265" customWidth="1"/>
    <col min="14082" max="14087" width="9.140625" style="265"/>
    <col min="14088" max="14088" width="11.28515625" style="265" customWidth="1"/>
    <col min="14089" max="14336" width="9.140625" style="265"/>
    <col min="14337" max="14337" width="51.7109375" style="265" customWidth="1"/>
    <col min="14338" max="14343" width="9.140625" style="265"/>
    <col min="14344" max="14344" width="11.28515625" style="265" customWidth="1"/>
    <col min="14345" max="14592" width="9.140625" style="265"/>
    <col min="14593" max="14593" width="51.7109375" style="265" customWidth="1"/>
    <col min="14594" max="14599" width="9.140625" style="265"/>
    <col min="14600" max="14600" width="11.28515625" style="265" customWidth="1"/>
    <col min="14601" max="14848" width="9.140625" style="265"/>
    <col min="14849" max="14849" width="51.7109375" style="265" customWidth="1"/>
    <col min="14850" max="14855" width="9.140625" style="265"/>
    <col min="14856" max="14856" width="11.28515625" style="265" customWidth="1"/>
    <col min="14857" max="15104" width="9.140625" style="265"/>
    <col min="15105" max="15105" width="51.7109375" style="265" customWidth="1"/>
    <col min="15106" max="15111" width="9.140625" style="265"/>
    <col min="15112" max="15112" width="11.28515625" style="265" customWidth="1"/>
    <col min="15113" max="15360" width="9.140625" style="265"/>
    <col min="15361" max="15361" width="51.7109375" style="265" customWidth="1"/>
    <col min="15362" max="15367" width="9.140625" style="265"/>
    <col min="15368" max="15368" width="11.28515625" style="265" customWidth="1"/>
    <col min="15369" max="15616" width="9.140625" style="265"/>
    <col min="15617" max="15617" width="51.7109375" style="265" customWidth="1"/>
    <col min="15618" max="15623" width="9.140625" style="265"/>
    <col min="15624" max="15624" width="11.28515625" style="265" customWidth="1"/>
    <col min="15625" max="15872" width="9.140625" style="265"/>
    <col min="15873" max="15873" width="51.7109375" style="265" customWidth="1"/>
    <col min="15874" max="15879" width="9.140625" style="265"/>
    <col min="15880" max="15880" width="11.28515625" style="265" customWidth="1"/>
    <col min="15881" max="16128" width="9.140625" style="265"/>
    <col min="16129" max="16129" width="51.7109375" style="265" customWidth="1"/>
    <col min="16130" max="16135" width="9.140625" style="265"/>
    <col min="16136" max="16136" width="11.28515625" style="265" customWidth="1"/>
    <col min="16137" max="16384" width="9.140625" style="265"/>
  </cols>
  <sheetData>
    <row r="1" spans="1:11" x14ac:dyDescent="0.25">
      <c r="A1" s="216"/>
      <c r="B1" s="219"/>
      <c r="C1" s="219"/>
      <c r="D1" s="219"/>
      <c r="E1" s="219"/>
      <c r="F1" s="219"/>
      <c r="G1" s="216"/>
      <c r="H1" s="217" t="s">
        <v>419</v>
      </c>
      <c r="I1" s="766" t="str">
        <f>EBNUMBER</f>
        <v>EB-2014-0113</v>
      </c>
    </row>
    <row r="2" spans="1:11" x14ac:dyDescent="0.25">
      <c r="A2" s="216"/>
      <c r="B2" s="219"/>
      <c r="C2" s="219"/>
      <c r="D2" s="219"/>
      <c r="E2" s="219"/>
      <c r="F2" s="219"/>
      <c r="G2" s="216"/>
      <c r="H2" s="217" t="s">
        <v>420</v>
      </c>
      <c r="I2" s="767"/>
    </row>
    <row r="3" spans="1:11" x14ac:dyDescent="0.25">
      <c r="A3" s="216"/>
      <c r="B3" s="219"/>
      <c r="C3" s="219"/>
      <c r="D3" s="219"/>
      <c r="E3" s="219"/>
      <c r="F3" s="219"/>
      <c r="G3" s="216"/>
      <c r="H3" s="217" t="s">
        <v>421</v>
      </c>
      <c r="I3" s="767"/>
    </row>
    <row r="4" spans="1:11" x14ac:dyDescent="0.25">
      <c r="A4" s="216"/>
      <c r="B4" s="219"/>
      <c r="C4" s="219"/>
      <c r="D4" s="219"/>
      <c r="E4" s="219"/>
      <c r="F4" s="219"/>
      <c r="G4" s="216"/>
      <c r="H4" s="217" t="s">
        <v>422</v>
      </c>
      <c r="I4" s="767"/>
    </row>
    <row r="5" spans="1:11" x14ac:dyDescent="0.25">
      <c r="A5" s="216"/>
      <c r="B5" s="219"/>
      <c r="C5" s="219"/>
      <c r="D5" s="219"/>
      <c r="E5" s="219"/>
      <c r="F5" s="219"/>
      <c r="G5" s="216"/>
      <c r="H5" s="217" t="s">
        <v>423</v>
      </c>
      <c r="I5" s="768"/>
    </row>
    <row r="6" spans="1:11" x14ac:dyDescent="0.25">
      <c r="A6" s="216"/>
      <c r="B6" s="219"/>
      <c r="C6" s="219"/>
      <c r="D6" s="219"/>
      <c r="E6" s="219"/>
      <c r="F6" s="219"/>
      <c r="G6" s="216"/>
      <c r="H6" s="217"/>
      <c r="I6" s="766"/>
    </row>
    <row r="7" spans="1:11" x14ac:dyDescent="0.25">
      <c r="A7" s="216"/>
      <c r="B7" s="219"/>
      <c r="C7" s="219"/>
      <c r="D7" s="219"/>
      <c r="E7" s="219"/>
      <c r="F7" s="219"/>
      <c r="G7" s="216"/>
      <c r="H7" s="217" t="s">
        <v>424</v>
      </c>
      <c r="I7" s="768"/>
    </row>
    <row r="8" spans="1:11" x14ac:dyDescent="0.25">
      <c r="A8" s="216"/>
      <c r="B8" s="216"/>
      <c r="C8" s="216"/>
      <c r="D8" s="216"/>
      <c r="E8" s="216"/>
      <c r="F8" s="216"/>
      <c r="G8" s="216"/>
      <c r="H8" s="216"/>
      <c r="I8" s="216"/>
    </row>
    <row r="9" spans="1:11" ht="18" x14ac:dyDescent="0.25">
      <c r="A9" s="1856" t="s">
        <v>619</v>
      </c>
      <c r="B9" s="1967"/>
      <c r="C9" s="1967"/>
      <c r="D9" s="1967"/>
      <c r="E9" s="1967"/>
      <c r="F9" s="1967"/>
      <c r="G9" s="1967"/>
      <c r="H9" s="1967"/>
      <c r="I9" s="1967"/>
    </row>
    <row r="10" spans="1:11" ht="18" x14ac:dyDescent="0.25">
      <c r="A10" s="1856" t="s">
        <v>598</v>
      </c>
      <c r="B10" s="1968"/>
      <c r="C10" s="1968"/>
      <c r="D10" s="1968"/>
      <c r="E10" s="1968"/>
      <c r="F10" s="1968"/>
      <c r="G10" s="1968"/>
      <c r="H10" s="1968"/>
      <c r="I10" s="1968"/>
    </row>
    <row r="11" spans="1:11" ht="18" x14ac:dyDescent="0.25">
      <c r="A11" s="1856" t="s">
        <v>586</v>
      </c>
      <c r="B11" s="1968"/>
      <c r="C11" s="1968"/>
      <c r="D11" s="1968"/>
      <c r="E11" s="1968"/>
      <c r="F11" s="1968"/>
      <c r="G11" s="1968"/>
      <c r="H11" s="1968"/>
      <c r="I11" s="1968"/>
    </row>
    <row r="12" spans="1:11" x14ac:dyDescent="0.25">
      <c r="A12" s="216"/>
      <c r="B12" s="216"/>
      <c r="C12" s="216"/>
      <c r="D12" s="216"/>
      <c r="E12" s="216"/>
      <c r="F12" s="216"/>
      <c r="G12" s="216"/>
      <c r="H12" s="216"/>
      <c r="I12" s="216"/>
    </row>
    <row r="13" spans="1:11" s="268" customFormat="1" x14ac:dyDescent="0.25">
      <c r="A13" s="1969" t="s">
        <v>587</v>
      </c>
      <c r="B13" s="1969"/>
      <c r="C13" s="1969"/>
      <c r="D13" s="1969"/>
      <c r="E13" s="1969"/>
      <c r="F13" s="1969"/>
      <c r="G13" s="1969"/>
      <c r="H13" s="1969"/>
      <c r="I13" s="1969"/>
      <c r="J13" s="267"/>
      <c r="K13" s="267"/>
    </row>
    <row r="14" spans="1:11" x14ac:dyDescent="0.25">
      <c r="A14" s="269"/>
      <c r="B14" s="269"/>
      <c r="C14" s="269"/>
      <c r="D14" s="269"/>
      <c r="E14" s="269"/>
      <c r="F14" s="269"/>
      <c r="G14" s="269"/>
      <c r="H14" s="269"/>
      <c r="I14" s="269"/>
      <c r="J14" s="270"/>
      <c r="K14" s="270"/>
    </row>
    <row r="15" spans="1:11" x14ac:dyDescent="0.25">
      <c r="A15" s="1969" t="s">
        <v>588</v>
      </c>
      <c r="B15" s="1969"/>
      <c r="C15" s="1969"/>
      <c r="D15" s="1969"/>
      <c r="E15" s="1969"/>
      <c r="F15" s="1969"/>
      <c r="G15" s="1969"/>
      <c r="H15" s="1969"/>
      <c r="I15" s="1969"/>
      <c r="J15" s="270"/>
      <c r="K15" s="270"/>
    </row>
    <row r="16" spans="1:11" x14ac:dyDescent="0.25">
      <c r="A16" s="269"/>
      <c r="B16" s="269"/>
      <c r="C16" s="269"/>
      <c r="D16" s="269"/>
      <c r="E16" s="269"/>
      <c r="F16" s="269"/>
      <c r="G16" s="269"/>
      <c r="H16" s="269"/>
      <c r="I16" s="269"/>
      <c r="J16" s="270"/>
      <c r="K16" s="270"/>
    </row>
    <row r="17" spans="1:13" ht="39" x14ac:dyDescent="0.25">
      <c r="A17" s="269"/>
      <c r="B17" s="324" t="str">
        <f>RebaseYear &amp;" Rebasing Year"</f>
        <v>2011 Rebasing Year</v>
      </c>
      <c r="C17" s="324">
        <v>2011</v>
      </c>
      <c r="D17" s="324">
        <v>2012</v>
      </c>
      <c r="E17" s="324">
        <v>2013</v>
      </c>
      <c r="F17" s="324" t="s">
        <v>804</v>
      </c>
      <c r="G17" s="324">
        <v>2015</v>
      </c>
      <c r="H17" s="324">
        <v>2016</v>
      </c>
      <c r="I17" s="324">
        <v>2017</v>
      </c>
      <c r="J17" s="324">
        <v>2018</v>
      </c>
      <c r="K17" s="270"/>
    </row>
    <row r="18" spans="1:13" x14ac:dyDescent="0.25">
      <c r="A18" s="266" t="s">
        <v>160</v>
      </c>
      <c r="B18" s="336" t="s">
        <v>161</v>
      </c>
      <c r="C18" s="336" t="s">
        <v>589</v>
      </c>
      <c r="D18" s="336" t="s">
        <v>589</v>
      </c>
      <c r="E18" s="336" t="s">
        <v>589</v>
      </c>
      <c r="F18" s="336" t="s">
        <v>162</v>
      </c>
      <c r="G18" s="336" t="s">
        <v>589</v>
      </c>
      <c r="H18" s="336" t="s">
        <v>589</v>
      </c>
      <c r="I18" s="336" t="s">
        <v>589</v>
      </c>
      <c r="J18" s="336" t="s">
        <v>589</v>
      </c>
      <c r="K18" s="270"/>
    </row>
    <row r="19" spans="1:13" x14ac:dyDescent="0.25">
      <c r="A19" s="266" t="s">
        <v>590</v>
      </c>
      <c r="B19" s="336" t="s">
        <v>140</v>
      </c>
      <c r="C19" s="336" t="s">
        <v>591</v>
      </c>
      <c r="D19" s="336" t="s">
        <v>591</v>
      </c>
      <c r="E19" s="336" t="s">
        <v>140</v>
      </c>
      <c r="F19" s="336" t="s">
        <v>140</v>
      </c>
      <c r="G19" s="336"/>
      <c r="H19" s="336"/>
      <c r="I19" s="336"/>
      <c r="J19" s="336"/>
      <c r="K19" s="270"/>
      <c r="M19" s="265" t="s">
        <v>1979</v>
      </c>
    </row>
    <row r="20" spans="1:13" x14ac:dyDescent="0.25">
      <c r="A20" s="269"/>
      <c r="B20" s="1010"/>
      <c r="C20" s="333" t="s">
        <v>229</v>
      </c>
      <c r="D20" s="333" t="s">
        <v>229</v>
      </c>
      <c r="E20" s="333" t="s">
        <v>229</v>
      </c>
      <c r="F20" s="333" t="s">
        <v>229</v>
      </c>
      <c r="G20" s="333" t="s">
        <v>229</v>
      </c>
      <c r="H20" s="333" t="s">
        <v>229</v>
      </c>
      <c r="I20" s="333" t="s">
        <v>229</v>
      </c>
      <c r="J20" s="333" t="s">
        <v>229</v>
      </c>
      <c r="K20" s="270"/>
    </row>
    <row r="21" spans="1:13" x14ac:dyDescent="0.25">
      <c r="A21" s="266" t="s">
        <v>592</v>
      </c>
      <c r="B21" s="1970"/>
      <c r="C21" s="1971"/>
      <c r="D21" s="1971"/>
      <c r="E21" s="1971"/>
      <c r="F21" s="1971"/>
      <c r="G21" s="1971"/>
      <c r="H21" s="1971"/>
      <c r="I21" s="1971"/>
      <c r="J21" s="1972"/>
      <c r="K21" s="270"/>
    </row>
    <row r="22" spans="1:13" x14ac:dyDescent="0.25">
      <c r="A22" s="326" t="s">
        <v>593</v>
      </c>
      <c r="B22" s="327"/>
      <c r="C22" s="328">
        <f>18747372+5504</f>
        <v>18752876</v>
      </c>
      <c r="D22" s="330">
        <f>+C25</f>
        <v>18981931</v>
      </c>
      <c r="E22" s="330">
        <f>+D25</f>
        <v>24502372</v>
      </c>
      <c r="F22" s="329"/>
      <c r="G22" s="329"/>
      <c r="H22" s="329"/>
      <c r="I22" s="329"/>
      <c r="J22" s="329"/>
      <c r="K22" s="270"/>
    </row>
    <row r="23" spans="1:13" x14ac:dyDescent="0.25">
      <c r="A23" s="326" t="s">
        <v>1222</v>
      </c>
      <c r="B23" s="327"/>
      <c r="C23" s="328">
        <v>1615391</v>
      </c>
      <c r="D23" s="328">
        <v>7069689</v>
      </c>
      <c r="E23" s="328">
        <f>1561521-38000</f>
        <v>1523521</v>
      </c>
      <c r="F23" s="329"/>
      <c r="G23" s="329"/>
      <c r="H23" s="329"/>
      <c r="I23" s="329"/>
      <c r="J23" s="329"/>
      <c r="K23" s="270"/>
    </row>
    <row r="24" spans="1:13" x14ac:dyDescent="0.25">
      <c r="A24" s="326" t="s">
        <v>1223</v>
      </c>
      <c r="B24" s="327"/>
      <c r="C24" s="328">
        <v>-1386336</v>
      </c>
      <c r="D24" s="328">
        <v>-1549248</v>
      </c>
      <c r="E24" s="328">
        <f>-1143708+7600</f>
        <v>-1136108</v>
      </c>
      <c r="F24" s="329"/>
      <c r="G24" s="329"/>
      <c r="H24" s="329"/>
      <c r="I24" s="329"/>
      <c r="J24" s="329"/>
      <c r="K24" s="270"/>
    </row>
    <row r="25" spans="1:13" x14ac:dyDescent="0.25">
      <c r="A25" s="325" t="s">
        <v>594</v>
      </c>
      <c r="B25" s="844"/>
      <c r="C25" s="845">
        <f>C22+C23+C24</f>
        <v>18981931</v>
      </c>
      <c r="D25" s="845">
        <f>D22+D23+D24</f>
        <v>24502372</v>
      </c>
      <c r="E25" s="845">
        <f>E22+E23+E24</f>
        <v>24889785</v>
      </c>
      <c r="F25" s="329"/>
      <c r="G25" s="329"/>
      <c r="H25" s="329"/>
      <c r="I25" s="329"/>
      <c r="J25" s="329"/>
      <c r="K25" s="270"/>
    </row>
    <row r="26" spans="1:13" x14ac:dyDescent="0.25">
      <c r="A26" s="269"/>
      <c r="B26" s="1973"/>
      <c r="C26" s="1974"/>
      <c r="D26" s="1974"/>
      <c r="E26" s="1974"/>
      <c r="F26" s="1974"/>
      <c r="G26" s="1974"/>
      <c r="H26" s="1974"/>
      <c r="I26" s="1974"/>
      <c r="J26" s="1977"/>
      <c r="K26" s="270"/>
    </row>
    <row r="27" spans="1:13" ht="26.25" x14ac:dyDescent="0.25">
      <c r="A27" s="271" t="s">
        <v>595</v>
      </c>
      <c r="B27" s="1975"/>
      <c r="C27" s="1976"/>
      <c r="D27" s="1976"/>
      <c r="E27" s="1976"/>
      <c r="F27" s="1976"/>
      <c r="G27" s="1976"/>
      <c r="H27" s="1976"/>
      <c r="I27" s="1976"/>
      <c r="J27" s="1978"/>
      <c r="K27" s="270"/>
    </row>
    <row r="28" spans="1:13" x14ac:dyDescent="0.25">
      <c r="A28" s="326" t="s">
        <v>596</v>
      </c>
      <c r="B28" s="846"/>
      <c r="C28" s="847">
        <f>+C22</f>
        <v>18752876</v>
      </c>
      <c r="D28" s="848">
        <f>+C31</f>
        <v>18981931</v>
      </c>
      <c r="E28" s="848">
        <f>+D31</f>
        <v>24502372</v>
      </c>
      <c r="F28" s="329"/>
      <c r="G28" s="329"/>
      <c r="H28" s="329"/>
      <c r="I28" s="329"/>
      <c r="J28" s="329"/>
      <c r="K28" s="270"/>
    </row>
    <row r="29" spans="1:13" x14ac:dyDescent="0.25">
      <c r="A29" s="326" t="s">
        <v>1222</v>
      </c>
      <c r="B29" s="329"/>
      <c r="C29" s="331">
        <f>+C23</f>
        <v>1615391</v>
      </c>
      <c r="D29" s="331">
        <f>+D23</f>
        <v>7069689</v>
      </c>
      <c r="E29" s="1446">
        <f>+E23</f>
        <v>1523521</v>
      </c>
      <c r="F29" s="329"/>
      <c r="G29" s="329"/>
      <c r="H29" s="329"/>
      <c r="I29" s="329"/>
      <c r="J29" s="329"/>
      <c r="K29" s="270"/>
    </row>
    <row r="30" spans="1:13" x14ac:dyDescent="0.25">
      <c r="A30" s="326" t="s">
        <v>1223</v>
      </c>
      <c r="B30" s="329"/>
      <c r="C30" s="331">
        <f>+C24</f>
        <v>-1386336</v>
      </c>
      <c r="D30" s="331">
        <f>+D24</f>
        <v>-1549248</v>
      </c>
      <c r="E30" s="1446">
        <f>+E24</f>
        <v>-1136108</v>
      </c>
      <c r="F30" s="329"/>
      <c r="G30" s="329"/>
      <c r="H30" s="329"/>
      <c r="I30" s="329"/>
      <c r="J30" s="329"/>
      <c r="K30" s="270"/>
      <c r="L30" s="265" t="s">
        <v>1980</v>
      </c>
    </row>
    <row r="31" spans="1:13" x14ac:dyDescent="0.25">
      <c r="A31" s="325" t="s">
        <v>597</v>
      </c>
      <c r="B31" s="329"/>
      <c r="C31" s="330">
        <f>SUM(C28:C30)</f>
        <v>18981931</v>
      </c>
      <c r="D31" s="330">
        <f>SUM(D28:D30)</f>
        <v>24502372</v>
      </c>
      <c r="E31" s="330">
        <f>SUM(E28:E30)</f>
        <v>24889785</v>
      </c>
      <c r="F31" s="329"/>
      <c r="G31" s="329"/>
      <c r="H31" s="329"/>
      <c r="I31" s="329"/>
      <c r="J31" s="329"/>
      <c r="K31" s="270"/>
    </row>
    <row r="32" spans="1:13" x14ac:dyDescent="0.25">
      <c r="A32" s="269"/>
      <c r="B32" s="1979"/>
      <c r="C32" s="1980"/>
      <c r="D32" s="1980"/>
      <c r="E32" s="1980"/>
      <c r="F32" s="1980"/>
      <c r="G32" s="1980"/>
      <c r="H32" s="1980"/>
      <c r="I32" s="1980"/>
      <c r="J32" s="1981"/>
      <c r="K32" s="270"/>
    </row>
    <row r="33" spans="1:11" x14ac:dyDescent="0.25">
      <c r="A33" s="334" t="s">
        <v>1224</v>
      </c>
      <c r="B33" s="329"/>
      <c r="C33" s="332">
        <f>C25-C31</f>
        <v>0</v>
      </c>
      <c r="D33" s="332">
        <f>D25-D31</f>
        <v>0</v>
      </c>
      <c r="E33" s="332">
        <f>E25-E31</f>
        <v>0</v>
      </c>
      <c r="F33" s="329"/>
      <c r="G33" s="329"/>
      <c r="H33" s="329"/>
      <c r="I33" s="329"/>
      <c r="J33" s="329"/>
      <c r="K33" s="270"/>
    </row>
    <row r="34" spans="1:11" x14ac:dyDescent="0.25">
      <c r="A34" s="269"/>
      <c r="B34" s="1982"/>
      <c r="C34" s="1982"/>
      <c r="D34" s="1982"/>
      <c r="E34" s="1982"/>
      <c r="F34" s="1982"/>
      <c r="G34" s="1982"/>
      <c r="H34" s="1982"/>
      <c r="I34" s="1982"/>
      <c r="J34" s="1982"/>
      <c r="K34" s="270"/>
    </row>
    <row r="35" spans="1:11" x14ac:dyDescent="0.25">
      <c r="A35" s="266"/>
      <c r="B35" s="269"/>
      <c r="C35" s="269"/>
      <c r="D35" s="272"/>
      <c r="E35" s="272"/>
      <c r="F35" s="272"/>
      <c r="G35" s="272"/>
      <c r="H35" s="272"/>
      <c r="I35" s="269"/>
      <c r="J35" s="270"/>
      <c r="K35" s="270"/>
    </row>
    <row r="36" spans="1:11" x14ac:dyDescent="0.25">
      <c r="A36" s="266" t="s">
        <v>1225</v>
      </c>
      <c r="B36" s="269"/>
      <c r="C36" s="269"/>
      <c r="D36" s="272"/>
      <c r="E36" s="272"/>
      <c r="F36" s="272"/>
      <c r="G36" s="272"/>
      <c r="H36" s="272"/>
      <c r="I36" s="269"/>
      <c r="J36" s="270"/>
      <c r="K36" s="270"/>
    </row>
    <row r="37" spans="1:11" s="274" customFormat="1" x14ac:dyDescent="0.25">
      <c r="A37" s="335" t="s">
        <v>1226</v>
      </c>
      <c r="B37" s="1012"/>
      <c r="C37" s="1012"/>
      <c r="D37" s="1012"/>
      <c r="E37" s="1012"/>
      <c r="F37" s="849">
        <f>IF(ISERROR(E33), 0, E33)</f>
        <v>0</v>
      </c>
      <c r="G37" s="269"/>
      <c r="H37" s="273" t="s">
        <v>599</v>
      </c>
      <c r="I37" s="323"/>
      <c r="J37" s="270"/>
      <c r="K37" s="270"/>
    </row>
    <row r="38" spans="1:11" s="274" customFormat="1" ht="26.25" x14ac:dyDescent="0.25">
      <c r="A38" s="335" t="s">
        <v>1227</v>
      </c>
      <c r="B38" s="1012"/>
      <c r="C38" s="1012"/>
      <c r="D38" s="1012"/>
      <c r="E38" s="1012"/>
      <c r="F38" s="849">
        <f>E33*I37*I38</f>
        <v>0</v>
      </c>
      <c r="G38" s="1983" t="s">
        <v>1228</v>
      </c>
      <c r="H38" s="1983"/>
      <c r="I38" s="1984"/>
      <c r="J38" s="546"/>
      <c r="K38" s="270"/>
    </row>
    <row r="39" spans="1:11" x14ac:dyDescent="0.25">
      <c r="A39" s="338" t="s">
        <v>1229</v>
      </c>
      <c r="B39" s="337"/>
      <c r="C39" s="337"/>
      <c r="D39" s="337"/>
      <c r="E39" s="337"/>
      <c r="F39" s="850">
        <f>F37+F38</f>
        <v>0</v>
      </c>
      <c r="G39" s="1983"/>
      <c r="H39" s="1983"/>
      <c r="I39" s="1985"/>
      <c r="J39" s="270"/>
      <c r="K39" s="270"/>
    </row>
    <row r="40" spans="1:11" x14ac:dyDescent="0.25">
      <c r="A40" s="266"/>
      <c r="B40" s="269"/>
      <c r="C40" s="269"/>
      <c r="D40" s="269"/>
      <c r="E40" s="269"/>
      <c r="F40" s="269"/>
      <c r="G40" s="269"/>
      <c r="H40" s="269"/>
      <c r="I40" s="269"/>
      <c r="J40" s="270"/>
      <c r="K40" s="270"/>
    </row>
    <row r="41" spans="1:11" x14ac:dyDescent="0.25">
      <c r="A41" s="266" t="s">
        <v>15</v>
      </c>
      <c r="B41" s="269"/>
      <c r="C41" s="269"/>
      <c r="D41" s="269"/>
      <c r="E41" s="269"/>
      <c r="F41" s="269"/>
      <c r="G41" s="269"/>
      <c r="H41" s="269"/>
      <c r="I41" s="269"/>
      <c r="J41" s="270"/>
      <c r="K41" s="270"/>
    </row>
    <row r="42" spans="1:11" x14ac:dyDescent="0.25">
      <c r="A42" s="269" t="s">
        <v>617</v>
      </c>
      <c r="B42" s="269"/>
      <c r="C42" s="269"/>
      <c r="D42" s="269"/>
      <c r="E42" s="269"/>
      <c r="F42" s="269"/>
      <c r="G42" s="269"/>
      <c r="H42" s="269"/>
      <c r="I42" s="269"/>
      <c r="J42" s="270"/>
      <c r="K42" s="270"/>
    </row>
    <row r="43" spans="1:11" x14ac:dyDescent="0.25">
      <c r="A43" s="269" t="s">
        <v>1230</v>
      </c>
      <c r="B43" s="269"/>
      <c r="C43" s="269"/>
      <c r="D43" s="269"/>
      <c r="E43" s="269"/>
      <c r="F43" s="269"/>
      <c r="G43" s="269"/>
      <c r="H43" s="269"/>
      <c r="I43" s="269"/>
      <c r="J43" s="270"/>
      <c r="K43" s="270"/>
    </row>
    <row r="44" spans="1:11" x14ac:dyDescent="0.25">
      <c r="A44" s="269" t="s">
        <v>1231</v>
      </c>
      <c r="B44" s="269"/>
      <c r="C44" s="269"/>
      <c r="D44" s="269"/>
      <c r="E44" s="269"/>
      <c r="F44" s="269"/>
      <c r="G44" s="269"/>
      <c r="H44" s="269"/>
      <c r="I44" s="269"/>
      <c r="J44" s="270"/>
      <c r="K44" s="270"/>
    </row>
    <row r="45" spans="1:11" x14ac:dyDescent="0.25">
      <c r="A45" s="269" t="s">
        <v>600</v>
      </c>
      <c r="B45" s="269"/>
      <c r="C45" s="269"/>
      <c r="D45" s="269"/>
      <c r="E45" s="269"/>
      <c r="F45" s="269"/>
      <c r="G45" s="269"/>
      <c r="H45" s="269"/>
      <c r="I45" s="269"/>
      <c r="J45" s="270"/>
      <c r="K45" s="270"/>
    </row>
    <row r="46" spans="1:11" ht="21.75" customHeight="1" x14ac:dyDescent="0.25">
      <c r="A46" s="1966" t="s">
        <v>1232</v>
      </c>
      <c r="B46" s="1966"/>
      <c r="C46" s="1966"/>
      <c r="D46" s="1966"/>
      <c r="E46" s="1966"/>
      <c r="F46" s="1966"/>
      <c r="G46" s="1966"/>
      <c r="H46" s="1966"/>
      <c r="I46" s="1009"/>
      <c r="J46" s="270"/>
      <c r="K46" s="270"/>
    </row>
    <row r="47" spans="1:11" x14ac:dyDescent="0.25">
      <c r="A47" s="269" t="s">
        <v>1935</v>
      </c>
      <c r="B47" s="270"/>
      <c r="C47" s="270"/>
      <c r="D47" s="270"/>
      <c r="E47" s="270"/>
      <c r="F47" s="270"/>
      <c r="G47" s="270"/>
      <c r="H47" s="270"/>
      <c r="I47" s="270"/>
      <c r="J47" s="270"/>
      <c r="K47" s="270"/>
    </row>
    <row r="48" spans="1:11" x14ac:dyDescent="0.25">
      <c r="A48" s="269"/>
      <c r="B48" s="269"/>
      <c r="C48" s="269"/>
      <c r="D48" s="269"/>
      <c r="E48" s="269"/>
      <c r="F48" s="269"/>
      <c r="G48" s="269"/>
      <c r="H48" s="269"/>
      <c r="I48" s="269"/>
      <c r="J48" s="270"/>
      <c r="K48" s="270"/>
    </row>
    <row r="49" spans="1:11" x14ac:dyDescent="0.25">
      <c r="A49" s="269"/>
      <c r="B49" s="269"/>
      <c r="C49" s="269"/>
      <c r="D49" s="269"/>
      <c r="E49" s="269"/>
      <c r="F49" s="269"/>
      <c r="G49" s="269"/>
      <c r="H49" s="269"/>
      <c r="I49" s="269"/>
      <c r="J49" s="270"/>
      <c r="K49" s="270"/>
    </row>
    <row r="50" spans="1:11" x14ac:dyDescent="0.25">
      <c r="A50" s="269"/>
      <c r="B50" s="269"/>
      <c r="C50" s="269"/>
      <c r="D50" s="269"/>
      <c r="E50" s="269"/>
      <c r="F50" s="269"/>
      <c r="G50" s="269"/>
      <c r="H50" s="269"/>
      <c r="I50" s="269"/>
      <c r="J50" s="270"/>
      <c r="K50" s="270"/>
    </row>
    <row r="51" spans="1:11" x14ac:dyDescent="0.25">
      <c r="A51" s="269"/>
      <c r="B51" s="269"/>
      <c r="C51" s="269"/>
      <c r="D51" s="269"/>
      <c r="E51" s="269"/>
      <c r="F51" s="269"/>
      <c r="G51" s="269"/>
      <c r="H51" s="269"/>
      <c r="I51" s="269"/>
      <c r="J51" s="270"/>
      <c r="K51" s="270"/>
    </row>
    <row r="52" spans="1:11" x14ac:dyDescent="0.25">
      <c r="A52" s="269"/>
      <c r="B52" s="269"/>
      <c r="C52" s="269"/>
      <c r="D52" s="269"/>
      <c r="E52" s="269"/>
      <c r="F52" s="269"/>
      <c r="G52" s="269"/>
      <c r="H52" s="269"/>
      <c r="I52" s="269"/>
      <c r="J52" s="270"/>
      <c r="K52" s="270"/>
    </row>
    <row r="53" spans="1:11" x14ac:dyDescent="0.25">
      <c r="A53" s="269"/>
      <c r="B53" s="269"/>
      <c r="C53" s="269"/>
      <c r="D53" s="269"/>
      <c r="E53" s="269"/>
      <c r="F53" s="269"/>
      <c r="G53" s="269"/>
      <c r="H53" s="269"/>
      <c r="I53" s="269"/>
      <c r="J53" s="270"/>
      <c r="K53" s="270"/>
    </row>
    <row r="54" spans="1:11" x14ac:dyDescent="0.25">
      <c r="A54" s="269"/>
      <c r="B54" s="269"/>
      <c r="C54" s="269"/>
      <c r="D54" s="269"/>
      <c r="E54" s="269"/>
      <c r="F54" s="269"/>
      <c r="G54" s="269"/>
      <c r="H54" s="269"/>
      <c r="I54" s="269"/>
      <c r="J54" s="270"/>
      <c r="K54" s="270"/>
    </row>
    <row r="55" spans="1:11" ht="21.75" customHeight="1" x14ac:dyDescent="0.25">
      <c r="A55" s="1966"/>
      <c r="B55" s="1966"/>
      <c r="C55" s="1966"/>
      <c r="D55" s="1966"/>
      <c r="E55" s="1966"/>
      <c r="F55" s="1966"/>
      <c r="G55" s="1966"/>
      <c r="H55" s="1966"/>
      <c r="I55" s="1966"/>
      <c r="J55" s="270"/>
      <c r="K55" s="270"/>
    </row>
    <row r="56" spans="1:11" ht="21.75" customHeight="1" x14ac:dyDescent="0.25">
      <c r="A56" s="1966"/>
      <c r="B56" s="1966"/>
      <c r="C56" s="1966"/>
      <c r="D56" s="1966"/>
      <c r="E56" s="1966"/>
      <c r="F56" s="1966"/>
      <c r="G56" s="1966"/>
      <c r="H56" s="1966"/>
      <c r="I56" s="1966"/>
      <c r="J56" s="270"/>
      <c r="K56" s="270"/>
    </row>
    <row r="57" spans="1:11" x14ac:dyDescent="0.25">
      <c r="A57" s="269"/>
      <c r="B57" s="270"/>
      <c r="C57" s="270"/>
      <c r="D57" s="270"/>
      <c r="E57" s="270"/>
      <c r="F57" s="270"/>
      <c r="G57" s="270"/>
      <c r="H57" s="270"/>
      <c r="I57" s="270"/>
      <c r="J57" s="270"/>
      <c r="K57" s="270"/>
    </row>
  </sheetData>
  <mergeCells count="15">
    <mergeCell ref="A55:I56"/>
    <mergeCell ref="A9:I9"/>
    <mergeCell ref="A10:I10"/>
    <mergeCell ref="A11:I11"/>
    <mergeCell ref="A13:I13"/>
    <mergeCell ref="A15:I15"/>
    <mergeCell ref="B21:J21"/>
    <mergeCell ref="B26:E27"/>
    <mergeCell ref="F26:J26"/>
    <mergeCell ref="F27:J27"/>
    <mergeCell ref="B32:J32"/>
    <mergeCell ref="B34:J34"/>
    <mergeCell ref="G38:H39"/>
    <mergeCell ref="I38:I39"/>
    <mergeCell ref="A46:H46"/>
  </mergeCells>
  <dataValidations disablePrompts="1" count="1">
    <dataValidation allowBlank="1" showInputMessage="1" showErrorMessage="1" promptTitle="Date Format" prompt="E.g:  &quot;August 1, 2011&quot;" sqref="WVM983046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dataValidations>
  <pageMargins left="0.7" right="0.7" top="0.75" bottom="0.75" header="0.3" footer="0.3"/>
  <pageSetup scale="5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57"/>
  <sheetViews>
    <sheetView showGridLines="0" zoomScaleNormal="100" workbookViewId="0">
      <selection activeCell="A10" sqref="A10:I10"/>
    </sheetView>
  </sheetViews>
  <sheetFormatPr defaultRowHeight="15" x14ac:dyDescent="0.25"/>
  <cols>
    <col min="1" max="1" width="51.7109375" style="265" customWidth="1"/>
    <col min="2" max="3" width="9.140625" style="265"/>
    <col min="4" max="7" width="10.28515625" style="265" bestFit="1" customWidth="1"/>
    <col min="8" max="8" width="14.140625" style="265" customWidth="1"/>
    <col min="9" max="9" width="11" style="265" bestFit="1" customWidth="1"/>
    <col min="10" max="10" width="9.28515625" style="265" bestFit="1" customWidth="1"/>
    <col min="11" max="256" width="9.140625" style="265"/>
    <col min="257" max="257" width="51.7109375" style="265" customWidth="1"/>
    <col min="258" max="263" width="9.140625" style="265"/>
    <col min="264" max="264" width="11.28515625" style="265" customWidth="1"/>
    <col min="265" max="512" width="9.140625" style="265"/>
    <col min="513" max="513" width="51.7109375" style="265" customWidth="1"/>
    <col min="514" max="519" width="9.140625" style="265"/>
    <col min="520" max="520" width="11.28515625" style="265" customWidth="1"/>
    <col min="521" max="768" width="9.140625" style="265"/>
    <col min="769" max="769" width="51.7109375" style="265" customWidth="1"/>
    <col min="770" max="775" width="9.140625" style="265"/>
    <col min="776" max="776" width="11.28515625" style="265" customWidth="1"/>
    <col min="777" max="1024" width="9.140625" style="265"/>
    <col min="1025" max="1025" width="51.7109375" style="265" customWidth="1"/>
    <col min="1026" max="1031" width="9.140625" style="265"/>
    <col min="1032" max="1032" width="11.28515625" style="265" customWidth="1"/>
    <col min="1033" max="1280" width="9.140625" style="265"/>
    <col min="1281" max="1281" width="51.7109375" style="265" customWidth="1"/>
    <col min="1282" max="1287" width="9.140625" style="265"/>
    <col min="1288" max="1288" width="11.28515625" style="265" customWidth="1"/>
    <col min="1289" max="1536" width="9.140625" style="265"/>
    <col min="1537" max="1537" width="51.7109375" style="265" customWidth="1"/>
    <col min="1538" max="1543" width="9.140625" style="265"/>
    <col min="1544" max="1544" width="11.28515625" style="265" customWidth="1"/>
    <col min="1545" max="1792" width="9.140625" style="265"/>
    <col min="1793" max="1793" width="51.7109375" style="265" customWidth="1"/>
    <col min="1794" max="1799" width="9.140625" style="265"/>
    <col min="1800" max="1800" width="11.28515625" style="265" customWidth="1"/>
    <col min="1801" max="2048" width="9.140625" style="265"/>
    <col min="2049" max="2049" width="51.7109375" style="265" customWidth="1"/>
    <col min="2050" max="2055" width="9.140625" style="265"/>
    <col min="2056" max="2056" width="11.28515625" style="265" customWidth="1"/>
    <col min="2057" max="2304" width="9.140625" style="265"/>
    <col min="2305" max="2305" width="51.7109375" style="265" customWidth="1"/>
    <col min="2306" max="2311" width="9.140625" style="265"/>
    <col min="2312" max="2312" width="11.28515625" style="265" customWidth="1"/>
    <col min="2313" max="2560" width="9.140625" style="265"/>
    <col min="2561" max="2561" width="51.7109375" style="265" customWidth="1"/>
    <col min="2562" max="2567" width="9.140625" style="265"/>
    <col min="2568" max="2568" width="11.28515625" style="265" customWidth="1"/>
    <col min="2569" max="2816" width="9.140625" style="265"/>
    <col min="2817" max="2817" width="51.7109375" style="265" customWidth="1"/>
    <col min="2818" max="2823" width="9.140625" style="265"/>
    <col min="2824" max="2824" width="11.28515625" style="265" customWidth="1"/>
    <col min="2825" max="3072" width="9.140625" style="265"/>
    <col min="3073" max="3073" width="51.7109375" style="265" customWidth="1"/>
    <col min="3074" max="3079" width="9.140625" style="265"/>
    <col min="3080" max="3080" width="11.28515625" style="265" customWidth="1"/>
    <col min="3081" max="3328" width="9.140625" style="265"/>
    <col min="3329" max="3329" width="51.7109375" style="265" customWidth="1"/>
    <col min="3330" max="3335" width="9.140625" style="265"/>
    <col min="3336" max="3336" width="11.28515625" style="265" customWidth="1"/>
    <col min="3337" max="3584" width="9.140625" style="265"/>
    <col min="3585" max="3585" width="51.7109375" style="265" customWidth="1"/>
    <col min="3586" max="3591" width="9.140625" style="265"/>
    <col min="3592" max="3592" width="11.28515625" style="265" customWidth="1"/>
    <col min="3593" max="3840" width="9.140625" style="265"/>
    <col min="3841" max="3841" width="51.7109375" style="265" customWidth="1"/>
    <col min="3842" max="3847" width="9.140625" style="265"/>
    <col min="3848" max="3848" width="11.28515625" style="265" customWidth="1"/>
    <col min="3849" max="4096" width="9.140625" style="265"/>
    <col min="4097" max="4097" width="51.7109375" style="265" customWidth="1"/>
    <col min="4098" max="4103" width="9.140625" style="265"/>
    <col min="4104" max="4104" width="11.28515625" style="265" customWidth="1"/>
    <col min="4105" max="4352" width="9.140625" style="265"/>
    <col min="4353" max="4353" width="51.7109375" style="265" customWidth="1"/>
    <col min="4354" max="4359" width="9.140625" style="265"/>
    <col min="4360" max="4360" width="11.28515625" style="265" customWidth="1"/>
    <col min="4361" max="4608" width="9.140625" style="265"/>
    <col min="4609" max="4609" width="51.7109375" style="265" customWidth="1"/>
    <col min="4610" max="4615" width="9.140625" style="265"/>
    <col min="4616" max="4616" width="11.28515625" style="265" customWidth="1"/>
    <col min="4617" max="4864" width="9.140625" style="265"/>
    <col min="4865" max="4865" width="51.7109375" style="265" customWidth="1"/>
    <col min="4866" max="4871" width="9.140625" style="265"/>
    <col min="4872" max="4872" width="11.28515625" style="265" customWidth="1"/>
    <col min="4873" max="5120" width="9.140625" style="265"/>
    <col min="5121" max="5121" width="51.7109375" style="265" customWidth="1"/>
    <col min="5122" max="5127" width="9.140625" style="265"/>
    <col min="5128" max="5128" width="11.28515625" style="265" customWidth="1"/>
    <col min="5129" max="5376" width="9.140625" style="265"/>
    <col min="5377" max="5377" width="51.7109375" style="265" customWidth="1"/>
    <col min="5378" max="5383" width="9.140625" style="265"/>
    <col min="5384" max="5384" width="11.28515625" style="265" customWidth="1"/>
    <col min="5385" max="5632" width="9.140625" style="265"/>
    <col min="5633" max="5633" width="51.7109375" style="265" customWidth="1"/>
    <col min="5634" max="5639" width="9.140625" style="265"/>
    <col min="5640" max="5640" width="11.28515625" style="265" customWidth="1"/>
    <col min="5641" max="5888" width="9.140625" style="265"/>
    <col min="5889" max="5889" width="51.7109375" style="265" customWidth="1"/>
    <col min="5890" max="5895" width="9.140625" style="265"/>
    <col min="5896" max="5896" width="11.28515625" style="265" customWidth="1"/>
    <col min="5897" max="6144" width="9.140625" style="265"/>
    <col min="6145" max="6145" width="51.7109375" style="265" customWidth="1"/>
    <col min="6146" max="6151" width="9.140625" style="265"/>
    <col min="6152" max="6152" width="11.28515625" style="265" customWidth="1"/>
    <col min="6153" max="6400" width="9.140625" style="265"/>
    <col min="6401" max="6401" width="51.7109375" style="265" customWidth="1"/>
    <col min="6402" max="6407" width="9.140625" style="265"/>
    <col min="6408" max="6408" width="11.28515625" style="265" customWidth="1"/>
    <col min="6409" max="6656" width="9.140625" style="265"/>
    <col min="6657" max="6657" width="51.7109375" style="265" customWidth="1"/>
    <col min="6658" max="6663" width="9.140625" style="265"/>
    <col min="6664" max="6664" width="11.28515625" style="265" customWidth="1"/>
    <col min="6665" max="6912" width="9.140625" style="265"/>
    <col min="6913" max="6913" width="51.7109375" style="265" customWidth="1"/>
    <col min="6914" max="6919" width="9.140625" style="265"/>
    <col min="6920" max="6920" width="11.28515625" style="265" customWidth="1"/>
    <col min="6921" max="7168" width="9.140625" style="265"/>
    <col min="7169" max="7169" width="51.7109375" style="265" customWidth="1"/>
    <col min="7170" max="7175" width="9.140625" style="265"/>
    <col min="7176" max="7176" width="11.28515625" style="265" customWidth="1"/>
    <col min="7177" max="7424" width="9.140625" style="265"/>
    <col min="7425" max="7425" width="51.7109375" style="265" customWidth="1"/>
    <col min="7426" max="7431" width="9.140625" style="265"/>
    <col min="7432" max="7432" width="11.28515625" style="265" customWidth="1"/>
    <col min="7433" max="7680" width="9.140625" style="265"/>
    <col min="7681" max="7681" width="51.7109375" style="265" customWidth="1"/>
    <col min="7682" max="7687" width="9.140625" style="265"/>
    <col min="7688" max="7688" width="11.28515625" style="265" customWidth="1"/>
    <col min="7689" max="7936" width="9.140625" style="265"/>
    <col min="7937" max="7937" width="51.7109375" style="265" customWidth="1"/>
    <col min="7938" max="7943" width="9.140625" style="265"/>
    <col min="7944" max="7944" width="11.28515625" style="265" customWidth="1"/>
    <col min="7945" max="8192" width="9.140625" style="265"/>
    <col min="8193" max="8193" width="51.7109375" style="265" customWidth="1"/>
    <col min="8194" max="8199" width="9.140625" style="265"/>
    <col min="8200" max="8200" width="11.28515625" style="265" customWidth="1"/>
    <col min="8201" max="8448" width="9.140625" style="265"/>
    <col min="8449" max="8449" width="51.7109375" style="265" customWidth="1"/>
    <col min="8450" max="8455" width="9.140625" style="265"/>
    <col min="8456" max="8456" width="11.28515625" style="265" customWidth="1"/>
    <col min="8457" max="8704" width="9.140625" style="265"/>
    <col min="8705" max="8705" width="51.7109375" style="265" customWidth="1"/>
    <col min="8706" max="8711" width="9.140625" style="265"/>
    <col min="8712" max="8712" width="11.28515625" style="265" customWidth="1"/>
    <col min="8713" max="8960" width="9.140625" style="265"/>
    <col min="8961" max="8961" width="51.7109375" style="265" customWidth="1"/>
    <col min="8962" max="8967" width="9.140625" style="265"/>
    <col min="8968" max="8968" width="11.28515625" style="265" customWidth="1"/>
    <col min="8969" max="9216" width="9.140625" style="265"/>
    <col min="9217" max="9217" width="51.7109375" style="265" customWidth="1"/>
    <col min="9218" max="9223" width="9.140625" style="265"/>
    <col min="9224" max="9224" width="11.28515625" style="265" customWidth="1"/>
    <col min="9225" max="9472" width="9.140625" style="265"/>
    <col min="9473" max="9473" width="51.7109375" style="265" customWidth="1"/>
    <col min="9474" max="9479" width="9.140625" style="265"/>
    <col min="9480" max="9480" width="11.28515625" style="265" customWidth="1"/>
    <col min="9481" max="9728" width="9.140625" style="265"/>
    <col min="9729" max="9729" width="51.7109375" style="265" customWidth="1"/>
    <col min="9730" max="9735" width="9.140625" style="265"/>
    <col min="9736" max="9736" width="11.28515625" style="265" customWidth="1"/>
    <col min="9737" max="9984" width="9.140625" style="265"/>
    <col min="9985" max="9985" width="51.7109375" style="265" customWidth="1"/>
    <col min="9986" max="9991" width="9.140625" style="265"/>
    <col min="9992" max="9992" width="11.28515625" style="265" customWidth="1"/>
    <col min="9993" max="10240" width="9.140625" style="265"/>
    <col min="10241" max="10241" width="51.7109375" style="265" customWidth="1"/>
    <col min="10242" max="10247" width="9.140625" style="265"/>
    <col min="10248" max="10248" width="11.28515625" style="265" customWidth="1"/>
    <col min="10249" max="10496" width="9.140625" style="265"/>
    <col min="10497" max="10497" width="51.7109375" style="265" customWidth="1"/>
    <col min="10498" max="10503" width="9.140625" style="265"/>
    <col min="10504" max="10504" width="11.28515625" style="265" customWidth="1"/>
    <col min="10505" max="10752" width="9.140625" style="265"/>
    <col min="10753" max="10753" width="51.7109375" style="265" customWidth="1"/>
    <col min="10754" max="10759" width="9.140625" style="265"/>
    <col min="10760" max="10760" width="11.28515625" style="265" customWidth="1"/>
    <col min="10761" max="11008" width="9.140625" style="265"/>
    <col min="11009" max="11009" width="51.7109375" style="265" customWidth="1"/>
    <col min="11010" max="11015" width="9.140625" style="265"/>
    <col min="11016" max="11016" width="11.28515625" style="265" customWidth="1"/>
    <col min="11017" max="11264" width="9.140625" style="265"/>
    <col min="11265" max="11265" width="51.7109375" style="265" customWidth="1"/>
    <col min="11266" max="11271" width="9.140625" style="265"/>
    <col min="11272" max="11272" width="11.28515625" style="265" customWidth="1"/>
    <col min="11273" max="11520" width="9.140625" style="265"/>
    <col min="11521" max="11521" width="51.7109375" style="265" customWidth="1"/>
    <col min="11522" max="11527" width="9.140625" style="265"/>
    <col min="11528" max="11528" width="11.28515625" style="265" customWidth="1"/>
    <col min="11529" max="11776" width="9.140625" style="265"/>
    <col min="11777" max="11777" width="51.7109375" style="265" customWidth="1"/>
    <col min="11778" max="11783" width="9.140625" style="265"/>
    <col min="11784" max="11784" width="11.28515625" style="265" customWidth="1"/>
    <col min="11785" max="12032" width="9.140625" style="265"/>
    <col min="12033" max="12033" width="51.7109375" style="265" customWidth="1"/>
    <col min="12034" max="12039" width="9.140625" style="265"/>
    <col min="12040" max="12040" width="11.28515625" style="265" customWidth="1"/>
    <col min="12041" max="12288" width="9.140625" style="265"/>
    <col min="12289" max="12289" width="51.7109375" style="265" customWidth="1"/>
    <col min="12290" max="12295" width="9.140625" style="265"/>
    <col min="12296" max="12296" width="11.28515625" style="265" customWidth="1"/>
    <col min="12297" max="12544" width="9.140625" style="265"/>
    <col min="12545" max="12545" width="51.7109375" style="265" customWidth="1"/>
    <col min="12546" max="12551" width="9.140625" style="265"/>
    <col min="12552" max="12552" width="11.28515625" style="265" customWidth="1"/>
    <col min="12553" max="12800" width="9.140625" style="265"/>
    <col min="12801" max="12801" width="51.7109375" style="265" customWidth="1"/>
    <col min="12802" max="12807" width="9.140625" style="265"/>
    <col min="12808" max="12808" width="11.28515625" style="265" customWidth="1"/>
    <col min="12809" max="13056" width="9.140625" style="265"/>
    <col min="13057" max="13057" width="51.7109375" style="265" customWidth="1"/>
    <col min="13058" max="13063" width="9.140625" style="265"/>
    <col min="13064" max="13064" width="11.28515625" style="265" customWidth="1"/>
    <col min="13065" max="13312" width="9.140625" style="265"/>
    <col min="13313" max="13313" width="51.7109375" style="265" customWidth="1"/>
    <col min="13314" max="13319" width="9.140625" style="265"/>
    <col min="13320" max="13320" width="11.28515625" style="265" customWidth="1"/>
    <col min="13321" max="13568" width="9.140625" style="265"/>
    <col min="13569" max="13569" width="51.7109375" style="265" customWidth="1"/>
    <col min="13570" max="13575" width="9.140625" style="265"/>
    <col min="13576" max="13576" width="11.28515625" style="265" customWidth="1"/>
    <col min="13577" max="13824" width="9.140625" style="265"/>
    <col min="13825" max="13825" width="51.7109375" style="265" customWidth="1"/>
    <col min="13826" max="13831" width="9.140625" style="265"/>
    <col min="13832" max="13832" width="11.28515625" style="265" customWidth="1"/>
    <col min="13833" max="14080" width="9.140625" style="265"/>
    <col min="14081" max="14081" width="51.7109375" style="265" customWidth="1"/>
    <col min="14082" max="14087" width="9.140625" style="265"/>
    <col min="14088" max="14088" width="11.28515625" style="265" customWidth="1"/>
    <col min="14089" max="14336" width="9.140625" style="265"/>
    <col min="14337" max="14337" width="51.7109375" style="265" customWidth="1"/>
    <col min="14338" max="14343" width="9.140625" style="265"/>
    <col min="14344" max="14344" width="11.28515625" style="265" customWidth="1"/>
    <col min="14345" max="14592" width="9.140625" style="265"/>
    <col min="14593" max="14593" width="51.7109375" style="265" customWidth="1"/>
    <col min="14594" max="14599" width="9.140625" style="265"/>
    <col min="14600" max="14600" width="11.28515625" style="265" customWidth="1"/>
    <col min="14601" max="14848" width="9.140625" style="265"/>
    <col min="14849" max="14849" width="51.7109375" style="265" customWidth="1"/>
    <col min="14850" max="14855" width="9.140625" style="265"/>
    <col min="14856" max="14856" width="11.28515625" style="265" customWidth="1"/>
    <col min="14857" max="15104" width="9.140625" style="265"/>
    <col min="15105" max="15105" width="51.7109375" style="265" customWidth="1"/>
    <col min="15106" max="15111" width="9.140625" style="265"/>
    <col min="15112" max="15112" width="11.28515625" style="265" customWidth="1"/>
    <col min="15113" max="15360" width="9.140625" style="265"/>
    <col min="15361" max="15361" width="51.7109375" style="265" customWidth="1"/>
    <col min="15362" max="15367" width="9.140625" style="265"/>
    <col min="15368" max="15368" width="11.28515625" style="265" customWidth="1"/>
    <col min="15369" max="15616" width="9.140625" style="265"/>
    <col min="15617" max="15617" width="51.7109375" style="265" customWidth="1"/>
    <col min="15618" max="15623" width="9.140625" style="265"/>
    <col min="15624" max="15624" width="11.28515625" style="265" customWidth="1"/>
    <col min="15625" max="15872" width="9.140625" style="265"/>
    <col min="15873" max="15873" width="51.7109375" style="265" customWidth="1"/>
    <col min="15874" max="15879" width="9.140625" style="265"/>
    <col min="15880" max="15880" width="11.28515625" style="265" customWidth="1"/>
    <col min="15881" max="16128" width="9.140625" style="265"/>
    <col min="16129" max="16129" width="51.7109375" style="265" customWidth="1"/>
    <col min="16130" max="16135" width="9.140625" style="265"/>
    <col min="16136" max="16136" width="11.28515625" style="265" customWidth="1"/>
    <col min="16137" max="16384" width="9.140625" style="265"/>
  </cols>
  <sheetData>
    <row r="1" spans="1:11" x14ac:dyDescent="0.25">
      <c r="A1" s="216"/>
      <c r="B1" s="219"/>
      <c r="C1" s="219"/>
      <c r="D1" s="219"/>
      <c r="E1" s="219"/>
      <c r="F1" s="219"/>
      <c r="G1" s="216"/>
      <c r="H1" s="217" t="s">
        <v>419</v>
      </c>
      <c r="I1" s="766" t="str">
        <f>EBNUMBER</f>
        <v>EB-2014-0113</v>
      </c>
    </row>
    <row r="2" spans="1:11" x14ac:dyDescent="0.25">
      <c r="A2" s="216"/>
      <c r="B2" s="219"/>
      <c r="C2" s="219"/>
      <c r="D2" s="219"/>
      <c r="E2" s="219"/>
      <c r="F2" s="219"/>
      <c r="G2" s="216"/>
      <c r="H2" s="217" t="s">
        <v>420</v>
      </c>
      <c r="I2" s="767">
        <v>2</v>
      </c>
    </row>
    <row r="3" spans="1:11" x14ac:dyDescent="0.25">
      <c r="A3" s="216"/>
      <c r="B3" s="219"/>
      <c r="C3" s="219"/>
      <c r="D3" s="219"/>
      <c r="E3" s="219"/>
      <c r="F3" s="219"/>
      <c r="G3" s="216"/>
      <c r="H3" s="217" t="s">
        <v>421</v>
      </c>
      <c r="I3" s="767">
        <v>2</v>
      </c>
    </row>
    <row r="4" spans="1:11" x14ac:dyDescent="0.25">
      <c r="A4" s="216"/>
      <c r="B4" s="219"/>
      <c r="C4" s="219"/>
      <c r="D4" s="219"/>
      <c r="E4" s="219"/>
      <c r="F4" s="219"/>
      <c r="G4" s="216"/>
      <c r="H4" s="217" t="s">
        <v>422</v>
      </c>
      <c r="I4" s="767">
        <v>2</v>
      </c>
    </row>
    <row r="5" spans="1:11" x14ac:dyDescent="0.25">
      <c r="A5" s="216"/>
      <c r="B5" s="219"/>
      <c r="C5" s="219"/>
      <c r="D5" s="219"/>
      <c r="E5" s="219"/>
      <c r="F5" s="219"/>
      <c r="G5" s="216"/>
      <c r="H5" s="217" t="s">
        <v>423</v>
      </c>
      <c r="I5" s="768"/>
    </row>
    <row r="6" spans="1:11" x14ac:dyDescent="0.25">
      <c r="A6" s="216"/>
      <c r="B6" s="219"/>
      <c r="C6" s="219"/>
      <c r="D6" s="219"/>
      <c r="E6" s="219"/>
      <c r="F6" s="219"/>
      <c r="G6" s="216"/>
      <c r="H6" s="217"/>
      <c r="I6" s="766"/>
    </row>
    <row r="7" spans="1:11" x14ac:dyDescent="0.25">
      <c r="A7" s="216"/>
      <c r="B7" s="219"/>
      <c r="C7" s="219"/>
      <c r="D7" s="219"/>
      <c r="E7" s="219"/>
      <c r="F7" s="219"/>
      <c r="G7" s="216"/>
      <c r="H7" s="217" t="s">
        <v>424</v>
      </c>
      <c r="I7" s="1467">
        <v>42119</v>
      </c>
    </row>
    <row r="8" spans="1:11" x14ac:dyDescent="0.25">
      <c r="A8" s="216"/>
      <c r="B8" s="216"/>
      <c r="C8" s="216"/>
      <c r="D8" s="216"/>
      <c r="E8" s="216"/>
      <c r="F8" s="216"/>
      <c r="G8" s="216"/>
      <c r="H8" s="216"/>
      <c r="I8" s="216"/>
    </row>
    <row r="9" spans="1:11" ht="18" x14ac:dyDescent="0.25">
      <c r="A9" s="1856" t="s">
        <v>2153</v>
      </c>
      <c r="B9" s="1967"/>
      <c r="C9" s="1967"/>
      <c r="D9" s="1967"/>
      <c r="E9" s="1967"/>
      <c r="F9" s="1967"/>
      <c r="G9" s="1967"/>
      <c r="H9" s="1967"/>
      <c r="I9" s="1967"/>
    </row>
    <row r="10" spans="1:11" ht="18" x14ac:dyDescent="0.25">
      <c r="A10" s="1856" t="s">
        <v>598</v>
      </c>
      <c r="B10" s="1968"/>
      <c r="C10" s="1968"/>
      <c r="D10" s="1968"/>
      <c r="E10" s="1968"/>
      <c r="F10" s="1968"/>
      <c r="G10" s="1968"/>
      <c r="H10" s="1968"/>
      <c r="I10" s="1968"/>
    </row>
    <row r="11" spans="1:11" ht="18" x14ac:dyDescent="0.25">
      <c r="A11" s="1856" t="s">
        <v>601</v>
      </c>
      <c r="B11" s="1968"/>
      <c r="C11" s="1968"/>
      <c r="D11" s="1968"/>
      <c r="E11" s="1968"/>
      <c r="F11" s="1968"/>
      <c r="G11" s="1968"/>
      <c r="H11" s="1968"/>
      <c r="I11" s="1968"/>
    </row>
    <row r="12" spans="1:11" x14ac:dyDescent="0.25">
      <c r="A12" s="216"/>
      <c r="B12" s="216"/>
      <c r="C12" s="216"/>
      <c r="D12" s="216"/>
      <c r="E12" s="216"/>
      <c r="F12" s="216"/>
      <c r="G12" s="216"/>
      <c r="H12" s="216"/>
      <c r="I12" s="216"/>
    </row>
    <row r="13" spans="1:11" s="268" customFormat="1" x14ac:dyDescent="0.25">
      <c r="A13" s="1969" t="s">
        <v>805</v>
      </c>
      <c r="B13" s="1969"/>
      <c r="C13" s="1969"/>
      <c r="D13" s="1969"/>
      <c r="E13" s="1969"/>
      <c r="F13" s="1969"/>
      <c r="G13" s="1969"/>
      <c r="H13" s="1969"/>
      <c r="I13" s="1969"/>
      <c r="J13" s="267"/>
      <c r="K13" s="267"/>
    </row>
    <row r="14" spans="1:11" x14ac:dyDescent="0.25">
      <c r="A14" s="269"/>
      <c r="B14" s="269"/>
      <c r="C14" s="269"/>
      <c r="D14" s="269"/>
      <c r="E14" s="269"/>
      <c r="F14" s="269"/>
      <c r="G14" s="269"/>
      <c r="H14" s="269"/>
      <c r="I14" s="269"/>
      <c r="J14" s="270"/>
      <c r="K14" s="270"/>
    </row>
    <row r="15" spans="1:11" x14ac:dyDescent="0.25">
      <c r="A15" s="1969" t="s">
        <v>602</v>
      </c>
      <c r="B15" s="1969"/>
      <c r="C15" s="1969"/>
      <c r="D15" s="1969"/>
      <c r="E15" s="1969"/>
      <c r="F15" s="1969"/>
      <c r="G15" s="1969"/>
      <c r="H15" s="1969"/>
      <c r="I15" s="1969"/>
      <c r="J15" s="270"/>
      <c r="K15" s="270"/>
    </row>
    <row r="16" spans="1:11" x14ac:dyDescent="0.25">
      <c r="A16" s="269"/>
      <c r="B16" s="269"/>
      <c r="C16" s="269"/>
      <c r="D16" s="269"/>
      <c r="E16" s="269"/>
      <c r="F16" s="269"/>
      <c r="G16" s="269"/>
      <c r="H16" s="269"/>
      <c r="I16" s="269"/>
      <c r="J16" s="270"/>
      <c r="K16" s="270"/>
    </row>
    <row r="17" spans="1:12" ht="39" x14ac:dyDescent="0.25">
      <c r="A17" s="269"/>
      <c r="B17" s="324" t="str">
        <f>RebaseYear &amp;" Rebasing Year"</f>
        <v>2011 Rebasing Year</v>
      </c>
      <c r="C17" s="324">
        <v>2011</v>
      </c>
      <c r="D17" s="324">
        <v>2012</v>
      </c>
      <c r="E17" s="324">
        <v>2013</v>
      </c>
      <c r="F17" s="324" t="s">
        <v>804</v>
      </c>
      <c r="G17" s="324">
        <v>2015</v>
      </c>
      <c r="H17" s="324">
        <v>2016</v>
      </c>
      <c r="I17" s="324">
        <v>2017</v>
      </c>
      <c r="J17" s="324">
        <v>2018</v>
      </c>
      <c r="K17" s="270"/>
    </row>
    <row r="18" spans="1:12" x14ac:dyDescent="0.25">
      <c r="A18" s="266" t="s">
        <v>160</v>
      </c>
      <c r="B18" s="336" t="s">
        <v>161</v>
      </c>
      <c r="C18" s="336" t="s">
        <v>589</v>
      </c>
      <c r="D18" s="336" t="s">
        <v>589</v>
      </c>
      <c r="E18" s="336" t="s">
        <v>589</v>
      </c>
      <c r="F18" s="336" t="s">
        <v>162</v>
      </c>
      <c r="G18" s="336" t="s">
        <v>589</v>
      </c>
      <c r="H18" s="336" t="s">
        <v>589</v>
      </c>
      <c r="I18" s="336" t="s">
        <v>589</v>
      </c>
      <c r="J18" s="336" t="s">
        <v>589</v>
      </c>
      <c r="K18" s="270"/>
    </row>
    <row r="19" spans="1:12" x14ac:dyDescent="0.25">
      <c r="A19" s="266" t="s">
        <v>590</v>
      </c>
      <c r="B19" s="336" t="s">
        <v>140</v>
      </c>
      <c r="C19" s="336" t="s">
        <v>591</v>
      </c>
      <c r="D19" s="336" t="s">
        <v>591</v>
      </c>
      <c r="E19" s="336" t="s">
        <v>140</v>
      </c>
      <c r="F19" s="336" t="s">
        <v>140</v>
      </c>
      <c r="G19" s="336"/>
      <c r="H19" s="336"/>
      <c r="I19" s="336"/>
      <c r="J19" s="336"/>
      <c r="K19" s="270"/>
    </row>
    <row r="20" spans="1:12" x14ac:dyDescent="0.25">
      <c r="A20" s="269"/>
      <c r="B20" s="1979"/>
      <c r="C20" s="1981"/>
      <c r="D20" s="333" t="s">
        <v>229</v>
      </c>
      <c r="E20" s="333" t="s">
        <v>229</v>
      </c>
      <c r="F20" s="333" t="s">
        <v>229</v>
      </c>
      <c r="G20" s="333" t="s">
        <v>229</v>
      </c>
      <c r="H20" s="333" t="s">
        <v>229</v>
      </c>
      <c r="I20" s="333" t="s">
        <v>229</v>
      </c>
      <c r="J20" s="333" t="s">
        <v>229</v>
      </c>
      <c r="K20" s="270"/>
    </row>
    <row r="21" spans="1:12" x14ac:dyDescent="0.25">
      <c r="A21" s="266" t="s">
        <v>592</v>
      </c>
      <c r="B21" s="1986"/>
      <c r="C21" s="1982"/>
      <c r="D21" s="1982"/>
      <c r="E21" s="1982"/>
      <c r="F21" s="1982"/>
      <c r="G21" s="1982"/>
      <c r="H21" s="1982"/>
      <c r="I21" s="1982"/>
      <c r="J21" s="1987"/>
      <c r="K21" s="270"/>
    </row>
    <row r="22" spans="1:12" x14ac:dyDescent="0.25">
      <c r="A22" s="326" t="s">
        <v>593</v>
      </c>
      <c r="B22" s="327"/>
      <c r="C22" s="327"/>
      <c r="D22" s="328"/>
      <c r="E22" s="330"/>
      <c r="F22" s="329"/>
      <c r="G22" s="329"/>
      <c r="H22" s="329"/>
      <c r="I22" s="329"/>
      <c r="J22" s="329"/>
      <c r="K22" s="270"/>
    </row>
    <row r="23" spans="1:12" x14ac:dyDescent="0.25">
      <c r="A23" s="326" t="s">
        <v>1222</v>
      </c>
      <c r="B23" s="327"/>
      <c r="C23" s="327"/>
      <c r="D23" s="328"/>
      <c r="E23" s="328"/>
      <c r="F23" s="329"/>
      <c r="G23" s="329"/>
      <c r="H23" s="329"/>
      <c r="I23" s="329"/>
      <c r="J23" s="329"/>
      <c r="K23" s="270"/>
    </row>
    <row r="24" spans="1:12" x14ac:dyDescent="0.25">
      <c r="A24" s="326" t="s">
        <v>1223</v>
      </c>
      <c r="B24" s="327"/>
      <c r="C24" s="327"/>
      <c r="D24" s="328"/>
      <c r="E24" s="328"/>
      <c r="F24" s="329"/>
      <c r="G24" s="329"/>
      <c r="H24" s="329"/>
      <c r="I24" s="329"/>
      <c r="J24" s="329"/>
      <c r="K24" s="270"/>
    </row>
    <row r="25" spans="1:12" x14ac:dyDescent="0.25">
      <c r="A25" s="325" t="s">
        <v>594</v>
      </c>
      <c r="B25" s="327"/>
      <c r="C25" s="327"/>
      <c r="D25" s="330">
        <f>D22+D23+D24</f>
        <v>0</v>
      </c>
      <c r="E25" s="330">
        <f>E22+E23+E24</f>
        <v>0</v>
      </c>
      <c r="F25" s="329"/>
      <c r="G25" s="329"/>
      <c r="H25" s="329"/>
      <c r="I25" s="329"/>
      <c r="J25" s="329"/>
      <c r="K25" s="270"/>
    </row>
    <row r="26" spans="1:12" x14ac:dyDescent="0.25">
      <c r="A26" s="269"/>
      <c r="B26" s="1973"/>
      <c r="C26" s="1974"/>
      <c r="D26" s="1974"/>
      <c r="E26" s="1974"/>
      <c r="F26" s="1974"/>
      <c r="G26" s="1974"/>
      <c r="H26" s="1974"/>
      <c r="I26" s="1974"/>
      <c r="J26" s="1977"/>
      <c r="K26" s="270"/>
    </row>
    <row r="27" spans="1:12" ht="26.25" x14ac:dyDescent="0.25">
      <c r="A27" s="271" t="s">
        <v>603</v>
      </c>
      <c r="B27" s="1975"/>
      <c r="C27" s="1976"/>
      <c r="D27" s="1976"/>
      <c r="E27" s="1976"/>
      <c r="F27" s="1976"/>
      <c r="G27" s="1976"/>
      <c r="H27" s="1976"/>
      <c r="I27" s="1976"/>
      <c r="J27" s="1978"/>
      <c r="K27" s="270"/>
    </row>
    <row r="28" spans="1:12" x14ac:dyDescent="0.25">
      <c r="A28" s="326" t="s">
        <v>596</v>
      </c>
      <c r="B28" s="329"/>
      <c r="C28" s="329"/>
      <c r="D28" s="331">
        <f>+D22</f>
        <v>0</v>
      </c>
      <c r="E28" s="330">
        <f>+D31</f>
        <v>0</v>
      </c>
      <c r="F28" s="329"/>
      <c r="G28" s="329"/>
      <c r="H28" s="329"/>
      <c r="I28" s="329"/>
      <c r="J28" s="329"/>
      <c r="K28" s="270"/>
    </row>
    <row r="29" spans="1:12" x14ac:dyDescent="0.25">
      <c r="A29" s="326" t="s">
        <v>1222</v>
      </c>
      <c r="B29" s="329"/>
      <c r="C29" s="329"/>
      <c r="D29" s="331">
        <f>+D23</f>
        <v>0</v>
      </c>
      <c r="E29" s="1446">
        <f>+E23</f>
        <v>0</v>
      </c>
      <c r="F29" s="329"/>
      <c r="G29" s="329"/>
      <c r="H29" s="329"/>
      <c r="I29" s="329"/>
      <c r="J29" s="329"/>
      <c r="K29" s="270"/>
    </row>
    <row r="30" spans="1:12" x14ac:dyDescent="0.25">
      <c r="A30" s="326" t="s">
        <v>1223</v>
      </c>
      <c r="B30" s="329"/>
      <c r="C30" s="329"/>
      <c r="D30" s="331">
        <f>+D24</f>
        <v>0</v>
      </c>
      <c r="E30" s="1446">
        <f>+E24</f>
        <v>0</v>
      </c>
      <c r="F30" s="329"/>
      <c r="G30" s="329"/>
      <c r="H30" s="329"/>
      <c r="I30" s="329"/>
      <c r="J30" s="329"/>
      <c r="K30" s="270"/>
    </row>
    <row r="31" spans="1:12" x14ac:dyDescent="0.25">
      <c r="A31" s="325" t="s">
        <v>597</v>
      </c>
      <c r="B31" s="329"/>
      <c r="C31" s="329"/>
      <c r="D31" s="330">
        <f>SUM(D28:D30)</f>
        <v>0</v>
      </c>
      <c r="E31" s="330">
        <f>SUM(E28:E30)</f>
        <v>0</v>
      </c>
      <c r="F31" s="329"/>
      <c r="G31" s="329"/>
      <c r="H31" s="329"/>
      <c r="I31" s="329"/>
      <c r="J31" s="329"/>
      <c r="K31" s="270"/>
    </row>
    <row r="32" spans="1:12" x14ac:dyDescent="0.25">
      <c r="A32" s="269"/>
      <c r="B32" s="1979"/>
      <c r="C32" s="1980"/>
      <c r="D32" s="1980"/>
      <c r="E32" s="1980"/>
      <c r="F32" s="1980"/>
      <c r="G32" s="1980"/>
      <c r="H32" s="1980"/>
      <c r="I32" s="1980"/>
      <c r="J32" s="1981"/>
      <c r="K32" s="270"/>
      <c r="L32" s="265" t="s">
        <v>1981</v>
      </c>
    </row>
    <row r="33" spans="1:11" x14ac:dyDescent="0.25">
      <c r="A33" s="334" t="s">
        <v>1224</v>
      </c>
      <c r="B33" s="329"/>
      <c r="C33" s="329"/>
      <c r="D33" s="332">
        <f>D25-D31</f>
        <v>0</v>
      </c>
      <c r="E33" s="332">
        <f>E25-E31</f>
        <v>0</v>
      </c>
      <c r="F33" s="329"/>
      <c r="G33" s="329"/>
      <c r="H33" s="329"/>
      <c r="I33" s="329"/>
      <c r="J33" s="329"/>
      <c r="K33" s="270"/>
    </row>
    <row r="34" spans="1:11" x14ac:dyDescent="0.25">
      <c r="A34" s="269"/>
      <c r="B34" s="1974"/>
      <c r="C34" s="1974"/>
      <c r="D34" s="1974"/>
      <c r="E34" s="1974"/>
      <c r="F34" s="1974"/>
      <c r="G34" s="1974"/>
      <c r="H34" s="1974"/>
      <c r="I34" s="1974"/>
      <c r="J34" s="1974"/>
      <c r="K34" s="270"/>
    </row>
    <row r="35" spans="1:11" x14ac:dyDescent="0.25">
      <c r="A35" s="269"/>
      <c r="B35" s="1011"/>
      <c r="C35" s="1011"/>
      <c r="D35" s="1011"/>
      <c r="E35" s="1011"/>
      <c r="F35" s="1011"/>
      <c r="G35" s="1011"/>
      <c r="H35" s="1011"/>
      <c r="I35" s="1011"/>
      <c r="J35" s="1011"/>
      <c r="K35" s="270"/>
    </row>
    <row r="36" spans="1:11" x14ac:dyDescent="0.25">
      <c r="A36" s="266" t="s">
        <v>1225</v>
      </c>
      <c r="B36" s="269"/>
      <c r="C36" s="269"/>
      <c r="D36" s="272"/>
      <c r="E36" s="272"/>
      <c r="F36" s="272"/>
      <c r="G36" s="272"/>
      <c r="H36" s="272"/>
      <c r="I36" s="269"/>
      <c r="J36" s="270"/>
      <c r="K36" s="270"/>
    </row>
    <row r="37" spans="1:11" s="274" customFormat="1" x14ac:dyDescent="0.25">
      <c r="A37" s="335" t="s">
        <v>1226</v>
      </c>
      <c r="B37" s="1012"/>
      <c r="C37" s="1012"/>
      <c r="D37" s="1012"/>
      <c r="E37" s="1012"/>
      <c r="F37" s="849">
        <f>IF(ISERROR(E33), 0, E33)</f>
        <v>0</v>
      </c>
      <c r="G37" s="269"/>
      <c r="H37" s="273" t="s">
        <v>599</v>
      </c>
      <c r="I37" s="323"/>
      <c r="J37" s="270"/>
      <c r="K37" s="270"/>
    </row>
    <row r="38" spans="1:11" s="274" customFormat="1" ht="26.25" x14ac:dyDescent="0.25">
      <c r="A38" s="335" t="s">
        <v>1227</v>
      </c>
      <c r="B38" s="1012"/>
      <c r="C38" s="1012"/>
      <c r="D38" s="1012"/>
      <c r="E38" s="1012"/>
      <c r="F38" s="849">
        <f>E33*I37*I38</f>
        <v>0</v>
      </c>
      <c r="G38" s="1983" t="s">
        <v>1228</v>
      </c>
      <c r="H38" s="1983"/>
      <c r="I38" s="1984"/>
      <c r="J38" s="546"/>
      <c r="K38" s="270"/>
    </row>
    <row r="39" spans="1:11" x14ac:dyDescent="0.25">
      <c r="A39" s="338" t="s">
        <v>1229</v>
      </c>
      <c r="B39" s="337"/>
      <c r="C39" s="337"/>
      <c r="D39" s="337"/>
      <c r="E39" s="337"/>
      <c r="F39" s="850">
        <f>F37+F38</f>
        <v>0</v>
      </c>
      <c r="G39" s="1983"/>
      <c r="H39" s="1983"/>
      <c r="I39" s="1985"/>
      <c r="J39" s="270"/>
      <c r="K39" s="270"/>
    </row>
    <row r="40" spans="1:11" x14ac:dyDescent="0.25">
      <c r="A40" s="266"/>
      <c r="B40" s="269"/>
      <c r="C40" s="269"/>
      <c r="D40" s="269"/>
      <c r="E40" s="269"/>
      <c r="F40" s="269"/>
      <c r="G40" s="269"/>
      <c r="H40" s="269"/>
      <c r="I40" s="269"/>
      <c r="J40" s="270"/>
      <c r="K40" s="270"/>
    </row>
    <row r="41" spans="1:11" x14ac:dyDescent="0.25">
      <c r="A41" s="266" t="s">
        <v>15</v>
      </c>
      <c r="B41" s="269"/>
      <c r="C41" s="269"/>
      <c r="D41" s="269"/>
      <c r="E41" s="269"/>
      <c r="F41" s="269"/>
      <c r="G41" s="269"/>
      <c r="H41" s="269"/>
      <c r="I41" s="269"/>
      <c r="J41" s="270"/>
      <c r="K41" s="270"/>
    </row>
    <row r="42" spans="1:11" x14ac:dyDescent="0.25">
      <c r="A42" s="269" t="s">
        <v>618</v>
      </c>
      <c r="B42" s="269"/>
      <c r="C42" s="269"/>
      <c r="D42" s="269"/>
      <c r="E42" s="269"/>
      <c r="F42" s="269"/>
      <c r="G42" s="269"/>
      <c r="H42" s="269"/>
      <c r="I42" s="269"/>
      <c r="J42" s="270"/>
      <c r="K42" s="270"/>
    </row>
    <row r="43" spans="1:11" x14ac:dyDescent="0.25">
      <c r="A43" s="269" t="s">
        <v>1230</v>
      </c>
      <c r="B43" s="269"/>
      <c r="C43" s="269"/>
      <c r="D43" s="269"/>
      <c r="E43" s="269"/>
      <c r="F43" s="269"/>
      <c r="G43" s="269"/>
      <c r="H43" s="269"/>
      <c r="I43" s="269"/>
      <c r="J43" s="270"/>
      <c r="K43" s="270"/>
    </row>
    <row r="44" spans="1:11" x14ac:dyDescent="0.25">
      <c r="A44" s="269" t="s">
        <v>1231</v>
      </c>
      <c r="B44" s="269"/>
      <c r="C44" s="269"/>
      <c r="D44" s="269"/>
      <c r="E44" s="269"/>
      <c r="F44" s="269"/>
      <c r="G44" s="269"/>
      <c r="H44" s="269"/>
      <c r="I44" s="269"/>
      <c r="J44" s="270"/>
      <c r="K44" s="270"/>
    </row>
    <row r="45" spans="1:11" x14ac:dyDescent="0.25">
      <c r="A45" s="269" t="s">
        <v>600</v>
      </c>
      <c r="B45" s="269"/>
      <c r="C45" s="269"/>
      <c r="D45" s="269"/>
      <c r="E45" s="269"/>
      <c r="F45" s="269"/>
      <c r="G45" s="269"/>
      <c r="H45" s="269"/>
      <c r="I45" s="269"/>
      <c r="J45" s="270"/>
      <c r="K45" s="270"/>
    </row>
    <row r="46" spans="1:11" x14ac:dyDescent="0.25">
      <c r="A46" s="1966" t="s">
        <v>1232</v>
      </c>
      <c r="B46" s="1966"/>
      <c r="C46" s="1966"/>
      <c r="D46" s="1966"/>
      <c r="E46" s="1966"/>
      <c r="F46" s="1966"/>
      <c r="G46" s="1966"/>
      <c r="H46" s="1966"/>
      <c r="I46" s="269"/>
      <c r="J46" s="270"/>
      <c r="K46" s="270"/>
    </row>
    <row r="47" spans="1:11" x14ac:dyDescent="0.25">
      <c r="A47" s="269" t="s">
        <v>1935</v>
      </c>
      <c r="B47" s="270"/>
      <c r="C47" s="270"/>
      <c r="D47" s="270"/>
      <c r="E47" s="270"/>
      <c r="F47" s="270"/>
      <c r="G47" s="270"/>
      <c r="H47" s="270"/>
      <c r="I47" s="269"/>
      <c r="J47" s="270"/>
      <c r="K47" s="270"/>
    </row>
    <row r="48" spans="1:11" x14ac:dyDescent="0.25">
      <c r="A48" s="269"/>
      <c r="B48" s="269"/>
      <c r="C48" s="269"/>
      <c r="D48" s="269"/>
      <c r="E48" s="269"/>
      <c r="F48" s="269"/>
      <c r="G48" s="269"/>
      <c r="H48" s="269"/>
      <c r="I48" s="269"/>
      <c r="J48" s="270"/>
      <c r="K48" s="270"/>
    </row>
    <row r="49" spans="1:11" x14ac:dyDescent="0.25">
      <c r="A49" s="269"/>
      <c r="B49" s="269"/>
      <c r="C49" s="269"/>
      <c r="D49" s="269"/>
      <c r="E49" s="269"/>
      <c r="F49" s="269"/>
      <c r="G49" s="269"/>
      <c r="H49" s="269"/>
      <c r="I49" s="269"/>
      <c r="J49" s="270"/>
      <c r="K49" s="270"/>
    </row>
    <row r="50" spans="1:11" x14ac:dyDescent="0.25">
      <c r="A50" s="269"/>
      <c r="B50" s="269"/>
      <c r="C50" s="269"/>
      <c r="D50" s="269"/>
      <c r="E50" s="269"/>
      <c r="F50" s="269"/>
      <c r="G50" s="269"/>
      <c r="H50" s="269"/>
      <c r="I50" s="269"/>
      <c r="J50" s="270"/>
      <c r="K50" s="270"/>
    </row>
    <row r="51" spans="1:11" x14ac:dyDescent="0.25">
      <c r="A51" s="269"/>
      <c r="B51" s="269"/>
      <c r="C51" s="269"/>
      <c r="D51" s="269"/>
      <c r="E51" s="269"/>
      <c r="F51" s="269"/>
      <c r="G51" s="269"/>
      <c r="H51" s="269"/>
      <c r="I51" s="269"/>
      <c r="J51" s="270"/>
      <c r="K51" s="270"/>
    </row>
    <row r="52" spans="1:11" x14ac:dyDescent="0.25">
      <c r="A52" s="269"/>
      <c r="B52" s="269"/>
      <c r="C52" s="269"/>
      <c r="D52" s="269"/>
      <c r="E52" s="269"/>
      <c r="F52" s="269"/>
      <c r="G52" s="269"/>
      <c r="H52" s="269"/>
      <c r="I52" s="269"/>
      <c r="J52" s="270"/>
      <c r="K52" s="270"/>
    </row>
    <row r="53" spans="1:11" x14ac:dyDescent="0.25">
      <c r="A53" s="269"/>
      <c r="B53" s="269"/>
      <c r="C53" s="269"/>
      <c r="D53" s="269"/>
      <c r="E53" s="269"/>
      <c r="F53" s="269"/>
      <c r="G53" s="269"/>
      <c r="H53" s="269"/>
      <c r="I53" s="269"/>
      <c r="J53" s="270"/>
      <c r="K53" s="270"/>
    </row>
    <row r="54" spans="1:11" x14ac:dyDescent="0.25">
      <c r="A54" s="269"/>
      <c r="B54" s="269"/>
      <c r="C54" s="269"/>
      <c r="D54" s="269"/>
      <c r="E54" s="269"/>
      <c r="F54" s="269"/>
      <c r="G54" s="269"/>
      <c r="H54" s="269"/>
      <c r="I54" s="269"/>
      <c r="J54" s="270"/>
      <c r="K54" s="270"/>
    </row>
    <row r="55" spans="1:11" ht="21.75" customHeight="1" x14ac:dyDescent="0.25">
      <c r="A55" s="1966"/>
      <c r="B55" s="1966"/>
      <c r="C55" s="1966"/>
      <c r="D55" s="1966"/>
      <c r="E55" s="1966"/>
      <c r="F55" s="1966"/>
      <c r="G55" s="1966"/>
      <c r="H55" s="1966"/>
      <c r="I55" s="1966"/>
      <c r="J55" s="270"/>
      <c r="K55" s="270"/>
    </row>
    <row r="56" spans="1:11" ht="21.75" customHeight="1" x14ac:dyDescent="0.25">
      <c r="A56" s="1966"/>
      <c r="B56" s="1966"/>
      <c r="C56" s="1966"/>
      <c r="D56" s="1966"/>
      <c r="E56" s="1966"/>
      <c r="F56" s="1966"/>
      <c r="G56" s="1966"/>
      <c r="H56" s="1966"/>
      <c r="I56" s="1966"/>
      <c r="J56" s="270"/>
      <c r="K56" s="270"/>
    </row>
    <row r="57" spans="1:11" x14ac:dyDescent="0.25">
      <c r="A57" s="269"/>
      <c r="B57" s="270"/>
      <c r="C57" s="270"/>
      <c r="D57" s="270"/>
      <c r="E57" s="270"/>
      <c r="F57" s="270"/>
      <c r="G57" s="270"/>
      <c r="H57" s="270"/>
      <c r="I57" s="270"/>
      <c r="J57" s="270"/>
      <c r="K57" s="270"/>
    </row>
  </sheetData>
  <mergeCells count="14">
    <mergeCell ref="B21:J21"/>
    <mergeCell ref="B26:J27"/>
    <mergeCell ref="B32:J32"/>
    <mergeCell ref="A55:I56"/>
    <mergeCell ref="B34:J34"/>
    <mergeCell ref="G38:H39"/>
    <mergeCell ref="I38:I39"/>
    <mergeCell ref="A46:H46"/>
    <mergeCell ref="B20:C20"/>
    <mergeCell ref="A9:I9"/>
    <mergeCell ref="A10:I10"/>
    <mergeCell ref="A11:I11"/>
    <mergeCell ref="A13:I13"/>
    <mergeCell ref="A15:I15"/>
  </mergeCells>
  <dataValidations count="1">
    <dataValidation allowBlank="1" showInputMessage="1" showErrorMessage="1" promptTitle="Date Format" prompt="E.g:  &quot;August 1, 2011&quot;" sqref="WVM983046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dataValidations>
  <pageMargins left="0.7" right="0.7" top="0.75" bottom="0.75" header="0.3" footer="0.3"/>
  <pageSetup scale="5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K57"/>
  <sheetViews>
    <sheetView showGridLines="0" zoomScaleNormal="100" workbookViewId="0">
      <selection activeCell="A10" sqref="A10:I10"/>
    </sheetView>
  </sheetViews>
  <sheetFormatPr defaultRowHeight="15" x14ac:dyDescent="0.25"/>
  <cols>
    <col min="1" max="1" width="51.7109375" style="265" customWidth="1"/>
    <col min="2" max="4" width="9.140625" style="265"/>
    <col min="5" max="7" width="10.28515625" style="265" bestFit="1" customWidth="1"/>
    <col min="8" max="8" width="12.85546875" style="265" bestFit="1" customWidth="1"/>
    <col min="9" max="9" width="11" style="265" bestFit="1" customWidth="1"/>
    <col min="10" max="10" width="9.28515625" style="265" bestFit="1" customWidth="1"/>
    <col min="11" max="256" width="9.140625" style="265"/>
    <col min="257" max="257" width="51.7109375" style="265" customWidth="1"/>
    <col min="258" max="263" width="9.140625" style="265"/>
    <col min="264" max="264" width="10.85546875" style="265" customWidth="1"/>
    <col min="265" max="512" width="9.140625" style="265"/>
    <col min="513" max="513" width="51.7109375" style="265" customWidth="1"/>
    <col min="514" max="519" width="9.140625" style="265"/>
    <col min="520" max="520" width="10.85546875" style="265" customWidth="1"/>
    <col min="521" max="768" width="9.140625" style="265"/>
    <col min="769" max="769" width="51.7109375" style="265" customWidth="1"/>
    <col min="770" max="775" width="9.140625" style="265"/>
    <col min="776" max="776" width="10.85546875" style="265" customWidth="1"/>
    <col min="777" max="1024" width="9.140625" style="265"/>
    <col min="1025" max="1025" width="51.7109375" style="265" customWidth="1"/>
    <col min="1026" max="1031" width="9.140625" style="265"/>
    <col min="1032" max="1032" width="10.85546875" style="265" customWidth="1"/>
    <col min="1033" max="1280" width="9.140625" style="265"/>
    <col min="1281" max="1281" width="51.7109375" style="265" customWidth="1"/>
    <col min="1282" max="1287" width="9.140625" style="265"/>
    <col min="1288" max="1288" width="10.85546875" style="265" customWidth="1"/>
    <col min="1289" max="1536" width="9.140625" style="265"/>
    <col min="1537" max="1537" width="51.7109375" style="265" customWidth="1"/>
    <col min="1538" max="1543" width="9.140625" style="265"/>
    <col min="1544" max="1544" width="10.85546875" style="265" customWidth="1"/>
    <col min="1545" max="1792" width="9.140625" style="265"/>
    <col min="1793" max="1793" width="51.7109375" style="265" customWidth="1"/>
    <col min="1794" max="1799" width="9.140625" style="265"/>
    <col min="1800" max="1800" width="10.85546875" style="265" customWidth="1"/>
    <col min="1801" max="2048" width="9.140625" style="265"/>
    <col min="2049" max="2049" width="51.7109375" style="265" customWidth="1"/>
    <col min="2050" max="2055" width="9.140625" style="265"/>
    <col min="2056" max="2056" width="10.85546875" style="265" customWidth="1"/>
    <col min="2057" max="2304" width="9.140625" style="265"/>
    <col min="2305" max="2305" width="51.7109375" style="265" customWidth="1"/>
    <col min="2306" max="2311" width="9.140625" style="265"/>
    <col min="2312" max="2312" width="10.85546875" style="265" customWidth="1"/>
    <col min="2313" max="2560" width="9.140625" style="265"/>
    <col min="2561" max="2561" width="51.7109375" style="265" customWidth="1"/>
    <col min="2562" max="2567" width="9.140625" style="265"/>
    <col min="2568" max="2568" width="10.85546875" style="265" customWidth="1"/>
    <col min="2569" max="2816" width="9.140625" style="265"/>
    <col min="2817" max="2817" width="51.7109375" style="265" customWidth="1"/>
    <col min="2818" max="2823" width="9.140625" style="265"/>
    <col min="2824" max="2824" width="10.85546875" style="265" customWidth="1"/>
    <col min="2825" max="3072" width="9.140625" style="265"/>
    <col min="3073" max="3073" width="51.7109375" style="265" customWidth="1"/>
    <col min="3074" max="3079" width="9.140625" style="265"/>
    <col min="3080" max="3080" width="10.85546875" style="265" customWidth="1"/>
    <col min="3081" max="3328" width="9.140625" style="265"/>
    <col min="3329" max="3329" width="51.7109375" style="265" customWidth="1"/>
    <col min="3330" max="3335" width="9.140625" style="265"/>
    <col min="3336" max="3336" width="10.85546875" style="265" customWidth="1"/>
    <col min="3337" max="3584" width="9.140625" style="265"/>
    <col min="3585" max="3585" width="51.7109375" style="265" customWidth="1"/>
    <col min="3586" max="3591" width="9.140625" style="265"/>
    <col min="3592" max="3592" width="10.85546875" style="265" customWidth="1"/>
    <col min="3593" max="3840" width="9.140625" style="265"/>
    <col min="3841" max="3841" width="51.7109375" style="265" customWidth="1"/>
    <col min="3842" max="3847" width="9.140625" style="265"/>
    <col min="3848" max="3848" width="10.85546875" style="265" customWidth="1"/>
    <col min="3849" max="4096" width="9.140625" style="265"/>
    <col min="4097" max="4097" width="51.7109375" style="265" customWidth="1"/>
    <col min="4098" max="4103" width="9.140625" style="265"/>
    <col min="4104" max="4104" width="10.85546875" style="265" customWidth="1"/>
    <col min="4105" max="4352" width="9.140625" style="265"/>
    <col min="4353" max="4353" width="51.7109375" style="265" customWidth="1"/>
    <col min="4354" max="4359" width="9.140625" style="265"/>
    <col min="4360" max="4360" width="10.85546875" style="265" customWidth="1"/>
    <col min="4361" max="4608" width="9.140625" style="265"/>
    <col min="4609" max="4609" width="51.7109375" style="265" customWidth="1"/>
    <col min="4610" max="4615" width="9.140625" style="265"/>
    <col min="4616" max="4616" width="10.85546875" style="265" customWidth="1"/>
    <col min="4617" max="4864" width="9.140625" style="265"/>
    <col min="4865" max="4865" width="51.7109375" style="265" customWidth="1"/>
    <col min="4866" max="4871" width="9.140625" style="265"/>
    <col min="4872" max="4872" width="10.85546875" style="265" customWidth="1"/>
    <col min="4873" max="5120" width="9.140625" style="265"/>
    <col min="5121" max="5121" width="51.7109375" style="265" customWidth="1"/>
    <col min="5122" max="5127" width="9.140625" style="265"/>
    <col min="5128" max="5128" width="10.85546875" style="265" customWidth="1"/>
    <col min="5129" max="5376" width="9.140625" style="265"/>
    <col min="5377" max="5377" width="51.7109375" style="265" customWidth="1"/>
    <col min="5378" max="5383" width="9.140625" style="265"/>
    <col min="5384" max="5384" width="10.85546875" style="265" customWidth="1"/>
    <col min="5385" max="5632" width="9.140625" style="265"/>
    <col min="5633" max="5633" width="51.7109375" style="265" customWidth="1"/>
    <col min="5634" max="5639" width="9.140625" style="265"/>
    <col min="5640" max="5640" width="10.85546875" style="265" customWidth="1"/>
    <col min="5641" max="5888" width="9.140625" style="265"/>
    <col min="5889" max="5889" width="51.7109375" style="265" customWidth="1"/>
    <col min="5890" max="5895" width="9.140625" style="265"/>
    <col min="5896" max="5896" width="10.85546875" style="265" customWidth="1"/>
    <col min="5897" max="6144" width="9.140625" style="265"/>
    <col min="6145" max="6145" width="51.7109375" style="265" customWidth="1"/>
    <col min="6146" max="6151" width="9.140625" style="265"/>
    <col min="6152" max="6152" width="10.85546875" style="265" customWidth="1"/>
    <col min="6153" max="6400" width="9.140625" style="265"/>
    <col min="6401" max="6401" width="51.7109375" style="265" customWidth="1"/>
    <col min="6402" max="6407" width="9.140625" style="265"/>
    <col min="6408" max="6408" width="10.85546875" style="265" customWidth="1"/>
    <col min="6409" max="6656" width="9.140625" style="265"/>
    <col min="6657" max="6657" width="51.7109375" style="265" customWidth="1"/>
    <col min="6658" max="6663" width="9.140625" style="265"/>
    <col min="6664" max="6664" width="10.85546875" style="265" customWidth="1"/>
    <col min="6665" max="6912" width="9.140625" style="265"/>
    <col min="6913" max="6913" width="51.7109375" style="265" customWidth="1"/>
    <col min="6914" max="6919" width="9.140625" style="265"/>
    <col min="6920" max="6920" width="10.85546875" style="265" customWidth="1"/>
    <col min="6921" max="7168" width="9.140625" style="265"/>
    <col min="7169" max="7169" width="51.7109375" style="265" customWidth="1"/>
    <col min="7170" max="7175" width="9.140625" style="265"/>
    <col min="7176" max="7176" width="10.85546875" style="265" customWidth="1"/>
    <col min="7177" max="7424" width="9.140625" style="265"/>
    <col min="7425" max="7425" width="51.7109375" style="265" customWidth="1"/>
    <col min="7426" max="7431" width="9.140625" style="265"/>
    <col min="7432" max="7432" width="10.85546875" style="265" customWidth="1"/>
    <col min="7433" max="7680" width="9.140625" style="265"/>
    <col min="7681" max="7681" width="51.7109375" style="265" customWidth="1"/>
    <col min="7682" max="7687" width="9.140625" style="265"/>
    <col min="7688" max="7688" width="10.85546875" style="265" customWidth="1"/>
    <col min="7689" max="7936" width="9.140625" style="265"/>
    <col min="7937" max="7937" width="51.7109375" style="265" customWidth="1"/>
    <col min="7938" max="7943" width="9.140625" style="265"/>
    <col min="7944" max="7944" width="10.85546875" style="265" customWidth="1"/>
    <col min="7945" max="8192" width="9.140625" style="265"/>
    <col min="8193" max="8193" width="51.7109375" style="265" customWidth="1"/>
    <col min="8194" max="8199" width="9.140625" style="265"/>
    <col min="8200" max="8200" width="10.85546875" style="265" customWidth="1"/>
    <col min="8201" max="8448" width="9.140625" style="265"/>
    <col min="8449" max="8449" width="51.7109375" style="265" customWidth="1"/>
    <col min="8450" max="8455" width="9.140625" style="265"/>
    <col min="8456" max="8456" width="10.85546875" style="265" customWidth="1"/>
    <col min="8457" max="8704" width="9.140625" style="265"/>
    <col min="8705" max="8705" width="51.7109375" style="265" customWidth="1"/>
    <col min="8706" max="8711" width="9.140625" style="265"/>
    <col min="8712" max="8712" width="10.85546875" style="265" customWidth="1"/>
    <col min="8713" max="8960" width="9.140625" style="265"/>
    <col min="8961" max="8961" width="51.7109375" style="265" customWidth="1"/>
    <col min="8962" max="8967" width="9.140625" style="265"/>
    <col min="8968" max="8968" width="10.85546875" style="265" customWidth="1"/>
    <col min="8969" max="9216" width="9.140625" style="265"/>
    <col min="9217" max="9217" width="51.7109375" style="265" customWidth="1"/>
    <col min="9218" max="9223" width="9.140625" style="265"/>
    <col min="9224" max="9224" width="10.85546875" style="265" customWidth="1"/>
    <col min="9225" max="9472" width="9.140625" style="265"/>
    <col min="9473" max="9473" width="51.7109375" style="265" customWidth="1"/>
    <col min="9474" max="9479" width="9.140625" style="265"/>
    <col min="9480" max="9480" width="10.85546875" style="265" customWidth="1"/>
    <col min="9481" max="9728" width="9.140625" style="265"/>
    <col min="9729" max="9729" width="51.7109375" style="265" customWidth="1"/>
    <col min="9730" max="9735" width="9.140625" style="265"/>
    <col min="9736" max="9736" width="10.85546875" style="265" customWidth="1"/>
    <col min="9737" max="9984" width="9.140625" style="265"/>
    <col min="9985" max="9985" width="51.7109375" style="265" customWidth="1"/>
    <col min="9986" max="9991" width="9.140625" style="265"/>
    <col min="9992" max="9992" width="10.85546875" style="265" customWidth="1"/>
    <col min="9993" max="10240" width="9.140625" style="265"/>
    <col min="10241" max="10241" width="51.7109375" style="265" customWidth="1"/>
    <col min="10242" max="10247" width="9.140625" style="265"/>
    <col min="10248" max="10248" width="10.85546875" style="265" customWidth="1"/>
    <col min="10249" max="10496" width="9.140625" style="265"/>
    <col min="10497" max="10497" width="51.7109375" style="265" customWidth="1"/>
    <col min="10498" max="10503" width="9.140625" style="265"/>
    <col min="10504" max="10504" width="10.85546875" style="265" customWidth="1"/>
    <col min="10505" max="10752" width="9.140625" style="265"/>
    <col min="10753" max="10753" width="51.7109375" style="265" customWidth="1"/>
    <col min="10754" max="10759" width="9.140625" style="265"/>
    <col min="10760" max="10760" width="10.85546875" style="265" customWidth="1"/>
    <col min="10761" max="11008" width="9.140625" style="265"/>
    <col min="11009" max="11009" width="51.7109375" style="265" customWidth="1"/>
    <col min="11010" max="11015" width="9.140625" style="265"/>
    <col min="11016" max="11016" width="10.85546875" style="265" customWidth="1"/>
    <col min="11017" max="11264" width="9.140625" style="265"/>
    <col min="11265" max="11265" width="51.7109375" style="265" customWidth="1"/>
    <col min="11266" max="11271" width="9.140625" style="265"/>
    <col min="11272" max="11272" width="10.85546875" style="265" customWidth="1"/>
    <col min="11273" max="11520" width="9.140625" style="265"/>
    <col min="11521" max="11521" width="51.7109375" style="265" customWidth="1"/>
    <col min="11522" max="11527" width="9.140625" style="265"/>
    <col min="11528" max="11528" width="10.85546875" style="265" customWidth="1"/>
    <col min="11529" max="11776" width="9.140625" style="265"/>
    <col min="11777" max="11777" width="51.7109375" style="265" customWidth="1"/>
    <col min="11778" max="11783" width="9.140625" style="265"/>
    <col min="11784" max="11784" width="10.85546875" style="265" customWidth="1"/>
    <col min="11785" max="12032" width="9.140625" style="265"/>
    <col min="12033" max="12033" width="51.7109375" style="265" customWidth="1"/>
    <col min="12034" max="12039" width="9.140625" style="265"/>
    <col min="12040" max="12040" width="10.85546875" style="265" customWidth="1"/>
    <col min="12041" max="12288" width="9.140625" style="265"/>
    <col min="12289" max="12289" width="51.7109375" style="265" customWidth="1"/>
    <col min="12290" max="12295" width="9.140625" style="265"/>
    <col min="12296" max="12296" width="10.85546875" style="265" customWidth="1"/>
    <col min="12297" max="12544" width="9.140625" style="265"/>
    <col min="12545" max="12545" width="51.7109375" style="265" customWidth="1"/>
    <col min="12546" max="12551" width="9.140625" style="265"/>
    <col min="12552" max="12552" width="10.85546875" style="265" customWidth="1"/>
    <col min="12553" max="12800" width="9.140625" style="265"/>
    <col min="12801" max="12801" width="51.7109375" style="265" customWidth="1"/>
    <col min="12802" max="12807" width="9.140625" style="265"/>
    <col min="12808" max="12808" width="10.85546875" style="265" customWidth="1"/>
    <col min="12809" max="13056" width="9.140625" style="265"/>
    <col min="13057" max="13057" width="51.7109375" style="265" customWidth="1"/>
    <col min="13058" max="13063" width="9.140625" style="265"/>
    <col min="13064" max="13064" width="10.85546875" style="265" customWidth="1"/>
    <col min="13065" max="13312" width="9.140625" style="265"/>
    <col min="13313" max="13313" width="51.7109375" style="265" customWidth="1"/>
    <col min="13314" max="13319" width="9.140625" style="265"/>
    <col min="13320" max="13320" width="10.85546875" style="265" customWidth="1"/>
    <col min="13321" max="13568" width="9.140625" style="265"/>
    <col min="13569" max="13569" width="51.7109375" style="265" customWidth="1"/>
    <col min="13570" max="13575" width="9.140625" style="265"/>
    <col min="13576" max="13576" width="10.85546875" style="265" customWidth="1"/>
    <col min="13577" max="13824" width="9.140625" style="265"/>
    <col min="13825" max="13825" width="51.7109375" style="265" customWidth="1"/>
    <col min="13826" max="13831" width="9.140625" style="265"/>
    <col min="13832" max="13832" width="10.85546875" style="265" customWidth="1"/>
    <col min="13833" max="14080" width="9.140625" style="265"/>
    <col min="14081" max="14081" width="51.7109375" style="265" customWidth="1"/>
    <col min="14082" max="14087" width="9.140625" style="265"/>
    <col min="14088" max="14088" width="10.85546875" style="265" customWidth="1"/>
    <col min="14089" max="14336" width="9.140625" style="265"/>
    <col min="14337" max="14337" width="51.7109375" style="265" customWidth="1"/>
    <col min="14338" max="14343" width="9.140625" style="265"/>
    <col min="14344" max="14344" width="10.85546875" style="265" customWidth="1"/>
    <col min="14345" max="14592" width="9.140625" style="265"/>
    <col min="14593" max="14593" width="51.7109375" style="265" customWidth="1"/>
    <col min="14594" max="14599" width="9.140625" style="265"/>
    <col min="14600" max="14600" width="10.85546875" style="265" customWidth="1"/>
    <col min="14601" max="14848" width="9.140625" style="265"/>
    <col min="14849" max="14849" width="51.7109375" style="265" customWidth="1"/>
    <col min="14850" max="14855" width="9.140625" style="265"/>
    <col min="14856" max="14856" width="10.85546875" style="265" customWidth="1"/>
    <col min="14857" max="15104" width="9.140625" style="265"/>
    <col min="15105" max="15105" width="51.7109375" style="265" customWidth="1"/>
    <col min="15106" max="15111" width="9.140625" style="265"/>
    <col min="15112" max="15112" width="10.85546875" style="265" customWidth="1"/>
    <col min="15113" max="15360" width="9.140625" style="265"/>
    <col min="15361" max="15361" width="51.7109375" style="265" customWidth="1"/>
    <col min="15362" max="15367" width="9.140625" style="265"/>
    <col min="15368" max="15368" width="10.85546875" style="265" customWidth="1"/>
    <col min="15369" max="15616" width="9.140625" style="265"/>
    <col min="15617" max="15617" width="51.7109375" style="265" customWidth="1"/>
    <col min="15618" max="15623" width="9.140625" style="265"/>
    <col min="15624" max="15624" width="10.85546875" style="265" customWidth="1"/>
    <col min="15625" max="15872" width="9.140625" style="265"/>
    <col min="15873" max="15873" width="51.7109375" style="265" customWidth="1"/>
    <col min="15874" max="15879" width="9.140625" style="265"/>
    <col min="15880" max="15880" width="10.85546875" style="265" customWidth="1"/>
    <col min="15881" max="16128" width="9.140625" style="265"/>
    <col min="16129" max="16129" width="51.7109375" style="265" customWidth="1"/>
    <col min="16130" max="16135" width="9.140625" style="265"/>
    <col min="16136" max="16136" width="10.85546875" style="265" customWidth="1"/>
    <col min="16137" max="16384" width="9.140625" style="265"/>
  </cols>
  <sheetData>
    <row r="1" spans="1:11" x14ac:dyDescent="0.25">
      <c r="A1" s="216"/>
      <c r="B1" s="216"/>
      <c r="C1" s="216"/>
      <c r="D1" s="216"/>
      <c r="E1" s="216"/>
      <c r="F1" s="216"/>
      <c r="G1" s="216"/>
      <c r="H1" s="217" t="s">
        <v>419</v>
      </c>
      <c r="I1" s="766" t="str">
        <f>EBNUMBER</f>
        <v>EB-2014-0113</v>
      </c>
    </row>
    <row r="2" spans="1:11" x14ac:dyDescent="0.25">
      <c r="A2" s="216"/>
      <c r="B2" s="216"/>
      <c r="C2" s="216"/>
      <c r="D2" s="216"/>
      <c r="E2" s="216"/>
      <c r="F2" s="216"/>
      <c r="G2" s="216"/>
      <c r="H2" s="217" t="s">
        <v>420</v>
      </c>
      <c r="I2" s="767">
        <v>2</v>
      </c>
    </row>
    <row r="3" spans="1:11" x14ac:dyDescent="0.25">
      <c r="A3" s="216"/>
      <c r="B3" s="216"/>
      <c r="C3" s="216"/>
      <c r="D3" s="216"/>
      <c r="E3" s="216"/>
      <c r="F3" s="216"/>
      <c r="G3" s="216"/>
      <c r="H3" s="217" t="s">
        <v>421</v>
      </c>
      <c r="I3" s="767">
        <v>2</v>
      </c>
    </row>
    <row r="4" spans="1:11" x14ac:dyDescent="0.25">
      <c r="A4" s="216"/>
      <c r="B4" s="216"/>
      <c r="C4" s="216"/>
      <c r="D4" s="216"/>
      <c r="E4" s="216"/>
      <c r="F4" s="216"/>
      <c r="G4" s="216"/>
      <c r="H4" s="217" t="s">
        <v>422</v>
      </c>
      <c r="I4" s="767">
        <v>2</v>
      </c>
    </row>
    <row r="5" spans="1:11" x14ac:dyDescent="0.25">
      <c r="A5" s="216"/>
      <c r="B5" s="216"/>
      <c r="C5" s="216"/>
      <c r="D5" s="216"/>
      <c r="E5" s="216"/>
      <c r="F5" s="216"/>
      <c r="G5" s="216"/>
      <c r="H5" s="217" t="s">
        <v>423</v>
      </c>
      <c r="I5" s="768"/>
    </row>
    <row r="6" spans="1:11" x14ac:dyDescent="0.25">
      <c r="A6" s="216"/>
      <c r="B6" s="216"/>
      <c r="C6" s="216"/>
      <c r="D6" s="216"/>
      <c r="E6" s="216"/>
      <c r="F6" s="216"/>
      <c r="G6" s="216"/>
      <c r="H6" s="217"/>
      <c r="I6" s="766"/>
    </row>
    <row r="7" spans="1:11" x14ac:dyDescent="0.25">
      <c r="A7" s="216"/>
      <c r="B7" s="216"/>
      <c r="C7" s="216"/>
      <c r="D7" s="216"/>
      <c r="E7" s="216"/>
      <c r="F7" s="216"/>
      <c r="G7" s="216"/>
      <c r="H7" s="217" t="s">
        <v>424</v>
      </c>
      <c r="I7" s="1467">
        <v>42119</v>
      </c>
    </row>
    <row r="8" spans="1:11" x14ac:dyDescent="0.25">
      <c r="A8" s="216"/>
      <c r="B8" s="216"/>
      <c r="C8" s="216"/>
      <c r="D8" s="216"/>
      <c r="E8" s="216"/>
      <c r="F8" s="216"/>
      <c r="G8" s="216"/>
      <c r="H8" s="216"/>
      <c r="I8" s="216"/>
    </row>
    <row r="9" spans="1:11" ht="18" x14ac:dyDescent="0.25">
      <c r="A9" s="1856" t="s">
        <v>2154</v>
      </c>
      <c r="B9" s="1967"/>
      <c r="C9" s="1967"/>
      <c r="D9" s="1967"/>
      <c r="E9" s="1967"/>
      <c r="F9" s="1967"/>
      <c r="G9" s="1967"/>
      <c r="H9" s="1967"/>
      <c r="I9" s="1967"/>
    </row>
    <row r="10" spans="1:11" ht="18" x14ac:dyDescent="0.25">
      <c r="A10" s="1856" t="s">
        <v>598</v>
      </c>
      <c r="B10" s="1968"/>
      <c r="C10" s="1968"/>
      <c r="D10" s="1968"/>
      <c r="E10" s="1968"/>
      <c r="F10" s="1968"/>
      <c r="G10" s="1968"/>
      <c r="H10" s="1968"/>
      <c r="I10" s="1968"/>
    </row>
    <row r="11" spans="1:11" ht="18" x14ac:dyDescent="0.25">
      <c r="A11" s="1856" t="s">
        <v>806</v>
      </c>
      <c r="B11" s="1968"/>
      <c r="C11" s="1968"/>
      <c r="D11" s="1968"/>
      <c r="E11" s="1968"/>
      <c r="F11" s="1968"/>
      <c r="G11" s="1968"/>
      <c r="H11" s="1968"/>
      <c r="I11" s="1968"/>
    </row>
    <row r="12" spans="1:11" x14ac:dyDescent="0.25">
      <c r="A12" s="216"/>
      <c r="B12" s="216"/>
      <c r="C12" s="216"/>
      <c r="D12" s="216"/>
      <c r="E12" s="216"/>
      <c r="F12" s="216"/>
      <c r="G12" s="216"/>
      <c r="H12" s="216"/>
      <c r="I12" s="216"/>
    </row>
    <row r="13" spans="1:11" s="268" customFormat="1" x14ac:dyDescent="0.25">
      <c r="A13" s="1969" t="s">
        <v>807</v>
      </c>
      <c r="B13" s="1969"/>
      <c r="C13" s="1969"/>
      <c r="D13" s="1969"/>
      <c r="E13" s="1969"/>
      <c r="F13" s="1969"/>
      <c r="G13" s="1969"/>
      <c r="H13" s="1969"/>
      <c r="I13" s="1969"/>
      <c r="J13" s="267"/>
      <c r="K13" s="267"/>
    </row>
    <row r="14" spans="1:11" x14ac:dyDescent="0.25">
      <c r="A14" s="269"/>
      <c r="B14" s="269"/>
      <c r="C14" s="269"/>
      <c r="D14" s="269"/>
      <c r="E14" s="269"/>
      <c r="F14" s="269"/>
      <c r="G14" s="269"/>
      <c r="H14" s="269"/>
      <c r="I14" s="269"/>
      <c r="J14" s="270"/>
      <c r="K14" s="270"/>
    </row>
    <row r="15" spans="1:11" x14ac:dyDescent="0.25">
      <c r="A15" s="1969" t="s">
        <v>808</v>
      </c>
      <c r="B15" s="1969"/>
      <c r="C15" s="1969"/>
      <c r="D15" s="1969"/>
      <c r="E15" s="1969"/>
      <c r="F15" s="1969"/>
      <c r="G15" s="1969"/>
      <c r="H15" s="1969"/>
      <c r="I15" s="1969"/>
      <c r="J15" s="270"/>
      <c r="K15" s="270"/>
    </row>
    <row r="16" spans="1:11" x14ac:dyDescent="0.25">
      <c r="A16" s="269"/>
      <c r="B16" s="269"/>
      <c r="C16" s="269"/>
      <c r="D16" s="269"/>
      <c r="E16" s="269"/>
      <c r="F16" s="269"/>
      <c r="G16" s="269"/>
      <c r="H16" s="269"/>
      <c r="I16" s="269"/>
      <c r="J16" s="270"/>
      <c r="K16" s="270"/>
    </row>
    <row r="17" spans="1:11" ht="39" x14ac:dyDescent="0.25">
      <c r="A17" s="269"/>
      <c r="B17" s="324" t="str">
        <f>RebaseYear &amp;" Rebasing Year"</f>
        <v>2011 Rebasing Year</v>
      </c>
      <c r="C17" s="324">
        <v>2011</v>
      </c>
      <c r="D17" s="324">
        <v>2012</v>
      </c>
      <c r="E17" s="324">
        <v>2013</v>
      </c>
      <c r="F17" s="324" t="s">
        <v>804</v>
      </c>
      <c r="G17" s="324">
        <v>2015</v>
      </c>
      <c r="H17" s="324">
        <v>2016</v>
      </c>
      <c r="I17" s="324">
        <v>2016</v>
      </c>
      <c r="J17" s="324">
        <v>2017</v>
      </c>
      <c r="K17" s="270"/>
    </row>
    <row r="18" spans="1:11" x14ac:dyDescent="0.25">
      <c r="A18" s="266" t="s">
        <v>160</v>
      </c>
      <c r="B18" s="336" t="s">
        <v>161</v>
      </c>
      <c r="C18" s="336" t="s">
        <v>589</v>
      </c>
      <c r="D18" s="336" t="s">
        <v>589</v>
      </c>
      <c r="E18" s="336" t="s">
        <v>589</v>
      </c>
      <c r="F18" s="336" t="s">
        <v>162</v>
      </c>
      <c r="G18" s="336" t="s">
        <v>589</v>
      </c>
      <c r="H18" s="336" t="s">
        <v>589</v>
      </c>
      <c r="I18" s="336" t="s">
        <v>589</v>
      </c>
      <c r="J18" s="336" t="s">
        <v>589</v>
      </c>
      <c r="K18" s="270"/>
    </row>
    <row r="19" spans="1:11" x14ac:dyDescent="0.25">
      <c r="A19" s="266" t="s">
        <v>590</v>
      </c>
      <c r="B19" s="336" t="s">
        <v>140</v>
      </c>
      <c r="C19" s="336" t="s">
        <v>591</v>
      </c>
      <c r="D19" s="336" t="s">
        <v>591</v>
      </c>
      <c r="E19" s="336" t="s">
        <v>140</v>
      </c>
      <c r="F19" s="336" t="s">
        <v>140</v>
      </c>
      <c r="G19" s="336"/>
      <c r="H19" s="336"/>
      <c r="I19" s="336"/>
      <c r="J19" s="336"/>
      <c r="K19" s="270"/>
    </row>
    <row r="20" spans="1:11" x14ac:dyDescent="0.25">
      <c r="A20" s="269"/>
      <c r="B20" s="326"/>
      <c r="C20" s="326"/>
      <c r="D20" s="333"/>
      <c r="E20" s="333" t="s">
        <v>229</v>
      </c>
      <c r="F20" s="333" t="s">
        <v>229</v>
      </c>
      <c r="G20" s="333" t="s">
        <v>229</v>
      </c>
      <c r="H20" s="333" t="s">
        <v>229</v>
      </c>
      <c r="I20" s="333" t="s">
        <v>229</v>
      </c>
      <c r="J20" s="333" t="s">
        <v>229</v>
      </c>
      <c r="K20" s="270"/>
    </row>
    <row r="21" spans="1:11" x14ac:dyDescent="0.25">
      <c r="A21" s="266" t="s">
        <v>592</v>
      </c>
      <c r="B21" s="1979"/>
      <c r="C21" s="1980"/>
      <c r="D21" s="1980"/>
      <c r="E21" s="1980"/>
      <c r="F21" s="1980"/>
      <c r="G21" s="1980"/>
      <c r="H21" s="1980"/>
      <c r="I21" s="1980"/>
      <c r="J21" s="1981"/>
      <c r="K21" s="270"/>
    </row>
    <row r="22" spans="1:11" x14ac:dyDescent="0.25">
      <c r="A22" s="326" t="s">
        <v>593</v>
      </c>
      <c r="B22" s="329"/>
      <c r="C22" s="329"/>
      <c r="D22" s="339"/>
      <c r="E22" s="328"/>
      <c r="F22" s="329"/>
      <c r="G22" s="329"/>
      <c r="H22" s="329"/>
      <c r="I22" s="329"/>
      <c r="J22" s="329"/>
      <c r="K22" s="270"/>
    </row>
    <row r="23" spans="1:11" x14ac:dyDescent="0.25">
      <c r="A23" s="326" t="s">
        <v>1222</v>
      </c>
      <c r="B23" s="329"/>
      <c r="C23" s="329"/>
      <c r="D23" s="339"/>
      <c r="E23" s="328"/>
      <c r="F23" s="329"/>
      <c r="G23" s="329"/>
      <c r="H23" s="329"/>
      <c r="I23" s="329"/>
      <c r="J23" s="329"/>
      <c r="K23" s="270"/>
    </row>
    <row r="24" spans="1:11" x14ac:dyDescent="0.25">
      <c r="A24" s="326" t="s">
        <v>1223</v>
      </c>
      <c r="B24" s="329"/>
      <c r="C24" s="329"/>
      <c r="D24" s="339"/>
      <c r="E24" s="328"/>
      <c r="F24" s="329"/>
      <c r="G24" s="329"/>
      <c r="H24" s="329"/>
      <c r="I24" s="329"/>
      <c r="J24" s="329"/>
      <c r="K24" s="270"/>
    </row>
    <row r="25" spans="1:11" x14ac:dyDescent="0.25">
      <c r="A25" s="325" t="s">
        <v>594</v>
      </c>
      <c r="B25" s="329"/>
      <c r="C25" s="329"/>
      <c r="D25" s="339"/>
      <c r="E25" s="330">
        <f>SUM(E22:E24)</f>
        <v>0</v>
      </c>
      <c r="F25" s="329"/>
      <c r="G25" s="329"/>
      <c r="H25" s="329"/>
      <c r="I25" s="329"/>
      <c r="J25" s="329"/>
      <c r="K25" s="270"/>
    </row>
    <row r="26" spans="1:11" x14ac:dyDescent="0.25">
      <c r="A26" s="269"/>
      <c r="B26" s="1988"/>
      <c r="C26" s="1989"/>
      <c r="D26" s="1989"/>
      <c r="E26" s="1989"/>
      <c r="F26" s="1989"/>
      <c r="G26" s="1989"/>
      <c r="H26" s="1989"/>
      <c r="I26" s="1989"/>
      <c r="J26" s="1990"/>
      <c r="K26" s="270"/>
    </row>
    <row r="27" spans="1:11" ht="26.25" x14ac:dyDescent="0.25">
      <c r="A27" s="271" t="s">
        <v>809</v>
      </c>
      <c r="B27" s="1991"/>
      <c r="C27" s="1992"/>
      <c r="D27" s="1992"/>
      <c r="E27" s="1992"/>
      <c r="F27" s="1992"/>
      <c r="G27" s="1992"/>
      <c r="H27" s="1992"/>
      <c r="I27" s="1992"/>
      <c r="J27" s="1993"/>
      <c r="K27" s="270"/>
    </row>
    <row r="28" spans="1:11" x14ac:dyDescent="0.25">
      <c r="A28" s="326" t="s">
        <v>596</v>
      </c>
      <c r="B28" s="329"/>
      <c r="C28" s="329"/>
      <c r="D28" s="339"/>
      <c r="E28" s="328"/>
      <c r="F28" s="329"/>
      <c r="G28" s="329"/>
      <c r="H28" s="329"/>
      <c r="I28" s="329"/>
      <c r="J28" s="329"/>
      <c r="K28" s="270"/>
    </row>
    <row r="29" spans="1:11" x14ac:dyDescent="0.25">
      <c r="A29" s="326" t="s">
        <v>1222</v>
      </c>
      <c r="B29" s="329"/>
      <c r="C29" s="329"/>
      <c r="D29" s="339"/>
      <c r="E29" s="328"/>
      <c r="F29" s="329"/>
      <c r="G29" s="329"/>
      <c r="H29" s="329"/>
      <c r="I29" s="329"/>
      <c r="J29" s="329"/>
      <c r="K29" s="270"/>
    </row>
    <row r="30" spans="1:11" x14ac:dyDescent="0.25">
      <c r="A30" s="326" t="s">
        <v>1223</v>
      </c>
      <c r="B30" s="329"/>
      <c r="C30" s="329"/>
      <c r="D30" s="339"/>
      <c r="E30" s="328"/>
      <c r="F30" s="329"/>
      <c r="G30" s="329"/>
      <c r="H30" s="329"/>
      <c r="I30" s="329"/>
      <c r="J30" s="329"/>
      <c r="K30" s="270"/>
    </row>
    <row r="31" spans="1:11" x14ac:dyDescent="0.25">
      <c r="A31" s="325" t="s">
        <v>597</v>
      </c>
      <c r="B31" s="329"/>
      <c r="C31" s="329"/>
      <c r="D31" s="339"/>
      <c r="E31" s="330">
        <f>SUM(E28:E30)</f>
        <v>0</v>
      </c>
      <c r="F31" s="329"/>
      <c r="G31" s="329"/>
      <c r="H31" s="329"/>
      <c r="I31" s="329"/>
      <c r="J31" s="329"/>
      <c r="K31" s="270"/>
    </row>
    <row r="32" spans="1:11" x14ac:dyDescent="0.25">
      <c r="A32" s="269"/>
      <c r="B32" s="1979"/>
      <c r="C32" s="1980"/>
      <c r="D32" s="1980"/>
      <c r="E32" s="1980"/>
      <c r="F32" s="1980"/>
      <c r="G32" s="1980"/>
      <c r="H32" s="1980"/>
      <c r="I32" s="1980"/>
      <c r="J32" s="1981"/>
      <c r="K32" s="270"/>
    </row>
    <row r="33" spans="1:11" x14ac:dyDescent="0.25">
      <c r="A33" s="334" t="s">
        <v>1224</v>
      </c>
      <c r="B33" s="329"/>
      <c r="C33" s="329"/>
      <c r="D33" s="340"/>
      <c r="E33" s="332">
        <f>E25-E31</f>
        <v>0</v>
      </c>
      <c r="F33" s="329"/>
      <c r="G33" s="329"/>
      <c r="H33" s="329"/>
      <c r="I33" s="329"/>
      <c r="J33" s="329"/>
      <c r="K33" s="270"/>
    </row>
    <row r="34" spans="1:11" x14ac:dyDescent="0.25">
      <c r="A34" s="269"/>
      <c r="B34" s="1982"/>
      <c r="C34" s="1982"/>
      <c r="D34" s="1982"/>
      <c r="E34" s="1982"/>
      <c r="F34" s="1982"/>
      <c r="G34" s="1982"/>
      <c r="H34" s="1982"/>
      <c r="I34" s="1982"/>
      <c r="J34" s="1982"/>
      <c r="K34" s="270"/>
    </row>
    <row r="35" spans="1:11" x14ac:dyDescent="0.25">
      <c r="A35" s="266"/>
      <c r="B35" s="269"/>
      <c r="C35" s="269"/>
      <c r="D35" s="272"/>
      <c r="E35" s="272"/>
      <c r="F35" s="272"/>
      <c r="G35" s="272"/>
      <c r="H35" s="272"/>
      <c r="I35" s="269"/>
      <c r="J35" s="270"/>
      <c r="K35" s="270"/>
    </row>
    <row r="36" spans="1:11" x14ac:dyDescent="0.25">
      <c r="A36" s="266" t="s">
        <v>1225</v>
      </c>
      <c r="B36" s="269"/>
      <c r="C36" s="269"/>
      <c r="D36" s="272"/>
      <c r="E36" s="272"/>
      <c r="F36" s="272"/>
      <c r="G36" s="272"/>
      <c r="H36" s="272"/>
      <c r="I36" s="269"/>
      <c r="J36" s="270"/>
      <c r="K36" s="270"/>
    </row>
    <row r="37" spans="1:11" s="274" customFormat="1" x14ac:dyDescent="0.25">
      <c r="A37" s="335" t="s">
        <v>1226</v>
      </c>
      <c r="B37" s="1012"/>
      <c r="C37" s="1012"/>
      <c r="D37" s="1012"/>
      <c r="E37" s="1012"/>
      <c r="F37" s="849">
        <f>IF(ISERROR(E33), 0, E33)</f>
        <v>0</v>
      </c>
      <c r="G37" s="269"/>
      <c r="H37" s="273" t="s">
        <v>599</v>
      </c>
      <c r="I37" s="323"/>
      <c r="J37" s="270"/>
      <c r="K37" s="270"/>
    </row>
    <row r="38" spans="1:11" s="274" customFormat="1" ht="26.25" x14ac:dyDescent="0.25">
      <c r="A38" s="335" t="s">
        <v>1227</v>
      </c>
      <c r="B38" s="1012"/>
      <c r="C38" s="1012"/>
      <c r="D38" s="1012"/>
      <c r="E38" s="1012"/>
      <c r="F38" s="849">
        <f>E33*I37*I38</f>
        <v>0</v>
      </c>
      <c r="G38" s="1983" t="s">
        <v>1228</v>
      </c>
      <c r="H38" s="1983"/>
      <c r="I38" s="1984"/>
      <c r="J38" s="546"/>
      <c r="K38" s="270"/>
    </row>
    <row r="39" spans="1:11" x14ac:dyDescent="0.25">
      <c r="A39" s="338" t="s">
        <v>1229</v>
      </c>
      <c r="B39" s="337"/>
      <c r="C39" s="337"/>
      <c r="D39" s="337"/>
      <c r="E39" s="337"/>
      <c r="F39" s="850">
        <f>F37+F38</f>
        <v>0</v>
      </c>
      <c r="G39" s="1983"/>
      <c r="H39" s="1983"/>
      <c r="I39" s="1985"/>
      <c r="J39" s="270"/>
      <c r="K39" s="270"/>
    </row>
    <row r="40" spans="1:11" x14ac:dyDescent="0.25">
      <c r="A40" s="266"/>
      <c r="B40" s="269"/>
      <c r="C40" s="269"/>
      <c r="D40" s="269"/>
      <c r="E40" s="269"/>
      <c r="F40" s="269"/>
      <c r="G40" s="269"/>
      <c r="H40" s="269"/>
      <c r="I40" s="269"/>
      <c r="J40" s="270"/>
      <c r="K40" s="270"/>
    </row>
    <row r="41" spans="1:11" x14ac:dyDescent="0.25">
      <c r="A41" s="266" t="s">
        <v>15</v>
      </c>
      <c r="B41" s="269"/>
      <c r="C41" s="269"/>
      <c r="D41" s="269"/>
      <c r="E41" s="269"/>
      <c r="F41" s="269"/>
      <c r="G41" s="269"/>
      <c r="H41" s="269"/>
      <c r="I41" s="269"/>
      <c r="J41" s="270"/>
      <c r="K41" s="270"/>
    </row>
    <row r="42" spans="1:11" x14ac:dyDescent="0.25">
      <c r="A42" s="269" t="s">
        <v>810</v>
      </c>
      <c r="B42" s="269"/>
      <c r="C42" s="269"/>
      <c r="D42" s="269"/>
      <c r="E42" s="269"/>
      <c r="F42" s="269"/>
      <c r="G42" s="269"/>
      <c r="H42" s="269"/>
      <c r="I42" s="269"/>
      <c r="J42" s="270"/>
      <c r="K42" s="270"/>
    </row>
    <row r="43" spans="1:11" x14ac:dyDescent="0.25">
      <c r="A43" s="269" t="s">
        <v>1230</v>
      </c>
      <c r="B43" s="269"/>
      <c r="C43" s="269"/>
      <c r="D43" s="269"/>
      <c r="E43" s="269"/>
      <c r="F43" s="269"/>
      <c r="G43" s="269"/>
      <c r="H43" s="269"/>
      <c r="I43" s="269"/>
      <c r="J43" s="270"/>
      <c r="K43" s="270"/>
    </row>
    <row r="44" spans="1:11" x14ac:dyDescent="0.25">
      <c r="A44" s="269" t="s">
        <v>1231</v>
      </c>
      <c r="B44" s="269"/>
      <c r="C44" s="269"/>
      <c r="D44" s="269"/>
      <c r="E44" s="269"/>
      <c r="F44" s="269"/>
      <c r="G44" s="269"/>
      <c r="H44" s="269"/>
      <c r="I44" s="269"/>
      <c r="J44" s="270"/>
      <c r="K44" s="270"/>
    </row>
    <row r="45" spans="1:11" x14ac:dyDescent="0.25">
      <c r="A45" s="269" t="s">
        <v>600</v>
      </c>
      <c r="B45" s="269"/>
      <c r="C45" s="269"/>
      <c r="D45" s="269"/>
      <c r="E45" s="269"/>
      <c r="F45" s="269"/>
      <c r="G45" s="269"/>
      <c r="H45" s="269"/>
      <c r="I45" s="269"/>
      <c r="J45" s="270"/>
      <c r="K45" s="270"/>
    </row>
    <row r="46" spans="1:11" x14ac:dyDescent="0.25">
      <c r="A46" s="1966" t="s">
        <v>1232</v>
      </c>
      <c r="B46" s="1966"/>
      <c r="C46" s="1966"/>
      <c r="D46" s="1966"/>
      <c r="E46" s="1966"/>
      <c r="F46" s="1966"/>
      <c r="G46" s="1966"/>
      <c r="H46" s="1966"/>
      <c r="I46" s="269"/>
      <c r="J46" s="270"/>
      <c r="K46" s="270"/>
    </row>
    <row r="47" spans="1:11" x14ac:dyDescent="0.25">
      <c r="A47" s="269" t="s">
        <v>1935</v>
      </c>
      <c r="B47" s="270"/>
      <c r="C47" s="270"/>
      <c r="D47" s="270"/>
      <c r="E47" s="270"/>
      <c r="F47" s="270"/>
      <c r="G47" s="270"/>
      <c r="H47" s="270"/>
      <c r="I47" s="269"/>
      <c r="J47" s="270"/>
      <c r="K47" s="270"/>
    </row>
    <row r="48" spans="1:11" x14ac:dyDescent="0.25">
      <c r="A48" s="269"/>
      <c r="B48" s="269"/>
      <c r="C48" s="269"/>
      <c r="D48" s="269"/>
      <c r="E48" s="269"/>
      <c r="F48" s="269"/>
      <c r="G48" s="269"/>
      <c r="H48" s="269"/>
      <c r="I48" s="269"/>
      <c r="J48" s="270"/>
      <c r="K48" s="270"/>
    </row>
    <row r="49" spans="1:11" x14ac:dyDescent="0.25">
      <c r="A49" s="269"/>
      <c r="B49" s="269"/>
      <c r="C49" s="269"/>
      <c r="D49" s="269"/>
      <c r="E49" s="269"/>
      <c r="F49" s="269"/>
      <c r="G49" s="269"/>
      <c r="H49" s="269"/>
      <c r="I49" s="269"/>
      <c r="J49" s="270"/>
      <c r="K49" s="270"/>
    </row>
    <row r="50" spans="1:11" x14ac:dyDescent="0.25">
      <c r="A50" s="269"/>
      <c r="B50" s="269"/>
      <c r="C50" s="269"/>
      <c r="D50" s="269"/>
      <c r="E50" s="269"/>
      <c r="F50" s="269"/>
      <c r="G50" s="269"/>
      <c r="H50" s="269"/>
      <c r="I50" s="269"/>
      <c r="J50" s="270"/>
      <c r="K50" s="270"/>
    </row>
    <row r="51" spans="1:11" x14ac:dyDescent="0.25">
      <c r="A51" s="269"/>
      <c r="B51" s="269"/>
      <c r="C51" s="269"/>
      <c r="D51" s="269"/>
      <c r="E51" s="269"/>
      <c r="F51" s="269"/>
      <c r="G51" s="269"/>
      <c r="H51" s="269"/>
      <c r="I51" s="269"/>
      <c r="J51" s="270"/>
      <c r="K51" s="270"/>
    </row>
    <row r="52" spans="1:11" x14ac:dyDescent="0.25">
      <c r="A52" s="269"/>
      <c r="B52" s="269"/>
      <c r="C52" s="269"/>
      <c r="D52" s="269"/>
      <c r="E52" s="269"/>
      <c r="F52" s="269"/>
      <c r="G52" s="269"/>
      <c r="H52" s="269"/>
      <c r="I52" s="269"/>
      <c r="J52" s="270"/>
      <c r="K52" s="270"/>
    </row>
    <row r="53" spans="1:11" x14ac:dyDescent="0.25">
      <c r="A53" s="269"/>
      <c r="B53" s="269"/>
      <c r="C53" s="269"/>
      <c r="D53" s="269"/>
      <c r="E53" s="269"/>
      <c r="F53" s="269"/>
      <c r="G53" s="269"/>
      <c r="H53" s="269"/>
      <c r="I53" s="269"/>
      <c r="J53" s="270"/>
      <c r="K53" s="270"/>
    </row>
    <row r="54" spans="1:11" x14ac:dyDescent="0.25">
      <c r="A54" s="269"/>
      <c r="B54" s="269"/>
      <c r="C54" s="269"/>
      <c r="D54" s="269"/>
      <c r="E54" s="269"/>
      <c r="F54" s="269"/>
      <c r="G54" s="269"/>
      <c r="H54" s="269"/>
      <c r="I54" s="269"/>
      <c r="J54" s="270"/>
      <c r="K54" s="270"/>
    </row>
    <row r="55" spans="1:11" ht="24.75" customHeight="1" x14ac:dyDescent="0.25">
      <c r="A55" s="1966"/>
      <c r="B55" s="1966"/>
      <c r="C55" s="1966"/>
      <c r="D55" s="1966"/>
      <c r="E55" s="1966"/>
      <c r="F55" s="1966"/>
      <c r="G55" s="1966"/>
      <c r="H55" s="1966"/>
      <c r="I55" s="1966"/>
      <c r="J55" s="270"/>
      <c r="K55" s="270"/>
    </row>
    <row r="56" spans="1:11" ht="24.75" customHeight="1" x14ac:dyDescent="0.25">
      <c r="A56" s="1966"/>
      <c r="B56" s="1966"/>
      <c r="C56" s="1966"/>
      <c r="D56" s="1966"/>
      <c r="E56" s="1966"/>
      <c r="F56" s="1966"/>
      <c r="G56" s="1966"/>
      <c r="H56" s="1966"/>
      <c r="I56" s="1966"/>
    </row>
    <row r="57" spans="1:11" x14ac:dyDescent="0.25">
      <c r="A57" s="269"/>
    </row>
  </sheetData>
  <mergeCells count="13">
    <mergeCell ref="B26:J27"/>
    <mergeCell ref="B32:J32"/>
    <mergeCell ref="A55:I56"/>
    <mergeCell ref="A9:I9"/>
    <mergeCell ref="A10:I10"/>
    <mergeCell ref="A11:I11"/>
    <mergeCell ref="A13:I13"/>
    <mergeCell ref="A15:I15"/>
    <mergeCell ref="B21:J21"/>
    <mergeCell ref="B34:J34"/>
    <mergeCell ref="G38:H39"/>
    <mergeCell ref="I38:I39"/>
    <mergeCell ref="A46:H46"/>
  </mergeCells>
  <dataValidations count="1">
    <dataValidation allowBlank="1" showInputMessage="1" showErrorMessage="1" promptTitle="Date Format" prompt="E.g:  &quot;August 1, 2011&quot;" sqref="WVM983046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dataValidations>
  <pageMargins left="0.7" right="0.7" top="0.75" bottom="0.75" header="0.3" footer="0.3"/>
  <pageSetup scale="6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M57"/>
  <sheetViews>
    <sheetView showGridLines="0" topLeftCell="A7" zoomScaleNormal="100" workbookViewId="0">
      <selection activeCell="B11" sqref="B11:J11"/>
    </sheetView>
  </sheetViews>
  <sheetFormatPr defaultRowHeight="15" x14ac:dyDescent="0.25"/>
  <cols>
    <col min="1" max="1" width="4.5703125" style="265" customWidth="1"/>
    <col min="2" max="2" width="51.7109375" style="265" customWidth="1"/>
    <col min="3" max="4" width="9.140625" style="265"/>
    <col min="5" max="8" width="10.28515625" style="265" bestFit="1" customWidth="1"/>
    <col min="9" max="9" width="13.7109375" style="265" customWidth="1"/>
    <col min="10" max="10" width="11" style="265" bestFit="1" customWidth="1"/>
    <col min="11" max="11" width="9.28515625" style="265" bestFit="1" customWidth="1"/>
    <col min="12" max="257" width="9.140625" style="265"/>
    <col min="258" max="258" width="51.7109375" style="265" customWidth="1"/>
    <col min="259" max="264" width="9.140625" style="265"/>
    <col min="265" max="265" width="11.28515625" style="265" customWidth="1"/>
    <col min="266" max="513" width="9.140625" style="265"/>
    <col min="514" max="514" width="51.7109375" style="265" customWidth="1"/>
    <col min="515" max="520" width="9.140625" style="265"/>
    <col min="521" max="521" width="11.28515625" style="265" customWidth="1"/>
    <col min="522" max="769" width="9.140625" style="265"/>
    <col min="770" max="770" width="51.7109375" style="265" customWidth="1"/>
    <col min="771" max="776" width="9.140625" style="265"/>
    <col min="777" max="777" width="11.28515625" style="265" customWidth="1"/>
    <col min="778" max="1025" width="9.140625" style="265"/>
    <col min="1026" max="1026" width="51.7109375" style="265" customWidth="1"/>
    <col min="1027" max="1032" width="9.140625" style="265"/>
    <col min="1033" max="1033" width="11.28515625" style="265" customWidth="1"/>
    <col min="1034" max="1281" width="9.140625" style="265"/>
    <col min="1282" max="1282" width="51.7109375" style="265" customWidth="1"/>
    <col min="1283" max="1288" width="9.140625" style="265"/>
    <col min="1289" max="1289" width="11.28515625" style="265" customWidth="1"/>
    <col min="1290" max="1537" width="9.140625" style="265"/>
    <col min="1538" max="1538" width="51.7109375" style="265" customWidth="1"/>
    <col min="1539" max="1544" width="9.140625" style="265"/>
    <col min="1545" max="1545" width="11.28515625" style="265" customWidth="1"/>
    <col min="1546" max="1793" width="9.140625" style="265"/>
    <col min="1794" max="1794" width="51.7109375" style="265" customWidth="1"/>
    <col min="1795" max="1800" width="9.140625" style="265"/>
    <col min="1801" max="1801" width="11.28515625" style="265" customWidth="1"/>
    <col min="1802" max="2049" width="9.140625" style="265"/>
    <col min="2050" max="2050" width="51.7109375" style="265" customWidth="1"/>
    <col min="2051" max="2056" width="9.140625" style="265"/>
    <col min="2057" max="2057" width="11.28515625" style="265" customWidth="1"/>
    <col min="2058" max="2305" width="9.140625" style="265"/>
    <col min="2306" max="2306" width="51.7109375" style="265" customWidth="1"/>
    <col min="2307" max="2312" width="9.140625" style="265"/>
    <col min="2313" max="2313" width="11.28515625" style="265" customWidth="1"/>
    <col min="2314" max="2561" width="9.140625" style="265"/>
    <col min="2562" max="2562" width="51.7109375" style="265" customWidth="1"/>
    <col min="2563" max="2568" width="9.140625" style="265"/>
    <col min="2569" max="2569" width="11.28515625" style="265" customWidth="1"/>
    <col min="2570" max="2817" width="9.140625" style="265"/>
    <col min="2818" max="2818" width="51.7109375" style="265" customWidth="1"/>
    <col min="2819" max="2824" width="9.140625" style="265"/>
    <col min="2825" max="2825" width="11.28515625" style="265" customWidth="1"/>
    <col min="2826" max="3073" width="9.140625" style="265"/>
    <col min="3074" max="3074" width="51.7109375" style="265" customWidth="1"/>
    <col min="3075" max="3080" width="9.140625" style="265"/>
    <col min="3081" max="3081" width="11.28515625" style="265" customWidth="1"/>
    <col min="3082" max="3329" width="9.140625" style="265"/>
    <col min="3330" max="3330" width="51.7109375" style="265" customWidth="1"/>
    <col min="3331" max="3336" width="9.140625" style="265"/>
    <col min="3337" max="3337" width="11.28515625" style="265" customWidth="1"/>
    <col min="3338" max="3585" width="9.140625" style="265"/>
    <col min="3586" max="3586" width="51.7109375" style="265" customWidth="1"/>
    <col min="3587" max="3592" width="9.140625" style="265"/>
    <col min="3593" max="3593" width="11.28515625" style="265" customWidth="1"/>
    <col min="3594" max="3841" width="9.140625" style="265"/>
    <col min="3842" max="3842" width="51.7109375" style="265" customWidth="1"/>
    <col min="3843" max="3848" width="9.140625" style="265"/>
    <col min="3849" max="3849" width="11.28515625" style="265" customWidth="1"/>
    <col min="3850" max="4097" width="9.140625" style="265"/>
    <col min="4098" max="4098" width="51.7109375" style="265" customWidth="1"/>
    <col min="4099" max="4104" width="9.140625" style="265"/>
    <col min="4105" max="4105" width="11.28515625" style="265" customWidth="1"/>
    <col min="4106" max="4353" width="9.140625" style="265"/>
    <col min="4354" max="4354" width="51.7109375" style="265" customWidth="1"/>
    <col min="4355" max="4360" width="9.140625" style="265"/>
    <col min="4361" max="4361" width="11.28515625" style="265" customWidth="1"/>
    <col min="4362" max="4609" width="9.140625" style="265"/>
    <col min="4610" max="4610" width="51.7109375" style="265" customWidth="1"/>
    <col min="4611" max="4616" width="9.140625" style="265"/>
    <col min="4617" max="4617" width="11.28515625" style="265" customWidth="1"/>
    <col min="4618" max="4865" width="9.140625" style="265"/>
    <col min="4866" max="4866" width="51.7109375" style="265" customWidth="1"/>
    <col min="4867" max="4872" width="9.140625" style="265"/>
    <col min="4873" max="4873" width="11.28515625" style="265" customWidth="1"/>
    <col min="4874" max="5121" width="9.140625" style="265"/>
    <col min="5122" max="5122" width="51.7109375" style="265" customWidth="1"/>
    <col min="5123" max="5128" width="9.140625" style="265"/>
    <col min="5129" max="5129" width="11.28515625" style="265" customWidth="1"/>
    <col min="5130" max="5377" width="9.140625" style="265"/>
    <col min="5378" max="5378" width="51.7109375" style="265" customWidth="1"/>
    <col min="5379" max="5384" width="9.140625" style="265"/>
    <col min="5385" max="5385" width="11.28515625" style="265" customWidth="1"/>
    <col min="5386" max="5633" width="9.140625" style="265"/>
    <col min="5634" max="5634" width="51.7109375" style="265" customWidth="1"/>
    <col min="5635" max="5640" width="9.140625" style="265"/>
    <col min="5641" max="5641" width="11.28515625" style="265" customWidth="1"/>
    <col min="5642" max="5889" width="9.140625" style="265"/>
    <col min="5890" max="5890" width="51.7109375" style="265" customWidth="1"/>
    <col min="5891" max="5896" width="9.140625" style="265"/>
    <col min="5897" max="5897" width="11.28515625" style="265" customWidth="1"/>
    <col min="5898" max="6145" width="9.140625" style="265"/>
    <col min="6146" max="6146" width="51.7109375" style="265" customWidth="1"/>
    <col min="6147" max="6152" width="9.140625" style="265"/>
    <col min="6153" max="6153" width="11.28515625" style="265" customWidth="1"/>
    <col min="6154" max="6401" width="9.140625" style="265"/>
    <col min="6402" max="6402" width="51.7109375" style="265" customWidth="1"/>
    <col min="6403" max="6408" width="9.140625" style="265"/>
    <col min="6409" max="6409" width="11.28515625" style="265" customWidth="1"/>
    <col min="6410" max="6657" width="9.140625" style="265"/>
    <col min="6658" max="6658" width="51.7109375" style="265" customWidth="1"/>
    <col min="6659" max="6664" width="9.140625" style="265"/>
    <col min="6665" max="6665" width="11.28515625" style="265" customWidth="1"/>
    <col min="6666" max="6913" width="9.140625" style="265"/>
    <col min="6914" max="6914" width="51.7109375" style="265" customWidth="1"/>
    <col min="6915" max="6920" width="9.140625" style="265"/>
    <col min="6921" max="6921" width="11.28515625" style="265" customWidth="1"/>
    <col min="6922" max="7169" width="9.140625" style="265"/>
    <col min="7170" max="7170" width="51.7109375" style="265" customWidth="1"/>
    <col min="7171" max="7176" width="9.140625" style="265"/>
    <col min="7177" max="7177" width="11.28515625" style="265" customWidth="1"/>
    <col min="7178" max="7425" width="9.140625" style="265"/>
    <col min="7426" max="7426" width="51.7109375" style="265" customWidth="1"/>
    <col min="7427" max="7432" width="9.140625" style="265"/>
    <col min="7433" max="7433" width="11.28515625" style="265" customWidth="1"/>
    <col min="7434" max="7681" width="9.140625" style="265"/>
    <col min="7682" max="7682" width="51.7109375" style="265" customWidth="1"/>
    <col min="7683" max="7688" width="9.140625" style="265"/>
    <col min="7689" max="7689" width="11.28515625" style="265" customWidth="1"/>
    <col min="7690" max="7937" width="9.140625" style="265"/>
    <col min="7938" max="7938" width="51.7109375" style="265" customWidth="1"/>
    <col min="7939" max="7944" width="9.140625" style="265"/>
    <col min="7945" max="7945" width="11.28515625" style="265" customWidth="1"/>
    <col min="7946" max="8193" width="9.140625" style="265"/>
    <col min="8194" max="8194" width="51.7109375" style="265" customWidth="1"/>
    <col min="8195" max="8200" width="9.140625" style="265"/>
    <col min="8201" max="8201" width="11.28515625" style="265" customWidth="1"/>
    <col min="8202" max="8449" width="9.140625" style="265"/>
    <col min="8450" max="8450" width="51.7109375" style="265" customWidth="1"/>
    <col min="8451" max="8456" width="9.140625" style="265"/>
    <col min="8457" max="8457" width="11.28515625" style="265" customWidth="1"/>
    <col min="8458" max="8705" width="9.140625" style="265"/>
    <col min="8706" max="8706" width="51.7109375" style="265" customWidth="1"/>
    <col min="8707" max="8712" width="9.140625" style="265"/>
    <col min="8713" max="8713" width="11.28515625" style="265" customWidth="1"/>
    <col min="8714" max="8961" width="9.140625" style="265"/>
    <col min="8962" max="8962" width="51.7109375" style="265" customWidth="1"/>
    <col min="8963" max="8968" width="9.140625" style="265"/>
    <col min="8969" max="8969" width="11.28515625" style="265" customWidth="1"/>
    <col min="8970" max="9217" width="9.140625" style="265"/>
    <col min="9218" max="9218" width="51.7109375" style="265" customWidth="1"/>
    <col min="9219" max="9224" width="9.140625" style="265"/>
    <col min="9225" max="9225" width="11.28515625" style="265" customWidth="1"/>
    <col min="9226" max="9473" width="9.140625" style="265"/>
    <col min="9474" max="9474" width="51.7109375" style="265" customWidth="1"/>
    <col min="9475" max="9480" width="9.140625" style="265"/>
    <col min="9481" max="9481" width="11.28515625" style="265" customWidth="1"/>
    <col min="9482" max="9729" width="9.140625" style="265"/>
    <col min="9730" max="9730" width="51.7109375" style="265" customWidth="1"/>
    <col min="9731" max="9736" width="9.140625" style="265"/>
    <col min="9737" max="9737" width="11.28515625" style="265" customWidth="1"/>
    <col min="9738" max="9985" width="9.140625" style="265"/>
    <col min="9986" max="9986" width="51.7109375" style="265" customWidth="1"/>
    <col min="9987" max="9992" width="9.140625" style="265"/>
    <col min="9993" max="9993" width="11.28515625" style="265" customWidth="1"/>
    <col min="9994" max="10241" width="9.140625" style="265"/>
    <col min="10242" max="10242" width="51.7109375" style="265" customWidth="1"/>
    <col min="10243" max="10248" width="9.140625" style="265"/>
    <col min="10249" max="10249" width="11.28515625" style="265" customWidth="1"/>
    <col min="10250" max="10497" width="9.140625" style="265"/>
    <col min="10498" max="10498" width="51.7109375" style="265" customWidth="1"/>
    <col min="10499" max="10504" width="9.140625" style="265"/>
    <col min="10505" max="10505" width="11.28515625" style="265" customWidth="1"/>
    <col min="10506" max="10753" width="9.140625" style="265"/>
    <col min="10754" max="10754" width="51.7109375" style="265" customWidth="1"/>
    <col min="10755" max="10760" width="9.140625" style="265"/>
    <col min="10761" max="10761" width="11.28515625" style="265" customWidth="1"/>
    <col min="10762" max="11009" width="9.140625" style="265"/>
    <col min="11010" max="11010" width="51.7109375" style="265" customWidth="1"/>
    <col min="11011" max="11016" width="9.140625" style="265"/>
    <col min="11017" max="11017" width="11.28515625" style="265" customWidth="1"/>
    <col min="11018" max="11265" width="9.140625" style="265"/>
    <col min="11266" max="11266" width="51.7109375" style="265" customWidth="1"/>
    <col min="11267" max="11272" width="9.140625" style="265"/>
    <col min="11273" max="11273" width="11.28515625" style="265" customWidth="1"/>
    <col min="11274" max="11521" width="9.140625" style="265"/>
    <col min="11522" max="11522" width="51.7109375" style="265" customWidth="1"/>
    <col min="11523" max="11528" width="9.140625" style="265"/>
    <col min="11529" max="11529" width="11.28515625" style="265" customWidth="1"/>
    <col min="11530" max="11777" width="9.140625" style="265"/>
    <col min="11778" max="11778" width="51.7109375" style="265" customWidth="1"/>
    <col min="11779" max="11784" width="9.140625" style="265"/>
    <col min="11785" max="11785" width="11.28515625" style="265" customWidth="1"/>
    <col min="11786" max="12033" width="9.140625" style="265"/>
    <col min="12034" max="12034" width="51.7109375" style="265" customWidth="1"/>
    <col min="12035" max="12040" width="9.140625" style="265"/>
    <col min="12041" max="12041" width="11.28515625" style="265" customWidth="1"/>
    <col min="12042" max="12289" width="9.140625" style="265"/>
    <col min="12290" max="12290" width="51.7109375" style="265" customWidth="1"/>
    <col min="12291" max="12296" width="9.140625" style="265"/>
    <col min="12297" max="12297" width="11.28515625" style="265" customWidth="1"/>
    <col min="12298" max="12545" width="9.140625" style="265"/>
    <col min="12546" max="12546" width="51.7109375" style="265" customWidth="1"/>
    <col min="12547" max="12552" width="9.140625" style="265"/>
    <col min="12553" max="12553" width="11.28515625" style="265" customWidth="1"/>
    <col min="12554" max="12801" width="9.140625" style="265"/>
    <col min="12802" max="12802" width="51.7109375" style="265" customWidth="1"/>
    <col min="12803" max="12808" width="9.140625" style="265"/>
    <col min="12809" max="12809" width="11.28515625" style="265" customWidth="1"/>
    <col min="12810" max="13057" width="9.140625" style="265"/>
    <col min="13058" max="13058" width="51.7109375" style="265" customWidth="1"/>
    <col min="13059" max="13064" width="9.140625" style="265"/>
    <col min="13065" max="13065" width="11.28515625" style="265" customWidth="1"/>
    <col min="13066" max="13313" width="9.140625" style="265"/>
    <col min="13314" max="13314" width="51.7109375" style="265" customWidth="1"/>
    <col min="13315" max="13320" width="9.140625" style="265"/>
    <col min="13321" max="13321" width="11.28515625" style="265" customWidth="1"/>
    <col min="13322" max="13569" width="9.140625" style="265"/>
    <col min="13570" max="13570" width="51.7109375" style="265" customWidth="1"/>
    <col min="13571" max="13576" width="9.140625" style="265"/>
    <col min="13577" max="13577" width="11.28515625" style="265" customWidth="1"/>
    <col min="13578" max="13825" width="9.140625" style="265"/>
    <col min="13826" max="13826" width="51.7109375" style="265" customWidth="1"/>
    <col min="13827" max="13832" width="9.140625" style="265"/>
    <col min="13833" max="13833" width="11.28515625" style="265" customWidth="1"/>
    <col min="13834" max="14081" width="9.140625" style="265"/>
    <col min="14082" max="14082" width="51.7109375" style="265" customWidth="1"/>
    <col min="14083" max="14088" width="9.140625" style="265"/>
    <col min="14089" max="14089" width="11.28515625" style="265" customWidth="1"/>
    <col min="14090" max="14337" width="9.140625" style="265"/>
    <col min="14338" max="14338" width="51.7109375" style="265" customWidth="1"/>
    <col min="14339" max="14344" width="9.140625" style="265"/>
    <col min="14345" max="14345" width="11.28515625" style="265" customWidth="1"/>
    <col min="14346" max="14593" width="9.140625" style="265"/>
    <col min="14594" max="14594" width="51.7109375" style="265" customWidth="1"/>
    <col min="14595" max="14600" width="9.140625" style="265"/>
    <col min="14601" max="14601" width="11.28515625" style="265" customWidth="1"/>
    <col min="14602" max="14849" width="9.140625" style="265"/>
    <col min="14850" max="14850" width="51.7109375" style="265" customWidth="1"/>
    <col min="14851" max="14856" width="9.140625" style="265"/>
    <col min="14857" max="14857" width="11.28515625" style="265" customWidth="1"/>
    <col min="14858" max="15105" width="9.140625" style="265"/>
    <col min="15106" max="15106" width="51.7109375" style="265" customWidth="1"/>
    <col min="15107" max="15112" width="9.140625" style="265"/>
    <col min="15113" max="15113" width="11.28515625" style="265" customWidth="1"/>
    <col min="15114" max="15361" width="9.140625" style="265"/>
    <col min="15362" max="15362" width="51.7109375" style="265" customWidth="1"/>
    <col min="15363" max="15368" width="9.140625" style="265"/>
    <col min="15369" max="15369" width="11.28515625" style="265" customWidth="1"/>
    <col min="15370" max="15617" width="9.140625" style="265"/>
    <col min="15618" max="15618" width="51.7109375" style="265" customWidth="1"/>
    <col min="15619" max="15624" width="9.140625" style="265"/>
    <col min="15625" max="15625" width="11.28515625" style="265" customWidth="1"/>
    <col min="15626" max="15873" width="9.140625" style="265"/>
    <col min="15874" max="15874" width="51.7109375" style="265" customWidth="1"/>
    <col min="15875" max="15880" width="9.140625" style="265"/>
    <col min="15881" max="15881" width="11.28515625" style="265" customWidth="1"/>
    <col min="15882" max="16129" width="9.140625" style="265"/>
    <col min="16130" max="16130" width="51.7109375" style="265" customWidth="1"/>
    <col min="16131" max="16136" width="9.140625" style="265"/>
    <col min="16137" max="16137" width="11.28515625" style="265" customWidth="1"/>
    <col min="16138" max="16384" width="9.140625" style="265"/>
  </cols>
  <sheetData>
    <row r="1" spans="2:13" x14ac:dyDescent="0.25">
      <c r="B1" s="216"/>
      <c r="C1" s="219"/>
      <c r="D1" s="219"/>
      <c r="E1" s="219"/>
      <c r="F1" s="219"/>
      <c r="G1" s="219"/>
      <c r="H1" s="216"/>
      <c r="I1" s="217" t="s">
        <v>419</v>
      </c>
      <c r="J1" s="766" t="str">
        <f>EBNUMBER</f>
        <v>EB-2014-0113</v>
      </c>
    </row>
    <row r="2" spans="2:13" x14ac:dyDescent="0.25">
      <c r="B2" s="216"/>
      <c r="C2" s="219"/>
      <c r="D2" s="219"/>
      <c r="E2" s="219"/>
      <c r="F2" s="219"/>
      <c r="G2" s="219"/>
      <c r="H2" s="216"/>
      <c r="I2" s="217" t="s">
        <v>420</v>
      </c>
      <c r="J2" s="767">
        <v>2</v>
      </c>
    </row>
    <row r="3" spans="2:13" x14ac:dyDescent="0.25">
      <c r="B3" s="216"/>
      <c r="C3" s="219"/>
      <c r="D3" s="219"/>
      <c r="E3" s="219"/>
      <c r="F3" s="219"/>
      <c r="G3" s="219"/>
      <c r="H3" s="216"/>
      <c r="I3" s="217" t="s">
        <v>421</v>
      </c>
      <c r="J3" s="767">
        <v>2</v>
      </c>
    </row>
    <row r="4" spans="2:13" x14ac:dyDescent="0.25">
      <c r="B4" s="216"/>
      <c r="C4" s="219"/>
      <c r="D4" s="219"/>
      <c r="E4" s="219"/>
      <c r="F4" s="219"/>
      <c r="G4" s="219"/>
      <c r="H4" s="216"/>
      <c r="I4" s="217" t="s">
        <v>422</v>
      </c>
      <c r="J4" s="767">
        <v>2</v>
      </c>
    </row>
    <row r="5" spans="2:13" x14ac:dyDescent="0.25">
      <c r="B5" s="216"/>
      <c r="C5" s="219"/>
      <c r="D5" s="219"/>
      <c r="E5" s="219"/>
      <c r="F5" s="219"/>
      <c r="G5" s="219"/>
      <c r="H5" s="216"/>
      <c r="I5" s="217" t="s">
        <v>423</v>
      </c>
      <c r="J5" s="768"/>
    </row>
    <row r="6" spans="2:13" x14ac:dyDescent="0.25">
      <c r="B6" s="216"/>
      <c r="C6" s="219"/>
      <c r="D6" s="219"/>
      <c r="E6" s="219"/>
      <c r="F6" s="219"/>
      <c r="G6" s="219"/>
      <c r="H6" s="216"/>
      <c r="I6" s="217"/>
      <c r="J6" s="766"/>
    </row>
    <row r="7" spans="2:13" x14ac:dyDescent="0.25">
      <c r="B7" s="216"/>
      <c r="C7" s="219"/>
      <c r="D7" s="219"/>
      <c r="E7" s="219"/>
      <c r="F7" s="219"/>
      <c r="G7" s="219"/>
      <c r="H7" s="216"/>
      <c r="I7" s="217" t="s">
        <v>424</v>
      </c>
      <c r="J7" s="1467">
        <v>42119</v>
      </c>
    </row>
    <row r="8" spans="2:13" x14ac:dyDescent="0.25">
      <c r="B8" s="216"/>
      <c r="C8" s="216"/>
      <c r="D8" s="216"/>
      <c r="E8" s="216"/>
      <c r="F8" s="216"/>
      <c r="G8" s="216"/>
      <c r="H8" s="216"/>
      <c r="I8" s="216"/>
      <c r="J8" s="216"/>
    </row>
    <row r="9" spans="2:13" ht="18" x14ac:dyDescent="0.25">
      <c r="B9" s="1856" t="s">
        <v>1058</v>
      </c>
      <c r="C9" s="1967"/>
      <c r="D9" s="1967"/>
      <c r="E9" s="1967"/>
      <c r="F9" s="1967"/>
      <c r="G9" s="1967"/>
      <c r="H9" s="1967"/>
      <c r="I9" s="1967"/>
      <c r="J9" s="1967"/>
    </row>
    <row r="10" spans="2:13" ht="18" x14ac:dyDescent="0.25">
      <c r="B10" s="1856" t="s">
        <v>812</v>
      </c>
      <c r="C10" s="1968"/>
      <c r="D10" s="1968"/>
      <c r="E10" s="1968"/>
      <c r="F10" s="1968"/>
      <c r="G10" s="1968"/>
      <c r="H10" s="1968"/>
      <c r="I10" s="1968"/>
      <c r="J10" s="1968"/>
    </row>
    <row r="11" spans="2:13" ht="18" x14ac:dyDescent="0.25">
      <c r="B11" s="1856" t="s">
        <v>813</v>
      </c>
      <c r="C11" s="1968"/>
      <c r="D11" s="1968"/>
      <c r="E11" s="1968"/>
      <c r="F11" s="1968"/>
      <c r="G11" s="1968"/>
      <c r="H11" s="1968"/>
      <c r="I11" s="1968"/>
      <c r="J11" s="1968"/>
    </row>
    <row r="12" spans="2:13" x14ac:dyDescent="0.25">
      <c r="B12" s="216"/>
      <c r="C12" s="216"/>
      <c r="D12" s="216"/>
      <c r="E12" s="216"/>
      <c r="F12" s="216"/>
      <c r="G12" s="216"/>
      <c r="H12" s="216"/>
      <c r="I12" s="216"/>
      <c r="J12" s="216"/>
    </row>
    <row r="13" spans="2:13" s="268" customFormat="1" x14ac:dyDescent="0.25">
      <c r="B13" s="1877" t="s">
        <v>814</v>
      </c>
      <c r="C13" s="1877"/>
      <c r="D13" s="1877"/>
      <c r="E13" s="1877"/>
      <c r="F13" s="1877"/>
      <c r="G13" s="1877"/>
      <c r="H13" s="1877"/>
      <c r="I13" s="1877"/>
      <c r="J13" s="1877"/>
      <c r="K13" s="1877"/>
      <c r="L13" s="1877"/>
      <c r="M13" s="1877"/>
    </row>
    <row r="14" spans="2:13" x14ac:dyDescent="0.25">
      <c r="B14" s="269"/>
      <c r="C14" s="269"/>
      <c r="D14" s="269"/>
      <c r="E14" s="269"/>
      <c r="F14" s="269"/>
      <c r="G14" s="269"/>
      <c r="H14" s="269"/>
      <c r="I14" s="269"/>
      <c r="J14" s="269"/>
      <c r="K14" s="270"/>
      <c r="L14" s="270"/>
    </row>
    <row r="15" spans="2:13" x14ac:dyDescent="0.25">
      <c r="B15" s="1969"/>
      <c r="C15" s="1969"/>
      <c r="D15" s="1969"/>
      <c r="E15" s="1969"/>
      <c r="F15" s="1969"/>
      <c r="G15" s="1969"/>
      <c r="H15" s="1969"/>
      <c r="I15" s="1969"/>
      <c r="J15" s="1969"/>
      <c r="K15" s="270"/>
      <c r="L15" s="270"/>
    </row>
    <row r="16" spans="2:13" x14ac:dyDescent="0.25">
      <c r="B16" s="269"/>
      <c r="C16" s="269"/>
      <c r="D16" s="269"/>
      <c r="E16" s="269"/>
      <c r="F16" s="269"/>
      <c r="G16" s="269"/>
      <c r="H16" s="269"/>
      <c r="I16" s="269"/>
      <c r="J16" s="269"/>
      <c r="K16" s="270"/>
      <c r="L16" s="270"/>
    </row>
    <row r="17" spans="2:12" ht="39" x14ac:dyDescent="0.25">
      <c r="B17" s="269"/>
      <c r="C17" s="324" t="str">
        <f>RebaseYear &amp;" Rebasing Year"</f>
        <v>2011 Rebasing Year</v>
      </c>
      <c r="D17" s="324">
        <v>2011</v>
      </c>
      <c r="E17" s="324">
        <v>2012</v>
      </c>
      <c r="F17" s="324">
        <v>2013</v>
      </c>
      <c r="G17" s="324" t="s">
        <v>804</v>
      </c>
      <c r="H17" s="324">
        <v>2015</v>
      </c>
      <c r="I17" s="324">
        <v>2016</v>
      </c>
      <c r="J17" s="324">
        <v>2017</v>
      </c>
      <c r="K17" s="324">
        <v>2018</v>
      </c>
      <c r="L17" s="270"/>
    </row>
    <row r="18" spans="2:12" ht="25.5" x14ac:dyDescent="0.25">
      <c r="B18" s="266" t="s">
        <v>160</v>
      </c>
      <c r="C18" s="336" t="s">
        <v>161</v>
      </c>
      <c r="D18" s="336" t="s">
        <v>589</v>
      </c>
      <c r="E18" s="336" t="s">
        <v>589</v>
      </c>
      <c r="F18" s="336" t="s">
        <v>589</v>
      </c>
      <c r="G18" s="851" t="s">
        <v>815</v>
      </c>
      <c r="H18" s="336" t="s">
        <v>589</v>
      </c>
      <c r="I18" s="336" t="s">
        <v>589</v>
      </c>
      <c r="J18" s="336" t="s">
        <v>589</v>
      </c>
      <c r="K18" s="336" t="s">
        <v>589</v>
      </c>
      <c r="L18" s="270"/>
    </row>
    <row r="19" spans="2:12" x14ac:dyDescent="0.25">
      <c r="B19" s="266" t="s">
        <v>590</v>
      </c>
      <c r="C19" s="336" t="s">
        <v>140</v>
      </c>
      <c r="D19" s="336" t="s">
        <v>591</v>
      </c>
      <c r="E19" s="336" t="s">
        <v>591</v>
      </c>
      <c r="F19" s="336" t="s">
        <v>591</v>
      </c>
      <c r="G19" s="336" t="s">
        <v>140</v>
      </c>
      <c r="H19" s="336"/>
      <c r="I19" s="336"/>
      <c r="J19" s="336"/>
      <c r="K19" s="336"/>
      <c r="L19" s="270"/>
    </row>
    <row r="20" spans="2:12" x14ac:dyDescent="0.25">
      <c r="B20" s="269"/>
      <c r="C20" s="1979"/>
      <c r="D20" s="1981"/>
      <c r="E20" s="333" t="s">
        <v>229</v>
      </c>
      <c r="F20" s="333" t="s">
        <v>229</v>
      </c>
      <c r="G20" s="333" t="s">
        <v>229</v>
      </c>
      <c r="H20" s="333" t="s">
        <v>229</v>
      </c>
      <c r="I20" s="333" t="s">
        <v>229</v>
      </c>
      <c r="J20" s="333" t="s">
        <v>229</v>
      </c>
      <c r="K20" s="333" t="s">
        <v>229</v>
      </c>
      <c r="L20" s="270"/>
    </row>
    <row r="21" spans="2:12" x14ac:dyDescent="0.25">
      <c r="B21" s="266" t="s">
        <v>816</v>
      </c>
      <c r="C21" s="1986"/>
      <c r="D21" s="1982"/>
      <c r="E21" s="1982"/>
      <c r="F21" s="1982"/>
      <c r="G21" s="1982"/>
      <c r="H21" s="1982"/>
      <c r="I21" s="1982"/>
      <c r="J21" s="1982"/>
      <c r="K21" s="1987"/>
      <c r="L21" s="270"/>
    </row>
    <row r="22" spans="2:12" x14ac:dyDescent="0.25">
      <c r="B22" s="326" t="s">
        <v>593</v>
      </c>
      <c r="C22" s="327"/>
      <c r="D22" s="327"/>
      <c r="E22" s="328">
        <v>18970924.039999999</v>
      </c>
      <c r="F22" s="330">
        <f>+E25</f>
        <v>24491364.607999999</v>
      </c>
      <c r="G22" s="329"/>
      <c r="H22" s="329"/>
      <c r="I22" s="329"/>
      <c r="J22" s="329"/>
      <c r="K22" s="329"/>
      <c r="L22" s="270"/>
    </row>
    <row r="23" spans="2:12" x14ac:dyDescent="0.25">
      <c r="B23" s="326" t="s">
        <v>1222</v>
      </c>
      <c r="C23" s="327"/>
      <c r="D23" s="327"/>
      <c r="E23" s="328">
        <v>7069688.6680000005</v>
      </c>
      <c r="F23" s="328">
        <f>1561521.01-38000</f>
        <v>1523521.01</v>
      </c>
      <c r="G23" s="329"/>
      <c r="H23" s="329"/>
      <c r="I23" s="329"/>
      <c r="J23" s="329"/>
      <c r="K23" s="329"/>
      <c r="L23" s="270"/>
    </row>
    <row r="24" spans="2:12" x14ac:dyDescent="0.25">
      <c r="B24" s="326" t="s">
        <v>1223</v>
      </c>
      <c r="C24" s="327"/>
      <c r="D24" s="327"/>
      <c r="E24" s="328">
        <v>-1549248.1</v>
      </c>
      <c r="F24" s="328">
        <f>-1143708.46+7600</f>
        <v>-1136108.46</v>
      </c>
      <c r="G24" s="329"/>
      <c r="H24" s="329"/>
      <c r="I24" s="329"/>
      <c r="J24" s="329"/>
      <c r="K24" s="329"/>
      <c r="L24" s="270"/>
    </row>
    <row r="25" spans="2:12" x14ac:dyDescent="0.25">
      <c r="B25" s="325" t="s">
        <v>594</v>
      </c>
      <c r="C25" s="327"/>
      <c r="D25" s="327"/>
      <c r="E25" s="330">
        <f>E22+E23+E24</f>
        <v>24491364.607999999</v>
      </c>
      <c r="F25" s="330">
        <f>F22+F23+F24</f>
        <v>24878777.158</v>
      </c>
      <c r="G25" s="329"/>
      <c r="H25" s="329"/>
      <c r="I25" s="329"/>
      <c r="J25" s="329"/>
      <c r="K25" s="329"/>
      <c r="L25" s="270"/>
    </row>
    <row r="26" spans="2:12" x14ac:dyDescent="0.25">
      <c r="B26" s="269"/>
      <c r="C26" s="1973"/>
      <c r="D26" s="1974"/>
      <c r="E26" s="1974"/>
      <c r="F26" s="1974"/>
      <c r="G26" s="1974"/>
      <c r="H26" s="1974"/>
      <c r="I26" s="1974"/>
      <c r="J26" s="1974"/>
      <c r="K26" s="1977"/>
      <c r="L26" s="270"/>
    </row>
    <row r="27" spans="2:12" x14ac:dyDescent="0.25">
      <c r="B27" s="271" t="s">
        <v>817</v>
      </c>
      <c r="C27" s="1975"/>
      <c r="D27" s="1976"/>
      <c r="E27" s="1976"/>
      <c r="F27" s="1976"/>
      <c r="G27" s="1976"/>
      <c r="H27" s="1976"/>
      <c r="I27" s="1976"/>
      <c r="J27" s="1976"/>
      <c r="K27" s="1978"/>
      <c r="L27" s="270"/>
    </row>
    <row r="28" spans="2:12" x14ac:dyDescent="0.25">
      <c r="B28" s="326" t="s">
        <v>596</v>
      </c>
      <c r="C28" s="329"/>
      <c r="D28" s="329"/>
      <c r="E28" s="331">
        <f>+E22</f>
        <v>18970924.039999999</v>
      </c>
      <c r="F28" s="330">
        <f>+E31</f>
        <v>24491364.607999999</v>
      </c>
      <c r="G28" s="329"/>
      <c r="H28" s="329"/>
      <c r="I28" s="329"/>
      <c r="J28" s="329"/>
      <c r="K28" s="329"/>
      <c r="L28" s="270"/>
    </row>
    <row r="29" spans="2:12" x14ac:dyDescent="0.25">
      <c r="B29" s="326" t="s">
        <v>1222</v>
      </c>
      <c r="C29" s="329"/>
      <c r="D29" s="329"/>
      <c r="E29" s="331">
        <f>+E23</f>
        <v>7069688.6680000005</v>
      </c>
      <c r="F29" s="1446">
        <f>+F23</f>
        <v>1523521.01</v>
      </c>
      <c r="G29" s="329"/>
      <c r="H29" s="329"/>
      <c r="I29" s="329"/>
      <c r="J29" s="329"/>
      <c r="K29" s="329"/>
      <c r="L29" s="270"/>
    </row>
    <row r="30" spans="2:12" x14ac:dyDescent="0.25">
      <c r="B30" s="326" t="s">
        <v>1223</v>
      </c>
      <c r="C30" s="329"/>
      <c r="D30" s="329"/>
      <c r="E30" s="331">
        <f>+E24</f>
        <v>-1549248.1</v>
      </c>
      <c r="F30" s="1446">
        <f>+F24</f>
        <v>-1136108.46</v>
      </c>
      <c r="G30" s="329"/>
      <c r="H30" s="329"/>
      <c r="I30" s="329"/>
      <c r="J30" s="329"/>
      <c r="K30" s="329"/>
      <c r="L30" s="270"/>
    </row>
    <row r="31" spans="2:12" x14ac:dyDescent="0.25">
      <c r="B31" s="325" t="s">
        <v>597</v>
      </c>
      <c r="C31" s="329"/>
      <c r="D31" s="329"/>
      <c r="E31" s="330">
        <f>SUM(E28:E30)</f>
        <v>24491364.607999999</v>
      </c>
      <c r="F31" s="330">
        <f>SUM(F28:F30)</f>
        <v>24878777.158</v>
      </c>
      <c r="G31" s="329"/>
      <c r="H31" s="329"/>
      <c r="I31" s="329"/>
      <c r="J31" s="329"/>
      <c r="K31" s="329"/>
      <c r="L31" s="270"/>
    </row>
    <row r="32" spans="2:12" x14ac:dyDescent="0.25">
      <c r="B32" s="269"/>
      <c r="C32" s="1979"/>
      <c r="D32" s="1980"/>
      <c r="E32" s="1980"/>
      <c r="F32" s="1980"/>
      <c r="G32" s="1980"/>
      <c r="H32" s="1980"/>
      <c r="I32" s="1980"/>
      <c r="J32" s="1980"/>
      <c r="K32" s="1981"/>
      <c r="L32" s="270"/>
    </row>
    <row r="33" spans="2:12" ht="26.25" x14ac:dyDescent="0.25">
      <c r="B33" s="334" t="s">
        <v>1233</v>
      </c>
      <c r="C33" s="329"/>
      <c r="D33" s="329"/>
      <c r="E33" s="332">
        <f>E25-E31</f>
        <v>0</v>
      </c>
      <c r="F33" s="332">
        <f>F25-F31</f>
        <v>0</v>
      </c>
      <c r="G33" s="329"/>
      <c r="H33" s="329"/>
      <c r="I33" s="329"/>
      <c r="J33" s="329"/>
      <c r="K33" s="329"/>
      <c r="L33" s="270"/>
    </row>
    <row r="34" spans="2:12" x14ac:dyDescent="0.25">
      <c r="B34" s="266"/>
      <c r="C34" s="269"/>
      <c r="D34" s="269"/>
      <c r="E34" s="272"/>
      <c r="F34" s="272"/>
      <c r="G34" s="272"/>
      <c r="H34" s="272"/>
      <c r="I34" s="272"/>
      <c r="J34" s="269"/>
      <c r="K34" s="270"/>
      <c r="L34" s="270"/>
    </row>
    <row r="35" spans="2:12" x14ac:dyDescent="0.25">
      <c r="B35" s="266"/>
      <c r="C35" s="269"/>
      <c r="D35" s="269"/>
      <c r="E35" s="272"/>
      <c r="F35" s="272"/>
      <c r="G35" s="272"/>
      <c r="H35" s="272"/>
      <c r="I35" s="272"/>
      <c r="J35" s="269"/>
      <c r="K35" s="270"/>
      <c r="L35" s="270"/>
    </row>
    <row r="36" spans="2:12" x14ac:dyDescent="0.25">
      <c r="B36" s="266" t="s">
        <v>1225</v>
      </c>
      <c r="C36" s="269"/>
      <c r="D36" s="269"/>
      <c r="E36" s="272"/>
      <c r="F36" s="272"/>
      <c r="G36" s="272"/>
      <c r="H36" s="272"/>
      <c r="I36" s="272"/>
      <c r="J36" s="269"/>
      <c r="K36" s="270"/>
      <c r="L36" s="270"/>
    </row>
    <row r="37" spans="2:12" s="274" customFormat="1" x14ac:dyDescent="0.25">
      <c r="B37" s="335" t="s">
        <v>1234</v>
      </c>
      <c r="C37" s="1012"/>
      <c r="D37" s="1012"/>
      <c r="E37" s="1012"/>
      <c r="F37" s="1012"/>
      <c r="G37" s="849">
        <f>IF(ISERROR(F33), 0, F33)</f>
        <v>0</v>
      </c>
      <c r="H37" s="269"/>
      <c r="I37" s="273" t="s">
        <v>599</v>
      </c>
      <c r="J37" s="323"/>
      <c r="K37" s="270"/>
      <c r="L37" s="270"/>
    </row>
    <row r="38" spans="2:12" s="274" customFormat="1" ht="26.25" x14ac:dyDescent="0.25">
      <c r="B38" s="335" t="s">
        <v>1235</v>
      </c>
      <c r="C38" s="1012"/>
      <c r="D38" s="1012"/>
      <c r="E38" s="1012"/>
      <c r="F38" s="1012"/>
      <c r="G38" s="849">
        <f>F33*J37*J38</f>
        <v>0</v>
      </c>
      <c r="H38" s="1983" t="s">
        <v>1228</v>
      </c>
      <c r="I38" s="1983"/>
      <c r="J38" s="1984"/>
      <c r="K38" s="546"/>
      <c r="L38" s="270"/>
    </row>
    <row r="39" spans="2:12" x14ac:dyDescent="0.25">
      <c r="B39" s="338" t="s">
        <v>1229</v>
      </c>
      <c r="C39" s="337"/>
      <c r="D39" s="337"/>
      <c r="E39" s="337"/>
      <c r="F39" s="337"/>
      <c r="G39" s="850">
        <f>G37+G38</f>
        <v>0</v>
      </c>
      <c r="H39" s="1983"/>
      <c r="I39" s="1983"/>
      <c r="J39" s="1985"/>
      <c r="K39" s="270"/>
      <c r="L39" s="270"/>
    </row>
    <row r="40" spans="2:12" x14ac:dyDescent="0.25">
      <c r="B40" s="266"/>
      <c r="C40" s="269"/>
      <c r="D40" s="269"/>
      <c r="E40" s="269"/>
      <c r="F40" s="269"/>
      <c r="G40" s="852"/>
      <c r="H40" s="269"/>
      <c r="I40" s="269"/>
      <c r="J40" s="269"/>
      <c r="K40" s="270"/>
      <c r="L40" s="270"/>
    </row>
    <row r="41" spans="2:12" x14ac:dyDescent="0.25">
      <c r="B41" s="266" t="s">
        <v>15</v>
      </c>
      <c r="C41" s="269"/>
      <c r="D41" s="269"/>
      <c r="E41" s="269"/>
      <c r="F41" s="269"/>
      <c r="G41" s="269"/>
      <c r="H41" s="269"/>
      <c r="I41" s="269"/>
      <c r="J41" s="269"/>
      <c r="K41" s="270"/>
      <c r="L41" s="270"/>
    </row>
    <row r="42" spans="2:12" ht="27.75" customHeight="1" x14ac:dyDescent="0.25">
      <c r="B42" s="1994" t="s">
        <v>818</v>
      </c>
      <c r="C42" s="1994"/>
      <c r="D42" s="1994"/>
      <c r="E42" s="1994"/>
      <c r="F42" s="1994"/>
      <c r="G42" s="1994"/>
      <c r="H42" s="1994"/>
      <c r="I42" s="1994"/>
      <c r="J42" s="1994"/>
      <c r="K42" s="1994"/>
      <c r="L42" s="270"/>
    </row>
    <row r="43" spans="2:12" x14ac:dyDescent="0.25">
      <c r="B43" s="269" t="s">
        <v>1236</v>
      </c>
      <c r="C43" s="269"/>
      <c r="D43" s="269"/>
      <c r="E43" s="269"/>
      <c r="F43" s="269"/>
      <c r="G43" s="269"/>
      <c r="H43" s="269"/>
      <c r="I43" s="269"/>
      <c r="J43" s="269"/>
      <c r="K43" s="270"/>
      <c r="L43" s="270"/>
    </row>
    <row r="44" spans="2:12" x14ac:dyDescent="0.25">
      <c r="B44" s="269" t="s">
        <v>1237</v>
      </c>
      <c r="C44" s="269"/>
      <c r="D44" s="269"/>
      <c r="E44" s="269"/>
      <c r="F44" s="269"/>
      <c r="G44" s="269"/>
      <c r="H44" s="269"/>
      <c r="I44" s="269"/>
      <c r="J44" s="269"/>
      <c r="K44" s="270"/>
      <c r="L44" s="270"/>
    </row>
    <row r="45" spans="2:12" x14ac:dyDescent="0.25">
      <c r="B45" s="269" t="s">
        <v>600</v>
      </c>
      <c r="C45" s="269"/>
      <c r="D45" s="269"/>
      <c r="E45" s="269"/>
      <c r="F45" s="269"/>
      <c r="G45" s="269"/>
      <c r="H45" s="269"/>
      <c r="I45" s="269"/>
      <c r="J45" s="269"/>
      <c r="K45" s="270"/>
      <c r="L45" s="270"/>
    </row>
    <row r="46" spans="2:12" x14ac:dyDescent="0.25">
      <c r="B46" s="1966" t="s">
        <v>1238</v>
      </c>
      <c r="C46" s="1966"/>
      <c r="D46" s="1966"/>
      <c r="E46" s="1966"/>
      <c r="F46" s="1966"/>
      <c r="G46" s="1966"/>
      <c r="H46" s="1966"/>
      <c r="I46" s="1966"/>
      <c r="J46" s="269"/>
      <c r="K46" s="270"/>
      <c r="L46" s="270"/>
    </row>
    <row r="47" spans="2:12" x14ac:dyDescent="0.25">
      <c r="B47" s="269" t="s">
        <v>1935</v>
      </c>
      <c r="C47" s="270"/>
      <c r="D47" s="270"/>
      <c r="E47" s="270"/>
      <c r="F47" s="270"/>
      <c r="G47" s="270"/>
      <c r="H47" s="270"/>
      <c r="I47" s="270"/>
      <c r="J47" s="269"/>
      <c r="K47" s="270"/>
      <c r="L47" s="270"/>
    </row>
    <row r="48" spans="2:12" x14ac:dyDescent="0.25">
      <c r="B48" s="269"/>
      <c r="C48" s="269"/>
      <c r="D48" s="269"/>
      <c r="E48" s="269"/>
      <c r="F48" s="269"/>
      <c r="G48" s="269"/>
      <c r="H48" s="269"/>
      <c r="I48" s="269"/>
      <c r="J48" s="269"/>
      <c r="K48" s="270"/>
      <c r="L48" s="270"/>
    </row>
    <row r="49" spans="2:12" x14ac:dyDescent="0.25">
      <c r="B49" s="269"/>
      <c r="C49" s="269"/>
      <c r="D49" s="269"/>
      <c r="E49" s="269"/>
      <c r="F49" s="269"/>
      <c r="G49" s="269"/>
      <c r="H49" s="269"/>
      <c r="I49" s="269"/>
      <c r="J49" s="269"/>
      <c r="K49" s="270"/>
      <c r="L49" s="270"/>
    </row>
    <row r="50" spans="2:12" x14ac:dyDescent="0.25">
      <c r="B50" s="269"/>
      <c r="C50" s="269"/>
      <c r="D50" s="269"/>
      <c r="E50" s="269"/>
      <c r="F50" s="269"/>
      <c r="G50" s="269"/>
      <c r="H50" s="269"/>
      <c r="I50" s="269"/>
      <c r="J50" s="269"/>
      <c r="K50" s="270"/>
      <c r="L50" s="270"/>
    </row>
    <row r="51" spans="2:12" x14ac:dyDescent="0.25">
      <c r="B51" s="269"/>
      <c r="C51" s="269"/>
      <c r="D51" s="269"/>
      <c r="E51" s="269"/>
      <c r="F51" s="269"/>
      <c r="G51" s="269"/>
      <c r="H51" s="269"/>
      <c r="I51" s="269"/>
      <c r="J51" s="269"/>
      <c r="K51" s="270"/>
      <c r="L51" s="270"/>
    </row>
    <row r="52" spans="2:12" x14ac:dyDescent="0.25">
      <c r="B52" s="269"/>
      <c r="C52" s="269"/>
      <c r="D52" s="269"/>
      <c r="E52" s="269"/>
      <c r="F52" s="269"/>
      <c r="G52" s="269"/>
      <c r="H52" s="269"/>
      <c r="I52" s="269"/>
      <c r="J52" s="269"/>
      <c r="K52" s="270"/>
      <c r="L52" s="270"/>
    </row>
    <row r="53" spans="2:12" x14ac:dyDescent="0.25">
      <c r="B53" s="269"/>
      <c r="C53" s="269"/>
      <c r="D53" s="269"/>
      <c r="E53" s="269"/>
      <c r="F53" s="269"/>
      <c r="G53" s="269"/>
      <c r="H53" s="269"/>
      <c r="I53" s="269"/>
      <c r="J53" s="269"/>
      <c r="K53" s="270"/>
      <c r="L53" s="270"/>
    </row>
    <row r="54" spans="2:12" x14ac:dyDescent="0.25">
      <c r="B54" s="269"/>
      <c r="C54" s="269"/>
      <c r="D54" s="269"/>
      <c r="E54" s="269"/>
      <c r="F54" s="269"/>
      <c r="G54" s="269"/>
      <c r="H54" s="269"/>
      <c r="I54" s="269"/>
      <c r="J54" s="269"/>
      <c r="K54" s="270"/>
      <c r="L54" s="270"/>
    </row>
    <row r="55" spans="2:12" ht="21.75" customHeight="1" x14ac:dyDescent="0.25">
      <c r="B55" s="1966"/>
      <c r="C55" s="1966"/>
      <c r="D55" s="1966"/>
      <c r="E55" s="1966"/>
      <c r="F55" s="1966"/>
      <c r="G55" s="1966"/>
      <c r="H55" s="1966"/>
      <c r="I55" s="1966"/>
      <c r="J55" s="1966"/>
      <c r="K55" s="270"/>
      <c r="L55" s="270"/>
    </row>
    <row r="56" spans="2:12" ht="21.75" customHeight="1" x14ac:dyDescent="0.25">
      <c r="B56" s="1966"/>
      <c r="C56" s="1966"/>
      <c r="D56" s="1966"/>
      <c r="E56" s="1966"/>
      <c r="F56" s="1966"/>
      <c r="G56" s="1966"/>
      <c r="H56" s="1966"/>
      <c r="I56" s="1966"/>
      <c r="J56" s="1966"/>
      <c r="K56" s="270"/>
      <c r="L56" s="270"/>
    </row>
    <row r="57" spans="2:12" x14ac:dyDescent="0.25">
      <c r="B57" s="269"/>
      <c r="C57" s="270"/>
      <c r="D57" s="270"/>
      <c r="E57" s="270"/>
      <c r="F57" s="270"/>
      <c r="G57" s="270"/>
      <c r="H57" s="270"/>
      <c r="I57" s="270"/>
      <c r="J57" s="270"/>
      <c r="K57" s="270"/>
      <c r="L57" s="270"/>
    </row>
  </sheetData>
  <mergeCells count="14">
    <mergeCell ref="C21:K21"/>
    <mergeCell ref="C26:K27"/>
    <mergeCell ref="C32:K32"/>
    <mergeCell ref="B55:J56"/>
    <mergeCell ref="H38:I39"/>
    <mergeCell ref="J38:J39"/>
    <mergeCell ref="B46:I46"/>
    <mergeCell ref="B42:K42"/>
    <mergeCell ref="C20:D20"/>
    <mergeCell ref="B9:J9"/>
    <mergeCell ref="B10:J10"/>
    <mergeCell ref="B11:J11"/>
    <mergeCell ref="B13:M13"/>
    <mergeCell ref="B15:J15"/>
  </mergeCells>
  <dataValidations count="1">
    <dataValidation allowBlank="1" showInputMessage="1" showErrorMessage="1" promptTitle="Date Format" prompt="E.g:  &quot;August 1, 2011&quot;" sqref="WVN983046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dataValidations>
  <pageMargins left="0.7" right="0.7" top="0.75" bottom="0.75" header="0.3" footer="0.3"/>
  <pageSetup scale="54"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N73"/>
  <sheetViews>
    <sheetView showGridLines="0" workbookViewId="0">
      <selection activeCell="H17" sqref="H17"/>
    </sheetView>
  </sheetViews>
  <sheetFormatPr defaultRowHeight="12.75" x14ac:dyDescent="0.2"/>
  <cols>
    <col min="2" max="2" width="9.140625" customWidth="1"/>
  </cols>
  <sheetData>
    <row r="1" spans="1:14" ht="15.75" x14ac:dyDescent="0.2">
      <c r="B1" s="966"/>
    </row>
    <row r="2" spans="1:14" ht="18" x14ac:dyDescent="0.25">
      <c r="B2" s="902"/>
      <c r="C2" s="965"/>
      <c r="D2" s="965"/>
      <c r="E2" s="965"/>
      <c r="F2" s="965"/>
      <c r="G2" s="965"/>
      <c r="H2" s="975"/>
      <c r="I2" s="975"/>
      <c r="J2" s="975"/>
      <c r="K2" s="975"/>
      <c r="L2" s="975"/>
      <c r="M2" s="975"/>
      <c r="N2" s="975"/>
    </row>
    <row r="3" spans="1:14" ht="18" x14ac:dyDescent="0.2">
      <c r="B3" s="1747" t="s">
        <v>1047</v>
      </c>
      <c r="C3" s="1747"/>
      <c r="D3" s="1747"/>
      <c r="E3" s="1747"/>
      <c r="F3" s="1747"/>
      <c r="G3" s="1747"/>
      <c r="H3" s="1747"/>
      <c r="I3" s="1747"/>
      <c r="J3" s="1747"/>
      <c r="K3" s="1747"/>
      <c r="L3" s="1747"/>
    </row>
    <row r="4" spans="1:14" ht="15" x14ac:dyDescent="0.2">
      <c r="B4" s="958"/>
    </row>
    <row r="5" spans="1:14" ht="52.5" customHeight="1" x14ac:dyDescent="0.2">
      <c r="A5" s="1748" t="s">
        <v>1947</v>
      </c>
      <c r="B5" s="1749"/>
      <c r="C5" s="1749"/>
      <c r="D5" s="1749"/>
      <c r="E5" s="1749"/>
      <c r="F5" s="1749"/>
      <c r="G5" s="1749"/>
      <c r="H5" s="1749"/>
      <c r="I5" s="1749"/>
      <c r="J5" s="1749"/>
      <c r="K5" s="1749"/>
      <c r="L5" s="1749"/>
      <c r="M5" s="975"/>
      <c r="N5" s="975"/>
    </row>
    <row r="6" spans="1:14" ht="15" customHeight="1" x14ac:dyDescent="0.2">
      <c r="A6" s="958"/>
      <c r="C6" s="975"/>
      <c r="D6" s="975"/>
      <c r="E6" s="975"/>
      <c r="F6" s="975"/>
      <c r="G6" s="975"/>
      <c r="H6" s="975"/>
      <c r="I6" s="975"/>
      <c r="J6" s="975"/>
      <c r="K6" s="975"/>
      <c r="L6" s="975"/>
      <c r="M6" s="975"/>
      <c r="N6" s="975"/>
    </row>
    <row r="7" spans="1:14" ht="15" customHeight="1" x14ac:dyDescent="0.2">
      <c r="A7" s="967"/>
      <c r="C7" s="975"/>
      <c r="D7" s="975"/>
      <c r="E7" s="975"/>
      <c r="F7" s="975"/>
      <c r="G7" s="975"/>
      <c r="H7" s="975"/>
      <c r="I7" s="975"/>
      <c r="J7" s="975"/>
      <c r="K7" s="975"/>
      <c r="L7" s="975"/>
      <c r="M7" s="975"/>
      <c r="N7" s="975"/>
    </row>
    <row r="8" spans="1:14" ht="15" x14ac:dyDescent="0.2">
      <c r="A8" s="977"/>
      <c r="B8" s="968"/>
    </row>
    <row r="9" spans="1:14" ht="15" x14ac:dyDescent="0.2">
      <c r="A9" s="977"/>
      <c r="B9" s="968"/>
    </row>
    <row r="10" spans="1:14" ht="15" x14ac:dyDescent="0.2">
      <c r="A10" s="977"/>
      <c r="B10" s="968"/>
    </row>
    <row r="11" spans="1:14" ht="15" x14ac:dyDescent="0.2">
      <c r="A11" s="977"/>
      <c r="B11" s="978"/>
    </row>
    <row r="12" spans="1:14" s="971" customFormat="1" ht="15" x14ac:dyDescent="0.2">
      <c r="A12" s="977"/>
      <c r="B12" s="978"/>
    </row>
    <row r="13" spans="1:14" s="971" customFormat="1" ht="15" x14ac:dyDescent="0.2">
      <c r="A13" s="977"/>
      <c r="B13" s="968"/>
    </row>
    <row r="14" spans="1:14" ht="15" x14ac:dyDescent="0.2">
      <c r="A14" s="977"/>
      <c r="B14" s="978"/>
    </row>
    <row r="15" spans="1:14" s="971" customFormat="1" ht="15" x14ac:dyDescent="0.2">
      <c r="A15" s="977"/>
      <c r="B15" s="978"/>
    </row>
    <row r="16" spans="1:14" s="971" customFormat="1" ht="15" x14ac:dyDescent="0.2">
      <c r="A16" s="977"/>
      <c r="B16" s="978"/>
    </row>
    <row r="17" spans="2:2" s="971" customFormat="1" ht="15" x14ac:dyDescent="0.2">
      <c r="B17" s="958"/>
    </row>
    <row r="18" spans="2:2" ht="15" x14ac:dyDescent="0.2">
      <c r="B18" s="967"/>
    </row>
    <row r="19" spans="2:2" ht="15" x14ac:dyDescent="0.2">
      <c r="B19" s="972"/>
    </row>
    <row r="20" spans="2:2" x14ac:dyDescent="0.2">
      <c r="B20" s="973"/>
    </row>
    <row r="21" spans="2:2" s="971" customFormat="1" ht="15.75" x14ac:dyDescent="0.2">
      <c r="B21" s="955"/>
    </row>
    <row r="22" spans="2:2" s="971" customFormat="1" ht="15" x14ac:dyDescent="0.2">
      <c r="B22" s="973"/>
    </row>
    <row r="23" spans="2:2" s="971" customFormat="1" ht="15" x14ac:dyDescent="0.2">
      <c r="B23" s="967"/>
    </row>
    <row r="24" spans="2:2" s="971" customFormat="1" ht="15" x14ac:dyDescent="0.2">
      <c r="B24" s="972"/>
    </row>
    <row r="25" spans="2:2" x14ac:dyDescent="0.2">
      <c r="B25" s="973"/>
    </row>
    <row r="26" spans="2:2" x14ac:dyDescent="0.2">
      <c r="B26" s="973"/>
    </row>
    <row r="27" spans="2:2" s="971" customFormat="1" ht="15" x14ac:dyDescent="0.2">
      <c r="B27" s="973"/>
    </row>
    <row r="28" spans="2:2" s="971" customFormat="1" ht="15" x14ac:dyDescent="0.2">
      <c r="B28" s="958"/>
    </row>
    <row r="29" spans="2:2" s="971" customFormat="1" ht="15" x14ac:dyDescent="0.2">
      <c r="B29" s="967"/>
    </row>
    <row r="30" spans="2:2" ht="15" x14ac:dyDescent="0.2">
      <c r="B30" s="969"/>
    </row>
    <row r="31" spans="2:2" ht="15" x14ac:dyDescent="0.2">
      <c r="B31" s="958"/>
    </row>
    <row r="32" spans="2:2" ht="15" x14ac:dyDescent="0.2">
      <c r="B32" s="967"/>
    </row>
    <row r="33" spans="2:2" ht="15" x14ac:dyDescent="0.2">
      <c r="B33" s="972"/>
    </row>
    <row r="34" spans="2:2" x14ac:dyDescent="0.2">
      <c r="B34" s="973"/>
    </row>
    <row r="35" spans="2:2" x14ac:dyDescent="0.2">
      <c r="B35" s="973"/>
    </row>
    <row r="36" spans="2:2" x14ac:dyDescent="0.2">
      <c r="B36" s="973"/>
    </row>
    <row r="37" spans="2:2" s="971" customFormat="1" ht="15" x14ac:dyDescent="0.2">
      <c r="B37" s="973"/>
    </row>
    <row r="38" spans="2:2" s="971" customFormat="1" ht="15" x14ac:dyDescent="0.2">
      <c r="B38" s="973"/>
    </row>
    <row r="39" spans="2:2" s="971" customFormat="1" ht="15" x14ac:dyDescent="0.2">
      <c r="B39" s="973"/>
    </row>
    <row r="40" spans="2:2" s="971" customFormat="1" ht="15" x14ac:dyDescent="0.2">
      <c r="B40" s="970"/>
    </row>
    <row r="41" spans="2:2" s="971" customFormat="1" ht="15" x14ac:dyDescent="0.2">
      <c r="B41" s="956"/>
    </row>
    <row r="42" spans="2:2" s="971" customFormat="1" ht="15" x14ac:dyDescent="0.2">
      <c r="B42" s="967"/>
    </row>
    <row r="43" spans="2:2" s="971" customFormat="1" ht="15" x14ac:dyDescent="0.2">
      <c r="B43" s="958"/>
    </row>
    <row r="44" spans="2:2" x14ac:dyDescent="0.2">
      <c r="B44" s="970"/>
    </row>
    <row r="45" spans="2:2" ht="15" x14ac:dyDescent="0.2">
      <c r="B45" s="968"/>
    </row>
    <row r="46" spans="2:2" x14ac:dyDescent="0.2">
      <c r="B46" s="970"/>
    </row>
    <row r="47" spans="2:2" s="971" customFormat="1" ht="15" x14ac:dyDescent="0.2">
      <c r="B47" s="958"/>
    </row>
    <row r="48" spans="2:2" s="971" customFormat="1" ht="15" x14ac:dyDescent="0.2">
      <c r="B48" s="970"/>
    </row>
    <row r="49" spans="2:2" s="971" customFormat="1" ht="15" x14ac:dyDescent="0.2">
      <c r="B49" s="958"/>
    </row>
    <row r="50" spans="2:2" s="971" customFormat="1" ht="15" x14ac:dyDescent="0.2">
      <c r="B50" s="967"/>
    </row>
    <row r="51" spans="2:2" s="971" customFormat="1" ht="15" x14ac:dyDescent="0.2">
      <c r="B51" s="969"/>
    </row>
    <row r="52" spans="2:2" ht="15" x14ac:dyDescent="0.2">
      <c r="B52" s="956"/>
    </row>
    <row r="53" spans="2:2" ht="15" x14ac:dyDescent="0.2">
      <c r="B53" s="967"/>
    </row>
    <row r="54" spans="2:2" ht="15" x14ac:dyDescent="0.2">
      <c r="B54" s="972"/>
    </row>
    <row r="55" spans="2:2" x14ac:dyDescent="0.2">
      <c r="B55" s="973"/>
    </row>
    <row r="56" spans="2:2" x14ac:dyDescent="0.2">
      <c r="B56" s="974"/>
    </row>
    <row r="57" spans="2:2" ht="15.75" x14ac:dyDescent="0.2">
      <c r="B57" s="955"/>
    </row>
    <row r="58" spans="2:2" s="971" customFormat="1" ht="15" x14ac:dyDescent="0.2">
      <c r="B58" s="973"/>
    </row>
    <row r="59" spans="2:2" s="971" customFormat="1" ht="15" x14ac:dyDescent="0.2">
      <c r="B59" s="972"/>
    </row>
    <row r="60" spans="2:2" s="971" customFormat="1" ht="15" x14ac:dyDescent="0.2">
      <c r="B60" s="967"/>
    </row>
    <row r="61" spans="2:2" s="971" customFormat="1" ht="15" x14ac:dyDescent="0.2">
      <c r="B61" s="969"/>
    </row>
    <row r="62" spans="2:2" ht="15" x14ac:dyDescent="0.2">
      <c r="B62" s="958"/>
    </row>
    <row r="63" spans="2:2" ht="15" x14ac:dyDescent="0.2">
      <c r="B63" s="967"/>
    </row>
    <row r="64" spans="2:2" x14ac:dyDescent="0.2">
      <c r="B64" s="970"/>
    </row>
    <row r="65" spans="2:2" ht="15" x14ac:dyDescent="0.2">
      <c r="B65" s="972"/>
    </row>
    <row r="66" spans="2:2" ht="15" x14ac:dyDescent="0.2">
      <c r="B66" s="967"/>
    </row>
    <row r="67" spans="2:2" s="971" customFormat="1" ht="15" x14ac:dyDescent="0.2">
      <c r="B67" s="970"/>
    </row>
    <row r="68" spans="2:2" ht="15" x14ac:dyDescent="0.2">
      <c r="B68" s="972"/>
    </row>
    <row r="69" spans="2:2" ht="15" x14ac:dyDescent="0.2">
      <c r="B69" s="956"/>
    </row>
    <row r="70" spans="2:2" s="971" customFormat="1" ht="15.75" x14ac:dyDescent="0.2">
      <c r="B70" s="902"/>
    </row>
    <row r="71" spans="2:2" ht="15" x14ac:dyDescent="0.2">
      <c r="B71" s="956"/>
    </row>
    <row r="72" spans="2:2" ht="15.75" x14ac:dyDescent="0.2">
      <c r="B72" s="902"/>
    </row>
    <row r="73" spans="2:2" ht="15.75" x14ac:dyDescent="0.2">
      <c r="B73" s="902"/>
    </row>
  </sheetData>
  <mergeCells count="2">
    <mergeCell ref="B3:L3"/>
    <mergeCell ref="A5:L5"/>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39952" r:id="rId4">
          <objectPr defaultSize="0" autoPict="0" r:id="rId5">
            <anchor moveWithCells="1">
              <from>
                <xdr:col>4</xdr:col>
                <xdr:colOff>409575</xdr:colOff>
                <xdr:row>5</xdr:row>
                <xdr:rowOff>76200</xdr:rowOff>
              </from>
              <to>
                <xdr:col>7</xdr:col>
                <xdr:colOff>57150</xdr:colOff>
                <xdr:row>11</xdr:row>
                <xdr:rowOff>38100</xdr:rowOff>
              </to>
            </anchor>
          </objectPr>
        </oleObject>
      </mc:Choice>
      <mc:Fallback>
        <oleObject progId="Acrobat Document" dvAspect="DVASPECT_ICON" shapeId="39952"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L55"/>
  <sheetViews>
    <sheetView showGridLines="0" zoomScaleNormal="100" workbookViewId="0">
      <selection activeCell="A10" sqref="A10:I10"/>
    </sheetView>
  </sheetViews>
  <sheetFormatPr defaultRowHeight="15" x14ac:dyDescent="0.25"/>
  <cols>
    <col min="1" max="1" width="51.7109375" style="265" customWidth="1"/>
    <col min="2" max="4" width="9.140625" style="265"/>
    <col min="5" max="7" width="10.28515625" style="265" bestFit="1" customWidth="1"/>
    <col min="8" max="8" width="15.42578125" style="265" customWidth="1"/>
    <col min="9" max="9" width="11" style="265" bestFit="1" customWidth="1"/>
    <col min="10" max="10" width="9.28515625" style="265" bestFit="1" customWidth="1"/>
    <col min="11" max="256" width="9.140625" style="265"/>
    <col min="257" max="257" width="51.7109375" style="265" customWidth="1"/>
    <col min="258" max="263" width="9.140625" style="265"/>
    <col min="264" max="264" width="10.85546875" style="265" customWidth="1"/>
    <col min="265" max="512" width="9.140625" style="265"/>
    <col min="513" max="513" width="51.7109375" style="265" customWidth="1"/>
    <col min="514" max="519" width="9.140625" style="265"/>
    <col min="520" max="520" width="10.85546875" style="265" customWidth="1"/>
    <col min="521" max="768" width="9.140625" style="265"/>
    <col min="769" max="769" width="51.7109375" style="265" customWidth="1"/>
    <col min="770" max="775" width="9.140625" style="265"/>
    <col min="776" max="776" width="10.85546875" style="265" customWidth="1"/>
    <col min="777" max="1024" width="9.140625" style="265"/>
    <col min="1025" max="1025" width="51.7109375" style="265" customWidth="1"/>
    <col min="1026" max="1031" width="9.140625" style="265"/>
    <col min="1032" max="1032" width="10.85546875" style="265" customWidth="1"/>
    <col min="1033" max="1280" width="9.140625" style="265"/>
    <col min="1281" max="1281" width="51.7109375" style="265" customWidth="1"/>
    <col min="1282" max="1287" width="9.140625" style="265"/>
    <col min="1288" max="1288" width="10.85546875" style="265" customWidth="1"/>
    <col min="1289" max="1536" width="9.140625" style="265"/>
    <col min="1537" max="1537" width="51.7109375" style="265" customWidth="1"/>
    <col min="1538" max="1543" width="9.140625" style="265"/>
    <col min="1544" max="1544" width="10.85546875" style="265" customWidth="1"/>
    <col min="1545" max="1792" width="9.140625" style="265"/>
    <col min="1793" max="1793" width="51.7109375" style="265" customWidth="1"/>
    <col min="1794" max="1799" width="9.140625" style="265"/>
    <col min="1800" max="1800" width="10.85546875" style="265" customWidth="1"/>
    <col min="1801" max="2048" width="9.140625" style="265"/>
    <col min="2049" max="2049" width="51.7109375" style="265" customWidth="1"/>
    <col min="2050" max="2055" width="9.140625" style="265"/>
    <col min="2056" max="2056" width="10.85546875" style="265" customWidth="1"/>
    <col min="2057" max="2304" width="9.140625" style="265"/>
    <col min="2305" max="2305" width="51.7109375" style="265" customWidth="1"/>
    <col min="2306" max="2311" width="9.140625" style="265"/>
    <col min="2312" max="2312" width="10.85546875" style="265" customWidth="1"/>
    <col min="2313" max="2560" width="9.140625" style="265"/>
    <col min="2561" max="2561" width="51.7109375" style="265" customWidth="1"/>
    <col min="2562" max="2567" width="9.140625" style="265"/>
    <col min="2568" max="2568" width="10.85546875" style="265" customWidth="1"/>
    <col min="2569" max="2816" width="9.140625" style="265"/>
    <col min="2817" max="2817" width="51.7109375" style="265" customWidth="1"/>
    <col min="2818" max="2823" width="9.140625" style="265"/>
    <col min="2824" max="2824" width="10.85546875" style="265" customWidth="1"/>
    <col min="2825" max="3072" width="9.140625" style="265"/>
    <col min="3073" max="3073" width="51.7109375" style="265" customWidth="1"/>
    <col min="3074" max="3079" width="9.140625" style="265"/>
    <col min="3080" max="3080" width="10.85546875" style="265" customWidth="1"/>
    <col min="3081" max="3328" width="9.140625" style="265"/>
    <col min="3329" max="3329" width="51.7109375" style="265" customWidth="1"/>
    <col min="3330" max="3335" width="9.140625" style="265"/>
    <col min="3336" max="3336" width="10.85546875" style="265" customWidth="1"/>
    <col min="3337" max="3584" width="9.140625" style="265"/>
    <col min="3585" max="3585" width="51.7109375" style="265" customWidth="1"/>
    <col min="3586" max="3591" width="9.140625" style="265"/>
    <col min="3592" max="3592" width="10.85546875" style="265" customWidth="1"/>
    <col min="3593" max="3840" width="9.140625" style="265"/>
    <col min="3841" max="3841" width="51.7109375" style="265" customWidth="1"/>
    <col min="3842" max="3847" width="9.140625" style="265"/>
    <col min="3848" max="3848" width="10.85546875" style="265" customWidth="1"/>
    <col min="3849" max="4096" width="9.140625" style="265"/>
    <col min="4097" max="4097" width="51.7109375" style="265" customWidth="1"/>
    <col min="4098" max="4103" width="9.140625" style="265"/>
    <col min="4104" max="4104" width="10.85546875" style="265" customWidth="1"/>
    <col min="4105" max="4352" width="9.140625" style="265"/>
    <col min="4353" max="4353" width="51.7109375" style="265" customWidth="1"/>
    <col min="4354" max="4359" width="9.140625" style="265"/>
    <col min="4360" max="4360" width="10.85546875" style="265" customWidth="1"/>
    <col min="4361" max="4608" width="9.140625" style="265"/>
    <col min="4609" max="4609" width="51.7109375" style="265" customWidth="1"/>
    <col min="4610" max="4615" width="9.140625" style="265"/>
    <col min="4616" max="4616" width="10.85546875" style="265" customWidth="1"/>
    <col min="4617" max="4864" width="9.140625" style="265"/>
    <col min="4865" max="4865" width="51.7109375" style="265" customWidth="1"/>
    <col min="4866" max="4871" width="9.140625" style="265"/>
    <col min="4872" max="4872" width="10.85546875" style="265" customWidth="1"/>
    <col min="4873" max="5120" width="9.140625" style="265"/>
    <col min="5121" max="5121" width="51.7109375" style="265" customWidth="1"/>
    <col min="5122" max="5127" width="9.140625" style="265"/>
    <col min="5128" max="5128" width="10.85546875" style="265" customWidth="1"/>
    <col min="5129" max="5376" width="9.140625" style="265"/>
    <col min="5377" max="5377" width="51.7109375" style="265" customWidth="1"/>
    <col min="5378" max="5383" width="9.140625" style="265"/>
    <col min="5384" max="5384" width="10.85546875" style="265" customWidth="1"/>
    <col min="5385" max="5632" width="9.140625" style="265"/>
    <col min="5633" max="5633" width="51.7109375" style="265" customWidth="1"/>
    <col min="5634" max="5639" width="9.140625" style="265"/>
    <col min="5640" max="5640" width="10.85546875" style="265" customWidth="1"/>
    <col min="5641" max="5888" width="9.140625" style="265"/>
    <col min="5889" max="5889" width="51.7109375" style="265" customWidth="1"/>
    <col min="5890" max="5895" width="9.140625" style="265"/>
    <col min="5896" max="5896" width="10.85546875" style="265" customWidth="1"/>
    <col min="5897" max="6144" width="9.140625" style="265"/>
    <col min="6145" max="6145" width="51.7109375" style="265" customWidth="1"/>
    <col min="6146" max="6151" width="9.140625" style="265"/>
    <col min="6152" max="6152" width="10.85546875" style="265" customWidth="1"/>
    <col min="6153" max="6400" width="9.140625" style="265"/>
    <col min="6401" max="6401" width="51.7109375" style="265" customWidth="1"/>
    <col min="6402" max="6407" width="9.140625" style="265"/>
    <col min="6408" max="6408" width="10.85546875" style="265" customWidth="1"/>
    <col min="6409" max="6656" width="9.140625" style="265"/>
    <col min="6657" max="6657" width="51.7109375" style="265" customWidth="1"/>
    <col min="6658" max="6663" width="9.140625" style="265"/>
    <col min="6664" max="6664" width="10.85546875" style="265" customWidth="1"/>
    <col min="6665" max="6912" width="9.140625" style="265"/>
    <col min="6913" max="6913" width="51.7109375" style="265" customWidth="1"/>
    <col min="6914" max="6919" width="9.140625" style="265"/>
    <col min="6920" max="6920" width="10.85546875" style="265" customWidth="1"/>
    <col min="6921" max="7168" width="9.140625" style="265"/>
    <col min="7169" max="7169" width="51.7109375" style="265" customWidth="1"/>
    <col min="7170" max="7175" width="9.140625" style="265"/>
    <col min="7176" max="7176" width="10.85546875" style="265" customWidth="1"/>
    <col min="7177" max="7424" width="9.140625" style="265"/>
    <col min="7425" max="7425" width="51.7109375" style="265" customWidth="1"/>
    <col min="7426" max="7431" width="9.140625" style="265"/>
    <col min="7432" max="7432" width="10.85546875" style="265" customWidth="1"/>
    <col min="7433" max="7680" width="9.140625" style="265"/>
    <col min="7681" max="7681" width="51.7109375" style="265" customWidth="1"/>
    <col min="7682" max="7687" width="9.140625" style="265"/>
    <col min="7688" max="7688" width="10.85546875" style="265" customWidth="1"/>
    <col min="7689" max="7936" width="9.140625" style="265"/>
    <col min="7937" max="7937" width="51.7109375" style="265" customWidth="1"/>
    <col min="7938" max="7943" width="9.140625" style="265"/>
    <col min="7944" max="7944" width="10.85546875" style="265" customWidth="1"/>
    <col min="7945" max="8192" width="9.140625" style="265"/>
    <col min="8193" max="8193" width="51.7109375" style="265" customWidth="1"/>
    <col min="8194" max="8199" width="9.140625" style="265"/>
    <col min="8200" max="8200" width="10.85546875" style="265" customWidth="1"/>
    <col min="8201" max="8448" width="9.140625" style="265"/>
    <col min="8449" max="8449" width="51.7109375" style="265" customWidth="1"/>
    <col min="8450" max="8455" width="9.140625" style="265"/>
    <col min="8456" max="8456" width="10.85546875" style="265" customWidth="1"/>
    <col min="8457" max="8704" width="9.140625" style="265"/>
    <col min="8705" max="8705" width="51.7109375" style="265" customWidth="1"/>
    <col min="8706" max="8711" width="9.140625" style="265"/>
    <col min="8712" max="8712" width="10.85546875" style="265" customWidth="1"/>
    <col min="8713" max="8960" width="9.140625" style="265"/>
    <col min="8961" max="8961" width="51.7109375" style="265" customWidth="1"/>
    <col min="8962" max="8967" width="9.140625" style="265"/>
    <col min="8968" max="8968" width="10.85546875" style="265" customWidth="1"/>
    <col min="8969" max="9216" width="9.140625" style="265"/>
    <col min="9217" max="9217" width="51.7109375" style="265" customWidth="1"/>
    <col min="9218" max="9223" width="9.140625" style="265"/>
    <col min="9224" max="9224" width="10.85546875" style="265" customWidth="1"/>
    <col min="9225" max="9472" width="9.140625" style="265"/>
    <col min="9473" max="9473" width="51.7109375" style="265" customWidth="1"/>
    <col min="9474" max="9479" width="9.140625" style="265"/>
    <col min="9480" max="9480" width="10.85546875" style="265" customWidth="1"/>
    <col min="9481" max="9728" width="9.140625" style="265"/>
    <col min="9729" max="9729" width="51.7109375" style="265" customWidth="1"/>
    <col min="9730" max="9735" width="9.140625" style="265"/>
    <col min="9736" max="9736" width="10.85546875" style="265" customWidth="1"/>
    <col min="9737" max="9984" width="9.140625" style="265"/>
    <col min="9985" max="9985" width="51.7109375" style="265" customWidth="1"/>
    <col min="9986" max="9991" width="9.140625" style="265"/>
    <col min="9992" max="9992" width="10.85546875" style="265" customWidth="1"/>
    <col min="9993" max="10240" width="9.140625" style="265"/>
    <col min="10241" max="10241" width="51.7109375" style="265" customWidth="1"/>
    <col min="10242" max="10247" width="9.140625" style="265"/>
    <col min="10248" max="10248" width="10.85546875" style="265" customWidth="1"/>
    <col min="10249" max="10496" width="9.140625" style="265"/>
    <col min="10497" max="10497" width="51.7109375" style="265" customWidth="1"/>
    <col min="10498" max="10503" width="9.140625" style="265"/>
    <col min="10504" max="10504" width="10.85546875" style="265" customWidth="1"/>
    <col min="10505" max="10752" width="9.140625" style="265"/>
    <col min="10753" max="10753" width="51.7109375" style="265" customWidth="1"/>
    <col min="10754" max="10759" width="9.140625" style="265"/>
    <col min="10760" max="10760" width="10.85546875" style="265" customWidth="1"/>
    <col min="10761" max="11008" width="9.140625" style="265"/>
    <col min="11009" max="11009" width="51.7109375" style="265" customWidth="1"/>
    <col min="11010" max="11015" width="9.140625" style="265"/>
    <col min="11016" max="11016" width="10.85546875" style="265" customWidth="1"/>
    <col min="11017" max="11264" width="9.140625" style="265"/>
    <col min="11265" max="11265" width="51.7109375" style="265" customWidth="1"/>
    <col min="11266" max="11271" width="9.140625" style="265"/>
    <col min="11272" max="11272" width="10.85546875" style="265" customWidth="1"/>
    <col min="11273" max="11520" width="9.140625" style="265"/>
    <col min="11521" max="11521" width="51.7109375" style="265" customWidth="1"/>
    <col min="11522" max="11527" width="9.140625" style="265"/>
    <col min="11528" max="11528" width="10.85546875" style="265" customWidth="1"/>
    <col min="11529" max="11776" width="9.140625" style="265"/>
    <col min="11777" max="11777" width="51.7109375" style="265" customWidth="1"/>
    <col min="11778" max="11783" width="9.140625" style="265"/>
    <col min="11784" max="11784" width="10.85546875" style="265" customWidth="1"/>
    <col min="11785" max="12032" width="9.140625" style="265"/>
    <col min="12033" max="12033" width="51.7109375" style="265" customWidth="1"/>
    <col min="12034" max="12039" width="9.140625" style="265"/>
    <col min="12040" max="12040" width="10.85546875" style="265" customWidth="1"/>
    <col min="12041" max="12288" width="9.140625" style="265"/>
    <col min="12289" max="12289" width="51.7109375" style="265" customWidth="1"/>
    <col min="12290" max="12295" width="9.140625" style="265"/>
    <col min="12296" max="12296" width="10.85546875" style="265" customWidth="1"/>
    <col min="12297" max="12544" width="9.140625" style="265"/>
    <col min="12545" max="12545" width="51.7109375" style="265" customWidth="1"/>
    <col min="12546" max="12551" width="9.140625" style="265"/>
    <col min="12552" max="12552" width="10.85546875" style="265" customWidth="1"/>
    <col min="12553" max="12800" width="9.140625" style="265"/>
    <col min="12801" max="12801" width="51.7109375" style="265" customWidth="1"/>
    <col min="12802" max="12807" width="9.140625" style="265"/>
    <col min="12808" max="12808" width="10.85546875" style="265" customWidth="1"/>
    <col min="12809" max="13056" width="9.140625" style="265"/>
    <col min="13057" max="13057" width="51.7109375" style="265" customWidth="1"/>
    <col min="13058" max="13063" width="9.140625" style="265"/>
    <col min="13064" max="13064" width="10.85546875" style="265" customWidth="1"/>
    <col min="13065" max="13312" width="9.140625" style="265"/>
    <col min="13313" max="13313" width="51.7109375" style="265" customWidth="1"/>
    <col min="13314" max="13319" width="9.140625" style="265"/>
    <col min="13320" max="13320" width="10.85546875" style="265" customWidth="1"/>
    <col min="13321" max="13568" width="9.140625" style="265"/>
    <col min="13569" max="13569" width="51.7109375" style="265" customWidth="1"/>
    <col min="13570" max="13575" width="9.140625" style="265"/>
    <col min="13576" max="13576" width="10.85546875" style="265" customWidth="1"/>
    <col min="13577" max="13824" width="9.140625" style="265"/>
    <col min="13825" max="13825" width="51.7109375" style="265" customWidth="1"/>
    <col min="13826" max="13831" width="9.140625" style="265"/>
    <col min="13832" max="13832" width="10.85546875" style="265" customWidth="1"/>
    <col min="13833" max="14080" width="9.140625" style="265"/>
    <col min="14081" max="14081" width="51.7109375" style="265" customWidth="1"/>
    <col min="14082" max="14087" width="9.140625" style="265"/>
    <col min="14088" max="14088" width="10.85546875" style="265" customWidth="1"/>
    <col min="14089" max="14336" width="9.140625" style="265"/>
    <col min="14337" max="14337" width="51.7109375" style="265" customWidth="1"/>
    <col min="14338" max="14343" width="9.140625" style="265"/>
    <col min="14344" max="14344" width="10.85546875" style="265" customWidth="1"/>
    <col min="14345" max="14592" width="9.140625" style="265"/>
    <col min="14593" max="14593" width="51.7109375" style="265" customWidth="1"/>
    <col min="14594" max="14599" width="9.140625" style="265"/>
    <col min="14600" max="14600" width="10.85546875" style="265" customWidth="1"/>
    <col min="14601" max="14848" width="9.140625" style="265"/>
    <col min="14849" max="14849" width="51.7109375" style="265" customWidth="1"/>
    <col min="14850" max="14855" width="9.140625" style="265"/>
    <col min="14856" max="14856" width="10.85546875" style="265" customWidth="1"/>
    <col min="14857" max="15104" width="9.140625" style="265"/>
    <col min="15105" max="15105" width="51.7109375" style="265" customWidth="1"/>
    <col min="15106" max="15111" width="9.140625" style="265"/>
    <col min="15112" max="15112" width="10.85546875" style="265" customWidth="1"/>
    <col min="15113" max="15360" width="9.140625" style="265"/>
    <col min="15361" max="15361" width="51.7109375" style="265" customWidth="1"/>
    <col min="15362" max="15367" width="9.140625" style="265"/>
    <col min="15368" max="15368" width="10.85546875" style="265" customWidth="1"/>
    <col min="15369" max="15616" width="9.140625" style="265"/>
    <col min="15617" max="15617" width="51.7109375" style="265" customWidth="1"/>
    <col min="15618" max="15623" width="9.140625" style="265"/>
    <col min="15624" max="15624" width="10.85546875" style="265" customWidth="1"/>
    <col min="15625" max="15872" width="9.140625" style="265"/>
    <col min="15873" max="15873" width="51.7109375" style="265" customWidth="1"/>
    <col min="15874" max="15879" width="9.140625" style="265"/>
    <col min="15880" max="15880" width="10.85546875" style="265" customWidth="1"/>
    <col min="15881" max="16128" width="9.140625" style="265"/>
    <col min="16129" max="16129" width="51.7109375" style="265" customWidth="1"/>
    <col min="16130" max="16135" width="9.140625" style="265"/>
    <col min="16136" max="16136" width="10.85546875" style="265" customWidth="1"/>
    <col min="16137" max="16384" width="9.140625" style="265"/>
  </cols>
  <sheetData>
    <row r="1" spans="1:12" x14ac:dyDescent="0.25">
      <c r="A1" s="216"/>
      <c r="B1" s="216"/>
      <c r="C1" s="216"/>
      <c r="D1" s="216"/>
      <c r="E1" s="216"/>
      <c r="F1" s="216"/>
      <c r="G1" s="216"/>
      <c r="H1" s="217" t="s">
        <v>419</v>
      </c>
      <c r="I1" s="766" t="str">
        <f>EBNUMBER</f>
        <v>EB-2014-0113</v>
      </c>
    </row>
    <row r="2" spans="1:12" x14ac:dyDescent="0.25">
      <c r="A2" s="216"/>
      <c r="B2" s="216"/>
      <c r="C2" s="216"/>
      <c r="D2" s="216"/>
      <c r="E2" s="216"/>
      <c r="F2" s="216"/>
      <c r="G2" s="216"/>
      <c r="H2" s="217" t="s">
        <v>420</v>
      </c>
      <c r="I2" s="767">
        <v>2</v>
      </c>
    </row>
    <row r="3" spans="1:12" x14ac:dyDescent="0.25">
      <c r="A3" s="216"/>
      <c r="B3" s="216"/>
      <c r="C3" s="216"/>
      <c r="D3" s="216"/>
      <c r="E3" s="216"/>
      <c r="F3" s="216"/>
      <c r="G3" s="216"/>
      <c r="H3" s="217" t="s">
        <v>421</v>
      </c>
      <c r="I3" s="767">
        <v>2</v>
      </c>
    </row>
    <row r="4" spans="1:12" x14ac:dyDescent="0.25">
      <c r="A4" s="216"/>
      <c r="B4" s="216"/>
      <c r="C4" s="216"/>
      <c r="D4" s="216"/>
      <c r="E4" s="216"/>
      <c r="F4" s="216"/>
      <c r="G4" s="216"/>
      <c r="H4" s="217" t="s">
        <v>422</v>
      </c>
      <c r="I4" s="767">
        <v>2</v>
      </c>
    </row>
    <row r="5" spans="1:12" x14ac:dyDescent="0.25">
      <c r="A5" s="216"/>
      <c r="B5" s="216"/>
      <c r="C5" s="216"/>
      <c r="D5" s="216"/>
      <c r="E5" s="216"/>
      <c r="F5" s="216"/>
      <c r="G5" s="216"/>
      <c r="H5" s="217" t="s">
        <v>423</v>
      </c>
      <c r="I5" s="768"/>
    </row>
    <row r="6" spans="1:12" x14ac:dyDescent="0.25">
      <c r="A6" s="216"/>
      <c r="B6" s="216"/>
      <c r="C6" s="216"/>
      <c r="D6" s="216"/>
      <c r="E6" s="216"/>
      <c r="F6" s="216"/>
      <c r="G6" s="216"/>
      <c r="H6" s="217"/>
      <c r="I6" s="766"/>
    </row>
    <row r="7" spans="1:12" x14ac:dyDescent="0.25">
      <c r="A7" s="216"/>
      <c r="B7" s="216"/>
      <c r="C7" s="216"/>
      <c r="D7" s="216"/>
      <c r="E7" s="216"/>
      <c r="F7" s="216"/>
      <c r="G7" s="216"/>
      <c r="H7" s="217" t="s">
        <v>424</v>
      </c>
      <c r="I7" s="1467">
        <v>42119</v>
      </c>
    </row>
    <row r="8" spans="1:12" x14ac:dyDescent="0.25">
      <c r="A8" s="216"/>
      <c r="B8" s="216"/>
      <c r="C8" s="216"/>
      <c r="D8" s="216"/>
      <c r="E8" s="216"/>
      <c r="F8" s="216"/>
      <c r="G8" s="216"/>
      <c r="H8" s="216"/>
      <c r="I8" s="216"/>
    </row>
    <row r="9" spans="1:12" ht="18" x14ac:dyDescent="0.25">
      <c r="A9" s="1856" t="s">
        <v>2155</v>
      </c>
      <c r="B9" s="1967"/>
      <c r="C9" s="1967"/>
      <c r="D9" s="1967"/>
      <c r="E9" s="1967"/>
      <c r="F9" s="1967"/>
      <c r="G9" s="1967"/>
      <c r="H9" s="1967"/>
      <c r="I9" s="1967"/>
    </row>
    <row r="10" spans="1:12" ht="18" x14ac:dyDescent="0.25">
      <c r="A10" s="1856" t="s">
        <v>812</v>
      </c>
      <c r="B10" s="1968"/>
      <c r="C10" s="1968"/>
      <c r="D10" s="1968"/>
      <c r="E10" s="1968"/>
      <c r="F10" s="1968"/>
      <c r="G10" s="1968"/>
      <c r="H10" s="1968"/>
      <c r="I10" s="1968"/>
    </row>
    <row r="11" spans="1:12" ht="18" x14ac:dyDescent="0.25">
      <c r="A11" s="1856" t="s">
        <v>819</v>
      </c>
      <c r="B11" s="1968"/>
      <c r="C11" s="1968"/>
      <c r="D11" s="1968"/>
      <c r="E11" s="1968"/>
      <c r="F11" s="1968"/>
      <c r="G11" s="1968"/>
      <c r="H11" s="1968"/>
      <c r="I11" s="1968"/>
    </row>
    <row r="12" spans="1:12" x14ac:dyDescent="0.25">
      <c r="A12" s="216"/>
      <c r="B12" s="216"/>
      <c r="C12" s="216"/>
      <c r="D12" s="216"/>
      <c r="E12" s="216"/>
      <c r="F12" s="216"/>
      <c r="G12" s="216"/>
      <c r="H12" s="216"/>
      <c r="I12" s="216"/>
    </row>
    <row r="13" spans="1:12" s="268" customFormat="1" x14ac:dyDescent="0.25">
      <c r="A13" s="1877" t="s">
        <v>820</v>
      </c>
      <c r="B13" s="1877"/>
      <c r="C13" s="1877"/>
      <c r="D13" s="1877"/>
      <c r="E13" s="1877"/>
      <c r="F13" s="1877"/>
      <c r="G13" s="1877"/>
      <c r="H13" s="1877"/>
      <c r="I13" s="1877"/>
      <c r="J13" s="1877"/>
      <c r="K13" s="1877"/>
      <c r="L13" s="1877"/>
    </row>
    <row r="14" spans="1:12" x14ac:dyDescent="0.25">
      <c r="A14" s="269"/>
      <c r="B14" s="269"/>
      <c r="C14" s="269"/>
      <c r="D14" s="269"/>
      <c r="E14" s="269"/>
      <c r="F14" s="269"/>
      <c r="G14" s="269"/>
      <c r="H14" s="269"/>
      <c r="I14" s="269"/>
      <c r="J14" s="270"/>
      <c r="K14" s="270"/>
    </row>
    <row r="15" spans="1:12" x14ac:dyDescent="0.25">
      <c r="A15" s="1969"/>
      <c r="B15" s="1969"/>
      <c r="C15" s="1969"/>
      <c r="D15" s="1969"/>
      <c r="E15" s="1969"/>
      <c r="F15" s="1969"/>
      <c r="G15" s="1969"/>
      <c r="H15" s="1969"/>
      <c r="I15" s="1969"/>
      <c r="J15" s="270"/>
      <c r="K15" s="270"/>
    </row>
    <row r="16" spans="1:12" x14ac:dyDescent="0.25">
      <c r="A16" s="269"/>
      <c r="B16" s="269"/>
      <c r="C16" s="269"/>
      <c r="D16" s="269"/>
      <c r="E16" s="269"/>
      <c r="F16" s="269"/>
      <c r="G16" s="269"/>
      <c r="H16" s="269"/>
      <c r="I16" s="269"/>
      <c r="J16" s="270"/>
      <c r="K16" s="270"/>
    </row>
    <row r="17" spans="1:11" ht="39" x14ac:dyDescent="0.25">
      <c r="A17" s="269"/>
      <c r="B17" s="324" t="str">
        <f>RebaseYear &amp;" Rebasing Year"</f>
        <v>2011 Rebasing Year</v>
      </c>
      <c r="C17" s="324">
        <v>2011</v>
      </c>
      <c r="D17" s="324">
        <v>2012</v>
      </c>
      <c r="E17" s="324">
        <v>2013</v>
      </c>
      <c r="F17" s="324" t="s">
        <v>804</v>
      </c>
      <c r="G17" s="324">
        <v>2015</v>
      </c>
      <c r="H17" s="324">
        <v>2016</v>
      </c>
      <c r="I17" s="324">
        <v>2016</v>
      </c>
      <c r="J17" s="324">
        <v>2017</v>
      </c>
      <c r="K17" s="270"/>
    </row>
    <row r="18" spans="1:11" ht="25.5" x14ac:dyDescent="0.25">
      <c r="A18" s="266" t="s">
        <v>160</v>
      </c>
      <c r="B18" s="336" t="s">
        <v>161</v>
      </c>
      <c r="C18" s="336" t="s">
        <v>589</v>
      </c>
      <c r="D18" s="336" t="s">
        <v>589</v>
      </c>
      <c r="E18" s="336" t="s">
        <v>589</v>
      </c>
      <c r="F18" s="851" t="s">
        <v>815</v>
      </c>
      <c r="G18" s="336" t="s">
        <v>589</v>
      </c>
      <c r="H18" s="336" t="s">
        <v>589</v>
      </c>
      <c r="I18" s="336" t="s">
        <v>589</v>
      </c>
      <c r="J18" s="336" t="s">
        <v>589</v>
      </c>
      <c r="K18" s="270"/>
    </row>
    <row r="19" spans="1:11" x14ac:dyDescent="0.25">
      <c r="A19" s="266" t="s">
        <v>590</v>
      </c>
      <c r="B19" s="336" t="s">
        <v>140</v>
      </c>
      <c r="C19" s="336" t="s">
        <v>591</v>
      </c>
      <c r="D19" s="336" t="s">
        <v>591</v>
      </c>
      <c r="E19" s="336" t="s">
        <v>140</v>
      </c>
      <c r="F19" s="336" t="s">
        <v>140</v>
      </c>
      <c r="G19" s="336"/>
      <c r="H19" s="336"/>
      <c r="I19" s="336"/>
      <c r="J19" s="336"/>
      <c r="K19" s="270"/>
    </row>
    <row r="20" spans="1:11" x14ac:dyDescent="0.25">
      <c r="A20" s="269"/>
      <c r="B20" s="326"/>
      <c r="C20" s="326"/>
      <c r="D20" s="333"/>
      <c r="E20" s="333" t="s">
        <v>229</v>
      </c>
      <c r="F20" s="333" t="s">
        <v>229</v>
      </c>
      <c r="G20" s="333" t="s">
        <v>229</v>
      </c>
      <c r="H20" s="333" t="s">
        <v>229</v>
      </c>
      <c r="I20" s="333" t="s">
        <v>229</v>
      </c>
      <c r="J20" s="333" t="s">
        <v>229</v>
      </c>
      <c r="K20" s="270"/>
    </row>
    <row r="21" spans="1:11" x14ac:dyDescent="0.25">
      <c r="A21" s="266" t="s">
        <v>816</v>
      </c>
      <c r="B21" s="1979"/>
      <c r="C21" s="1980"/>
      <c r="D21" s="1980"/>
      <c r="E21" s="1980"/>
      <c r="F21" s="1980"/>
      <c r="G21" s="1980"/>
      <c r="H21" s="1980"/>
      <c r="I21" s="1980"/>
      <c r="J21" s="1981"/>
      <c r="K21" s="270"/>
    </row>
    <row r="22" spans="1:11" x14ac:dyDescent="0.25">
      <c r="A22" s="326" t="s">
        <v>593</v>
      </c>
      <c r="B22" s="329"/>
      <c r="C22" s="329"/>
      <c r="D22" s="339"/>
      <c r="E22" s="328"/>
      <c r="F22" s="329"/>
      <c r="G22" s="329"/>
      <c r="H22" s="329"/>
      <c r="I22" s="329"/>
      <c r="J22" s="329"/>
      <c r="K22" s="270"/>
    </row>
    <row r="23" spans="1:11" x14ac:dyDescent="0.25">
      <c r="A23" s="326" t="s">
        <v>1222</v>
      </c>
      <c r="B23" s="329"/>
      <c r="C23" s="329"/>
      <c r="D23" s="339"/>
      <c r="E23" s="328"/>
      <c r="F23" s="329"/>
      <c r="G23" s="329"/>
      <c r="H23" s="329"/>
      <c r="I23" s="329"/>
      <c r="J23" s="329"/>
      <c r="K23" s="270"/>
    </row>
    <row r="24" spans="1:11" x14ac:dyDescent="0.25">
      <c r="A24" s="326" t="s">
        <v>1223</v>
      </c>
      <c r="B24" s="329"/>
      <c r="C24" s="329"/>
      <c r="D24" s="339"/>
      <c r="E24" s="328"/>
      <c r="F24" s="329"/>
      <c r="G24" s="329"/>
      <c r="H24" s="329"/>
      <c r="I24" s="329"/>
      <c r="J24" s="329"/>
      <c r="K24" s="270"/>
    </row>
    <row r="25" spans="1:11" x14ac:dyDescent="0.25">
      <c r="A25" s="325" t="s">
        <v>594</v>
      </c>
      <c r="B25" s="329"/>
      <c r="C25" s="329"/>
      <c r="D25" s="339"/>
      <c r="E25" s="330">
        <f>SUM(E22:E24)</f>
        <v>0</v>
      </c>
      <c r="F25" s="329"/>
      <c r="G25" s="329"/>
      <c r="H25" s="329"/>
      <c r="I25" s="329"/>
      <c r="J25" s="329"/>
      <c r="K25" s="270"/>
    </row>
    <row r="26" spans="1:11" x14ac:dyDescent="0.25">
      <c r="A26" s="269"/>
      <c r="B26" s="1988"/>
      <c r="C26" s="1989"/>
      <c r="D26" s="1989"/>
      <c r="E26" s="1989"/>
      <c r="F26" s="1989"/>
      <c r="G26" s="1989"/>
      <c r="H26" s="1989"/>
      <c r="I26" s="1989"/>
      <c r="J26" s="1990"/>
      <c r="K26" s="270"/>
    </row>
    <row r="27" spans="1:11" x14ac:dyDescent="0.25">
      <c r="A27" s="271" t="s">
        <v>821</v>
      </c>
      <c r="B27" s="1991"/>
      <c r="C27" s="1992"/>
      <c r="D27" s="1992"/>
      <c r="E27" s="1992"/>
      <c r="F27" s="1992"/>
      <c r="G27" s="1992"/>
      <c r="H27" s="1992"/>
      <c r="I27" s="1992"/>
      <c r="J27" s="1993"/>
      <c r="K27" s="270"/>
    </row>
    <row r="28" spans="1:11" x14ac:dyDescent="0.25">
      <c r="A28" s="326" t="s">
        <v>596</v>
      </c>
      <c r="B28" s="329"/>
      <c r="C28" s="329"/>
      <c r="D28" s="339"/>
      <c r="E28" s="328"/>
      <c r="F28" s="329"/>
      <c r="G28" s="329"/>
      <c r="H28" s="329"/>
      <c r="I28" s="329"/>
      <c r="J28" s="329"/>
      <c r="K28" s="270"/>
    </row>
    <row r="29" spans="1:11" x14ac:dyDescent="0.25">
      <c r="A29" s="326" t="s">
        <v>1222</v>
      </c>
      <c r="B29" s="329"/>
      <c r="C29" s="329"/>
      <c r="D29" s="339"/>
      <c r="E29" s="328"/>
      <c r="F29" s="329"/>
      <c r="G29" s="329"/>
      <c r="H29" s="329"/>
      <c r="I29" s="329"/>
      <c r="J29" s="329"/>
      <c r="K29" s="270"/>
    </row>
    <row r="30" spans="1:11" x14ac:dyDescent="0.25">
      <c r="A30" s="326" t="s">
        <v>1223</v>
      </c>
      <c r="B30" s="329"/>
      <c r="C30" s="329"/>
      <c r="D30" s="339"/>
      <c r="E30" s="328"/>
      <c r="F30" s="329"/>
      <c r="G30" s="329"/>
      <c r="H30" s="329"/>
      <c r="I30" s="329"/>
      <c r="J30" s="329"/>
      <c r="K30" s="270"/>
    </row>
    <row r="31" spans="1:11" x14ac:dyDescent="0.25">
      <c r="A31" s="325" t="s">
        <v>597</v>
      </c>
      <c r="B31" s="329"/>
      <c r="C31" s="329"/>
      <c r="D31" s="339"/>
      <c r="E31" s="330">
        <f>SUM(E28:E30)</f>
        <v>0</v>
      </c>
      <c r="F31" s="329"/>
      <c r="G31" s="329"/>
      <c r="H31" s="329"/>
      <c r="I31" s="329"/>
      <c r="J31" s="329"/>
      <c r="K31" s="270"/>
    </row>
    <row r="32" spans="1:11" x14ac:dyDescent="0.25">
      <c r="A32" s="269"/>
      <c r="B32" s="1979"/>
      <c r="C32" s="1980"/>
      <c r="D32" s="1980"/>
      <c r="E32" s="1980"/>
      <c r="F32" s="1980"/>
      <c r="G32" s="1980"/>
      <c r="H32" s="1980"/>
      <c r="I32" s="1980"/>
      <c r="J32" s="1981"/>
      <c r="K32" s="270"/>
    </row>
    <row r="33" spans="1:11" ht="26.25" x14ac:dyDescent="0.25">
      <c r="A33" s="334" t="s">
        <v>1233</v>
      </c>
      <c r="B33" s="329"/>
      <c r="C33" s="329"/>
      <c r="D33" s="340"/>
      <c r="E33" s="332">
        <f>E25-E31</f>
        <v>0</v>
      </c>
      <c r="F33" s="329"/>
      <c r="G33" s="329"/>
      <c r="H33" s="329"/>
      <c r="I33" s="329"/>
      <c r="J33" s="329"/>
      <c r="K33" s="270"/>
    </row>
    <row r="34" spans="1:11" x14ac:dyDescent="0.25">
      <c r="A34" s="266"/>
      <c r="B34" s="269"/>
      <c r="C34" s="269"/>
      <c r="D34" s="272"/>
      <c r="E34" s="272"/>
      <c r="F34" s="272"/>
      <c r="G34" s="272"/>
      <c r="H34" s="272"/>
      <c r="I34" s="269"/>
      <c r="J34" s="270"/>
      <c r="K34" s="270"/>
    </row>
    <row r="35" spans="1:11" x14ac:dyDescent="0.25">
      <c r="A35" s="266"/>
      <c r="B35" s="269"/>
      <c r="C35" s="269"/>
      <c r="D35" s="272"/>
      <c r="E35" s="272"/>
      <c r="F35" s="272"/>
      <c r="G35" s="272"/>
      <c r="H35" s="272"/>
      <c r="I35" s="269"/>
      <c r="J35" s="270"/>
      <c r="K35" s="270"/>
    </row>
    <row r="36" spans="1:11" x14ac:dyDescent="0.25">
      <c r="A36" s="266" t="s">
        <v>1225</v>
      </c>
      <c r="B36" s="269"/>
      <c r="C36" s="269"/>
      <c r="D36" s="272"/>
      <c r="E36" s="272"/>
      <c r="F36" s="272"/>
      <c r="G36" s="272"/>
      <c r="H36" s="272"/>
      <c r="I36" s="269"/>
      <c r="J36" s="270"/>
      <c r="K36" s="270"/>
    </row>
    <row r="37" spans="1:11" s="274" customFormat="1" x14ac:dyDescent="0.25">
      <c r="A37" s="335" t="s">
        <v>1234</v>
      </c>
      <c r="B37" s="1012"/>
      <c r="C37" s="1012"/>
      <c r="D37" s="1012"/>
      <c r="E37" s="1012"/>
      <c r="F37" s="849">
        <f>IF(ISERROR(E33), 0, E33)</f>
        <v>0</v>
      </c>
      <c r="G37" s="269"/>
      <c r="H37" s="273" t="s">
        <v>599</v>
      </c>
      <c r="I37" s="323"/>
      <c r="J37" s="270"/>
      <c r="K37" s="270"/>
    </row>
    <row r="38" spans="1:11" s="274" customFormat="1" ht="26.25" x14ac:dyDescent="0.25">
      <c r="A38" s="335" t="s">
        <v>1235</v>
      </c>
      <c r="B38" s="1012"/>
      <c r="C38" s="1012"/>
      <c r="D38" s="1012"/>
      <c r="E38" s="1012"/>
      <c r="F38" s="849">
        <f>E33*I37*I38</f>
        <v>0</v>
      </c>
      <c r="G38" s="1983" t="s">
        <v>1228</v>
      </c>
      <c r="H38" s="1983"/>
      <c r="I38" s="1984"/>
      <c r="J38" s="546"/>
      <c r="K38" s="270"/>
    </row>
    <row r="39" spans="1:11" x14ac:dyDescent="0.25">
      <c r="A39" s="338" t="s">
        <v>1229</v>
      </c>
      <c r="B39" s="337"/>
      <c r="C39" s="337"/>
      <c r="D39" s="337"/>
      <c r="E39" s="337"/>
      <c r="F39" s="850">
        <f>F37+F38</f>
        <v>0</v>
      </c>
      <c r="G39" s="1983"/>
      <c r="H39" s="1983"/>
      <c r="I39" s="1985"/>
      <c r="J39" s="270"/>
      <c r="K39" s="270"/>
    </row>
    <row r="40" spans="1:11" x14ac:dyDescent="0.25">
      <c r="A40" s="266"/>
      <c r="B40" s="269"/>
      <c r="C40" s="269"/>
      <c r="D40" s="269"/>
      <c r="E40" s="269"/>
      <c r="F40" s="269"/>
      <c r="G40" s="269"/>
      <c r="H40" s="269"/>
      <c r="I40" s="269"/>
      <c r="J40" s="270"/>
      <c r="K40" s="270"/>
    </row>
    <row r="41" spans="1:11" x14ac:dyDescent="0.25">
      <c r="A41" s="266" t="s">
        <v>15</v>
      </c>
      <c r="B41" s="269"/>
      <c r="C41" s="269"/>
      <c r="D41" s="269"/>
      <c r="E41" s="269"/>
      <c r="F41" s="269"/>
      <c r="G41" s="269"/>
      <c r="H41" s="269"/>
      <c r="I41" s="269"/>
      <c r="J41" s="270"/>
      <c r="K41" s="270"/>
    </row>
    <row r="42" spans="1:11" ht="27" customHeight="1" x14ac:dyDescent="0.25">
      <c r="A42" s="1995" t="s">
        <v>822</v>
      </c>
      <c r="B42" s="1995"/>
      <c r="C42" s="1995"/>
      <c r="D42" s="1995"/>
      <c r="E42" s="1995"/>
      <c r="F42" s="1995"/>
      <c r="G42" s="1995"/>
      <c r="H42" s="1995"/>
      <c r="I42" s="1995"/>
      <c r="J42" s="1995"/>
      <c r="K42" s="270"/>
    </row>
    <row r="43" spans="1:11" x14ac:dyDescent="0.25">
      <c r="A43" s="269" t="s">
        <v>1236</v>
      </c>
      <c r="B43" s="269"/>
      <c r="C43" s="269"/>
      <c r="D43" s="269"/>
      <c r="E43" s="269"/>
      <c r="F43" s="269"/>
      <c r="G43" s="269"/>
      <c r="H43" s="269"/>
      <c r="I43" s="269"/>
      <c r="J43" s="270"/>
      <c r="K43" s="270"/>
    </row>
    <row r="44" spans="1:11" x14ac:dyDescent="0.25">
      <c r="A44" s="269" t="s">
        <v>1237</v>
      </c>
      <c r="B44" s="269"/>
      <c r="C44" s="269"/>
      <c r="D44" s="269"/>
      <c r="E44" s="269"/>
      <c r="F44" s="269"/>
      <c r="G44" s="269"/>
      <c r="H44" s="269"/>
      <c r="I44" s="269"/>
      <c r="J44" s="270"/>
      <c r="K44" s="270"/>
    </row>
    <row r="45" spans="1:11" x14ac:dyDescent="0.25">
      <c r="A45" s="269" t="s">
        <v>600</v>
      </c>
      <c r="B45" s="269"/>
      <c r="C45" s="269"/>
      <c r="D45" s="269"/>
      <c r="E45" s="269"/>
      <c r="F45" s="269"/>
      <c r="G45" s="269"/>
      <c r="H45" s="269"/>
      <c r="I45" s="269"/>
      <c r="J45" s="270"/>
      <c r="K45" s="270"/>
    </row>
    <row r="46" spans="1:11" x14ac:dyDescent="0.25">
      <c r="A46" s="1966" t="s">
        <v>1238</v>
      </c>
      <c r="B46" s="1966"/>
      <c r="C46" s="1966"/>
      <c r="D46" s="1966"/>
      <c r="E46" s="1966"/>
      <c r="F46" s="1966"/>
      <c r="G46" s="1966"/>
      <c r="H46" s="1966"/>
      <c r="I46" s="269"/>
      <c r="J46" s="270"/>
      <c r="K46" s="270"/>
    </row>
    <row r="47" spans="1:11" ht="15.75" customHeight="1" x14ac:dyDescent="0.25">
      <c r="A47" s="269" t="s">
        <v>1935</v>
      </c>
      <c r="B47" s="270"/>
      <c r="C47" s="270"/>
      <c r="D47" s="270"/>
      <c r="E47" s="270"/>
      <c r="F47" s="270"/>
      <c r="G47" s="270"/>
      <c r="H47" s="270"/>
      <c r="I47" s="1009"/>
      <c r="J47" s="270"/>
      <c r="K47" s="270"/>
    </row>
    <row r="48" spans="1:11" ht="27" customHeight="1" x14ac:dyDescent="0.25">
      <c r="A48" s="1995"/>
      <c r="B48" s="1995"/>
      <c r="C48" s="1995"/>
      <c r="D48" s="1995"/>
      <c r="E48" s="1995"/>
      <c r="F48" s="1995"/>
      <c r="G48" s="1995"/>
      <c r="H48" s="1995"/>
      <c r="I48" s="1995"/>
      <c r="J48" s="1995"/>
      <c r="K48" s="270"/>
    </row>
    <row r="49" spans="1:11" x14ac:dyDescent="0.25">
      <c r="A49" s="269"/>
      <c r="B49" s="269"/>
      <c r="C49" s="269"/>
      <c r="D49" s="269"/>
      <c r="E49" s="269"/>
      <c r="F49" s="269"/>
      <c r="G49" s="269"/>
      <c r="H49" s="269"/>
      <c r="I49" s="269"/>
      <c r="J49" s="270"/>
      <c r="K49" s="270"/>
    </row>
    <row r="50" spans="1:11" x14ac:dyDescent="0.25">
      <c r="A50" s="269"/>
      <c r="B50" s="269"/>
      <c r="C50" s="269"/>
      <c r="D50" s="269"/>
      <c r="E50" s="269"/>
      <c r="F50" s="269"/>
      <c r="G50" s="269"/>
      <c r="H50" s="269"/>
      <c r="I50" s="269"/>
      <c r="J50" s="270"/>
      <c r="K50" s="270"/>
    </row>
    <row r="51" spans="1:11" x14ac:dyDescent="0.25">
      <c r="A51" s="269"/>
      <c r="B51" s="269"/>
      <c r="C51" s="269"/>
      <c r="D51" s="269"/>
      <c r="E51" s="269"/>
      <c r="F51" s="269"/>
      <c r="G51" s="269"/>
      <c r="H51" s="269"/>
      <c r="I51" s="269"/>
      <c r="J51" s="270"/>
      <c r="K51" s="270"/>
    </row>
    <row r="52" spans="1:11" x14ac:dyDescent="0.25">
      <c r="A52" s="269"/>
      <c r="B52" s="269"/>
      <c r="C52" s="269"/>
      <c r="D52" s="269"/>
      <c r="E52" s="269"/>
      <c r="F52" s="269"/>
      <c r="G52" s="269"/>
      <c r="H52" s="269"/>
      <c r="I52" s="269"/>
      <c r="J52" s="270"/>
      <c r="K52" s="270"/>
    </row>
    <row r="53" spans="1:11" ht="24.75" customHeight="1" x14ac:dyDescent="0.25">
      <c r="A53" s="1966"/>
      <c r="B53" s="1966"/>
      <c r="C53" s="1966"/>
      <c r="D53" s="1966"/>
      <c r="E53" s="1966"/>
      <c r="F53" s="1966"/>
      <c r="G53" s="1966"/>
      <c r="H53" s="1966"/>
      <c r="I53" s="1966"/>
      <c r="J53" s="270"/>
      <c r="K53" s="270"/>
    </row>
    <row r="54" spans="1:11" ht="24.75" customHeight="1" x14ac:dyDescent="0.25">
      <c r="A54" s="1966"/>
      <c r="B54" s="1966"/>
      <c r="C54" s="1966"/>
      <c r="D54" s="1966"/>
      <c r="E54" s="1966"/>
      <c r="F54" s="1966"/>
      <c r="G54" s="1966"/>
      <c r="H54" s="1966"/>
      <c r="I54" s="1966"/>
    </row>
    <row r="55" spans="1:11" x14ac:dyDescent="0.25">
      <c r="A55" s="269"/>
    </row>
  </sheetData>
  <mergeCells count="14">
    <mergeCell ref="B26:J27"/>
    <mergeCell ref="B32:J32"/>
    <mergeCell ref="A53:I54"/>
    <mergeCell ref="A9:I9"/>
    <mergeCell ref="A10:I10"/>
    <mergeCell ref="A11:I11"/>
    <mergeCell ref="A13:L13"/>
    <mergeCell ref="A15:I15"/>
    <mergeCell ref="B21:J21"/>
    <mergeCell ref="A48:J48"/>
    <mergeCell ref="G38:H39"/>
    <mergeCell ref="I38:I39"/>
    <mergeCell ref="A42:J42"/>
    <mergeCell ref="A46:H46"/>
  </mergeCells>
  <dataValidations count="1">
    <dataValidation allowBlank="1" showInputMessage="1" showErrorMessage="1" promptTitle="Date Format" prompt="E.g:  &quot;August 1, 2011&quot;" sqref="WVM983044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dataValidations>
  <pageMargins left="0.7" right="0.7" top="0.75" bottom="0.75" header="0.3" footer="0.3"/>
  <pageSetup scale="5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93"/>
  <sheetViews>
    <sheetView showGridLines="0" topLeftCell="A28" zoomScaleNormal="100" workbookViewId="0">
      <selection activeCell="F2" sqref="F2"/>
    </sheetView>
  </sheetViews>
  <sheetFormatPr defaultColWidth="8.85546875" defaultRowHeight="15" x14ac:dyDescent="0.25"/>
  <cols>
    <col min="1" max="1" width="30.42578125" style="668" customWidth="1"/>
    <col min="2" max="2" width="13.140625" style="668" customWidth="1"/>
    <col min="3" max="7" width="16.7109375" style="668" customWidth="1"/>
    <col min="8" max="16384" width="8.85546875" style="668"/>
  </cols>
  <sheetData>
    <row r="1" spans="1:15" s="265" customFormat="1" x14ac:dyDescent="0.25">
      <c r="A1" s="216"/>
      <c r="B1" s="216"/>
      <c r="C1" s="216"/>
      <c r="D1" s="216"/>
      <c r="F1" s="14" t="s">
        <v>419</v>
      </c>
      <c r="G1" s="1435" t="str">
        <f>EBNUMBER</f>
        <v>EB-2014-0113</v>
      </c>
    </row>
    <row r="2" spans="1:15" s="265" customFormat="1" x14ac:dyDescent="0.25">
      <c r="A2" s="216"/>
      <c r="B2" s="216"/>
      <c r="C2" s="216"/>
      <c r="D2" s="216"/>
      <c r="F2" s="14" t="s">
        <v>420</v>
      </c>
      <c r="G2" s="209"/>
    </row>
    <row r="3" spans="1:15" s="265" customFormat="1" x14ac:dyDescent="0.25">
      <c r="A3" s="216"/>
      <c r="B3" s="216"/>
      <c r="C3" s="216"/>
      <c r="D3" s="216"/>
      <c r="F3" s="14" t="s">
        <v>421</v>
      </c>
      <c r="G3" s="209"/>
    </row>
    <row r="4" spans="1:15" s="265" customFormat="1" x14ac:dyDescent="0.25">
      <c r="A4" s="1436"/>
      <c r="B4" s="216"/>
      <c r="C4" s="216"/>
      <c r="D4" s="216"/>
      <c r="F4" s="14" t="s">
        <v>422</v>
      </c>
      <c r="G4" s="209"/>
    </row>
    <row r="5" spans="1:15" s="265" customFormat="1" x14ac:dyDescent="0.25">
      <c r="A5" s="216"/>
      <c r="B5" s="216"/>
      <c r="C5" s="216"/>
      <c r="D5" s="216"/>
      <c r="F5" s="14" t="s">
        <v>423</v>
      </c>
      <c r="G5" s="210"/>
    </row>
    <row r="6" spans="1:15" s="265" customFormat="1" x14ac:dyDescent="0.25">
      <c r="A6" s="216"/>
      <c r="B6" s="216"/>
      <c r="C6" s="216"/>
      <c r="D6" s="216"/>
      <c r="F6" s="14"/>
      <c r="G6" s="208"/>
    </row>
    <row r="7" spans="1:15" s="265" customFormat="1" x14ac:dyDescent="0.25">
      <c r="A7" s="216"/>
      <c r="B7" s="216"/>
      <c r="C7" s="216"/>
      <c r="D7" s="216"/>
      <c r="F7" s="14" t="s">
        <v>424</v>
      </c>
      <c r="G7" s="210"/>
    </row>
    <row r="8" spans="1:15" s="265" customFormat="1" x14ac:dyDescent="0.25">
      <c r="A8" s="236"/>
      <c r="B8" s="236"/>
      <c r="C8" s="236"/>
      <c r="D8" s="236"/>
      <c r="E8" s="236"/>
      <c r="F8" s="236"/>
      <c r="G8" s="236"/>
      <c r="H8" s="236"/>
      <c r="I8" s="236"/>
      <c r="J8" s="809"/>
      <c r="K8" s="809"/>
      <c r="L8" s="809"/>
      <c r="M8" s="809"/>
      <c r="N8" s="809"/>
      <c r="O8" s="809"/>
    </row>
    <row r="9" spans="1:15" s="265" customFormat="1" ht="18" x14ac:dyDescent="0.25">
      <c r="A9" s="1856" t="s">
        <v>811</v>
      </c>
      <c r="B9" s="1856"/>
      <c r="C9" s="1856"/>
      <c r="D9" s="1856"/>
      <c r="E9" s="1856"/>
      <c r="F9" s="1856"/>
      <c r="G9" s="1856"/>
      <c r="H9" s="903"/>
      <c r="I9" s="903"/>
      <c r="J9" s="903"/>
      <c r="K9" s="903"/>
      <c r="L9" s="809"/>
      <c r="M9" s="809"/>
      <c r="N9" s="809"/>
      <c r="O9" s="809"/>
    </row>
    <row r="10" spans="1:15" s="265" customFormat="1" ht="18" x14ac:dyDescent="0.25">
      <c r="A10" s="1856" t="s">
        <v>1116</v>
      </c>
      <c r="B10" s="1856"/>
      <c r="C10" s="1856"/>
      <c r="D10" s="1856"/>
      <c r="E10" s="1856"/>
      <c r="F10" s="1856"/>
      <c r="G10" s="1856"/>
      <c r="H10" s="903"/>
      <c r="I10" s="903"/>
      <c r="J10" s="903"/>
      <c r="K10" s="903"/>
      <c r="L10" s="809"/>
      <c r="M10" s="809"/>
      <c r="N10" s="809"/>
      <c r="O10" s="809"/>
    </row>
    <row r="11" spans="1:15" s="265" customFormat="1" ht="18" x14ac:dyDescent="0.25">
      <c r="A11" s="903"/>
      <c r="B11" s="903"/>
      <c r="C11" s="903"/>
      <c r="D11" s="903"/>
      <c r="E11" s="903"/>
      <c r="F11" s="903"/>
      <c r="G11" s="903"/>
      <c r="H11" s="903"/>
      <c r="I11" s="903"/>
      <c r="J11" s="903"/>
      <c r="K11" s="903"/>
      <c r="L11" s="809"/>
      <c r="M11" s="809"/>
      <c r="N11" s="809"/>
      <c r="O11" s="809"/>
    </row>
    <row r="12" spans="1:15" x14ac:dyDescent="0.25">
      <c r="A12" s="1996" t="s">
        <v>1117</v>
      </c>
      <c r="B12" s="1996"/>
      <c r="C12" s="1996"/>
      <c r="D12" s="1996"/>
      <c r="E12" s="1996"/>
      <c r="F12" s="1996"/>
      <c r="G12" s="1996"/>
      <c r="H12"/>
      <c r="I12"/>
    </row>
    <row r="13" spans="1:15" x14ac:dyDescent="0.25">
      <c r="A13" s="1996" t="s">
        <v>1118</v>
      </c>
      <c r="B13" s="1996"/>
      <c r="C13" s="1996"/>
      <c r="D13" s="1996"/>
      <c r="E13" s="1996"/>
      <c r="F13" s="1996"/>
      <c r="G13" s="1996"/>
      <c r="H13"/>
      <c r="I13"/>
    </row>
    <row r="14" spans="1:15" x14ac:dyDescent="0.25">
      <c r="A14" s="1997" t="s">
        <v>1132</v>
      </c>
      <c r="B14" s="1997"/>
      <c r="C14" s="1997"/>
      <c r="D14" s="1997"/>
      <c r="E14" s="1997"/>
      <c r="F14" s="1997"/>
      <c r="G14"/>
      <c r="H14"/>
      <c r="I14"/>
    </row>
    <row r="15" spans="1:15" x14ac:dyDescent="0.25">
      <c r="A15" s="1997" t="s">
        <v>1133</v>
      </c>
      <c r="B15" s="1997"/>
      <c r="C15" s="1997"/>
      <c r="D15" s="1997"/>
      <c r="E15" s="1997"/>
      <c r="F15" s="1997"/>
      <c r="G15"/>
      <c r="H15"/>
      <c r="I15"/>
    </row>
    <row r="16" spans="1:15" ht="15.75" x14ac:dyDescent="0.25">
      <c r="A16" s="971"/>
      <c r="B16"/>
      <c r="C16"/>
      <c r="D16"/>
      <c r="E16"/>
      <c r="F16"/>
      <c r="G16"/>
      <c r="H16"/>
      <c r="I16"/>
    </row>
    <row r="17" spans="1:9" ht="26.25" customHeight="1" x14ac:dyDescent="0.25">
      <c r="A17" s="1752" t="s">
        <v>1960</v>
      </c>
      <c r="B17" s="1752"/>
      <c r="C17" s="1752"/>
      <c r="D17" s="1752"/>
      <c r="E17" s="1752"/>
      <c r="F17" s="1752"/>
      <c r="G17" s="1752"/>
      <c r="H17"/>
      <c r="I17"/>
    </row>
    <row r="18" spans="1:9" ht="29.25" customHeight="1" x14ac:dyDescent="0.25">
      <c r="A18" s="1752" t="s">
        <v>1119</v>
      </c>
      <c r="B18" s="1752"/>
      <c r="C18" s="1752"/>
      <c r="D18" s="1752"/>
      <c r="E18" s="1752"/>
      <c r="F18" s="1752"/>
      <c r="G18" s="1752"/>
      <c r="H18"/>
      <c r="I18"/>
    </row>
    <row r="19" spans="1:9" x14ac:dyDescent="0.25">
      <c r="G19"/>
      <c r="H19"/>
      <c r="I19"/>
    </row>
    <row r="20" spans="1:9" ht="15.75" x14ac:dyDescent="0.25">
      <c r="A20" s="1013"/>
      <c r="B20"/>
      <c r="C20"/>
      <c r="D20"/>
      <c r="E20"/>
      <c r="F20"/>
      <c r="G20"/>
      <c r="H20"/>
      <c r="I20"/>
    </row>
    <row r="21" spans="1:9" ht="18" x14ac:dyDescent="0.25">
      <c r="A21" s="1036" t="s">
        <v>1120</v>
      </c>
      <c r="B21" s="120"/>
      <c r="C21" s="120"/>
      <c r="D21" s="120"/>
      <c r="E21" s="120"/>
      <c r="F21" s="120"/>
      <c r="G21" s="120"/>
      <c r="H21" s="120"/>
      <c r="I21" s="120"/>
    </row>
    <row r="22" spans="1:9" x14ac:dyDescent="0.25">
      <c r="A22" s="38" t="s">
        <v>1121</v>
      </c>
      <c r="B22" s="120"/>
      <c r="C22" s="1014">
        <v>2014</v>
      </c>
      <c r="D22" s="1014">
        <v>2015</v>
      </c>
      <c r="E22" s="1014">
        <v>2016</v>
      </c>
      <c r="F22" s="1014">
        <v>2017</v>
      </c>
      <c r="G22" s="1014">
        <v>2018</v>
      </c>
    </row>
    <row r="23" spans="1:9" x14ac:dyDescent="0.25">
      <c r="A23" s="14" t="s">
        <v>1122</v>
      </c>
      <c r="B23" s="120"/>
      <c r="C23" s="120"/>
      <c r="D23" s="120"/>
      <c r="E23" s="120"/>
      <c r="F23" s="120"/>
      <c r="G23" s="120"/>
    </row>
    <row r="24" spans="1:9" x14ac:dyDescent="0.25">
      <c r="A24" s="59" t="s">
        <v>1959</v>
      </c>
      <c r="B24" s="120"/>
      <c r="C24" s="120"/>
      <c r="D24" s="120"/>
      <c r="E24" s="120"/>
      <c r="F24" s="120"/>
      <c r="G24" s="120"/>
    </row>
    <row r="25" spans="1:9" x14ac:dyDescent="0.25">
      <c r="A25" s="120" t="s">
        <v>1123</v>
      </c>
      <c r="B25" s="120"/>
      <c r="C25" s="1035">
        <v>0</v>
      </c>
      <c r="D25" s="1035">
        <v>0</v>
      </c>
      <c r="E25" s="1035">
        <v>0</v>
      </c>
      <c r="F25" s="1035">
        <v>0</v>
      </c>
      <c r="G25" s="1035">
        <v>0</v>
      </c>
    </row>
    <row r="26" spans="1:9" x14ac:dyDescent="0.25">
      <c r="A26" s="120" t="s">
        <v>1124</v>
      </c>
      <c r="B26" s="120"/>
      <c r="C26" s="1035">
        <v>0</v>
      </c>
      <c r="D26" s="1035">
        <v>0</v>
      </c>
      <c r="E26" s="1035">
        <v>0</v>
      </c>
      <c r="F26" s="1035">
        <v>0</v>
      </c>
      <c r="G26" s="1035">
        <v>0</v>
      </c>
    </row>
    <row r="27" spans="1:9" x14ac:dyDescent="0.25">
      <c r="A27" s="120" t="s">
        <v>1125</v>
      </c>
      <c r="B27" s="120"/>
      <c r="C27" s="1035">
        <v>0</v>
      </c>
      <c r="D27" s="1035">
        <v>0</v>
      </c>
      <c r="E27" s="1035">
        <v>0</v>
      </c>
      <c r="F27" s="1035">
        <v>0</v>
      </c>
      <c r="G27" s="1035">
        <v>0</v>
      </c>
    </row>
    <row r="28" spans="1:9" x14ac:dyDescent="0.25">
      <c r="A28" s="120"/>
      <c r="B28" s="120"/>
      <c r="C28" s="120"/>
      <c r="D28" s="120"/>
      <c r="E28" s="120"/>
      <c r="F28" s="120"/>
      <c r="G28" s="120"/>
    </row>
    <row r="29" spans="1:9" x14ac:dyDescent="0.25">
      <c r="A29" s="14" t="s">
        <v>1126</v>
      </c>
      <c r="B29" s="120"/>
      <c r="C29" s="120"/>
      <c r="D29" s="120"/>
      <c r="E29" s="120"/>
      <c r="F29" s="120"/>
      <c r="G29" s="120"/>
    </row>
    <row r="30" spans="1:9" x14ac:dyDescent="0.25">
      <c r="A30" s="59" t="s">
        <v>1959</v>
      </c>
      <c r="B30" s="120"/>
      <c r="C30" s="120"/>
      <c r="D30" s="120"/>
      <c r="E30" s="120"/>
      <c r="F30" s="120"/>
      <c r="G30" s="120"/>
    </row>
    <row r="31" spans="1:9" x14ac:dyDescent="0.25">
      <c r="A31" s="120" t="s">
        <v>1123</v>
      </c>
      <c r="B31" s="120"/>
      <c r="C31" s="1035">
        <v>0</v>
      </c>
      <c r="D31" s="1035">
        <v>0</v>
      </c>
      <c r="E31" s="1035">
        <v>0</v>
      </c>
      <c r="F31" s="1035">
        <v>0</v>
      </c>
      <c r="G31" s="1035">
        <v>0</v>
      </c>
    </row>
    <row r="32" spans="1:9" x14ac:dyDescent="0.25">
      <c r="A32" s="120" t="s">
        <v>1124</v>
      </c>
      <c r="B32" s="120"/>
      <c r="C32" s="1035">
        <v>0</v>
      </c>
      <c r="D32" s="1035">
        <v>0</v>
      </c>
      <c r="E32" s="1035">
        <v>0</v>
      </c>
      <c r="F32" s="1035">
        <v>0</v>
      </c>
      <c r="G32" s="1035">
        <v>0</v>
      </c>
    </row>
    <row r="33" spans="1:7" x14ac:dyDescent="0.25">
      <c r="A33" s="120" t="s">
        <v>1125</v>
      </c>
      <c r="B33" s="120"/>
      <c r="C33" s="1035">
        <v>0</v>
      </c>
      <c r="D33" s="1035">
        <v>0</v>
      </c>
      <c r="E33" s="1035">
        <v>0</v>
      </c>
      <c r="F33" s="1035">
        <v>0</v>
      </c>
      <c r="G33" s="1035">
        <v>0</v>
      </c>
    </row>
    <row r="34" spans="1:7" x14ac:dyDescent="0.25">
      <c r="A34" s="120"/>
      <c r="B34" s="120"/>
      <c r="C34" s="120"/>
      <c r="D34" s="120"/>
      <c r="E34" s="120"/>
      <c r="F34" s="120"/>
      <c r="G34" s="120"/>
    </row>
    <row r="35" spans="1:7" x14ac:dyDescent="0.25">
      <c r="A35" s="14" t="s">
        <v>1127</v>
      </c>
      <c r="B35" s="120"/>
      <c r="C35" s="120"/>
      <c r="D35" s="120"/>
      <c r="E35" s="120"/>
      <c r="F35" s="120"/>
      <c r="G35" s="120"/>
    </row>
    <row r="36" spans="1:7" x14ac:dyDescent="0.25">
      <c r="A36" s="59" t="s">
        <v>1959</v>
      </c>
      <c r="B36" s="120"/>
      <c r="C36" s="120"/>
      <c r="D36" s="120"/>
      <c r="E36" s="120"/>
      <c r="F36" s="120"/>
      <c r="G36" s="120"/>
    </row>
    <row r="37" spans="1:7" x14ac:dyDescent="0.25">
      <c r="A37" s="120" t="s">
        <v>1123</v>
      </c>
      <c r="B37" s="120"/>
      <c r="C37" s="1035">
        <v>0</v>
      </c>
      <c r="D37" s="1035">
        <v>0</v>
      </c>
      <c r="E37" s="1035">
        <v>0</v>
      </c>
      <c r="F37" s="1035">
        <v>0</v>
      </c>
      <c r="G37" s="1035">
        <v>0</v>
      </c>
    </row>
    <row r="38" spans="1:7" x14ac:dyDescent="0.25">
      <c r="A38" s="120" t="s">
        <v>1124</v>
      </c>
      <c r="B38" s="120"/>
      <c r="C38" s="1035">
        <v>0</v>
      </c>
      <c r="D38" s="1035">
        <v>0</v>
      </c>
      <c r="E38" s="1035">
        <v>0</v>
      </c>
      <c r="F38" s="1035">
        <v>0</v>
      </c>
      <c r="G38" s="1035">
        <v>0</v>
      </c>
    </row>
    <row r="39" spans="1:7" x14ac:dyDescent="0.25">
      <c r="A39" s="120" t="s">
        <v>1125</v>
      </c>
      <c r="B39" s="120"/>
      <c r="C39" s="1035">
        <v>0</v>
      </c>
      <c r="D39" s="1035">
        <v>0</v>
      </c>
      <c r="E39" s="1035">
        <v>0</v>
      </c>
      <c r="F39" s="1035">
        <v>0</v>
      </c>
      <c r="G39" s="1035">
        <v>0</v>
      </c>
    </row>
    <row r="40" spans="1:7" x14ac:dyDescent="0.25">
      <c r="A40" s="120"/>
      <c r="B40" s="120"/>
      <c r="C40" s="120"/>
      <c r="D40" s="120"/>
      <c r="E40" s="120"/>
      <c r="F40" s="120"/>
      <c r="G40" s="120"/>
    </row>
    <row r="41" spans="1:7" x14ac:dyDescent="0.25">
      <c r="A41" s="14" t="s">
        <v>1128</v>
      </c>
      <c r="B41" s="120"/>
      <c r="C41" s="120"/>
      <c r="D41" s="120"/>
      <c r="E41" s="120"/>
      <c r="F41" s="120"/>
      <c r="G41" s="120"/>
    </row>
    <row r="42" spans="1:7" x14ac:dyDescent="0.25">
      <c r="A42" s="59" t="s">
        <v>1959</v>
      </c>
      <c r="B42" s="120"/>
      <c r="C42" s="120"/>
      <c r="D42" s="120"/>
      <c r="E42" s="120"/>
      <c r="F42" s="120"/>
      <c r="G42" s="120"/>
    </row>
    <row r="43" spans="1:7" x14ac:dyDescent="0.25">
      <c r="A43" s="120" t="s">
        <v>1123</v>
      </c>
      <c r="B43" s="120"/>
      <c r="C43" s="1035">
        <v>0</v>
      </c>
      <c r="D43" s="1035">
        <v>0</v>
      </c>
      <c r="E43" s="1035">
        <v>0</v>
      </c>
      <c r="F43" s="1035">
        <v>0</v>
      </c>
      <c r="G43" s="1035">
        <v>0</v>
      </c>
    </row>
    <row r="44" spans="1:7" x14ac:dyDescent="0.25">
      <c r="A44" s="120" t="s">
        <v>1124</v>
      </c>
      <c r="B44" s="120"/>
      <c r="C44" s="1035">
        <v>0</v>
      </c>
      <c r="D44" s="1035">
        <v>0</v>
      </c>
      <c r="E44" s="1035">
        <v>0</v>
      </c>
      <c r="F44" s="1035">
        <v>0</v>
      </c>
      <c r="G44" s="1035">
        <v>0</v>
      </c>
    </row>
    <row r="45" spans="1:7" x14ac:dyDescent="0.25">
      <c r="A45" s="120" t="s">
        <v>1125</v>
      </c>
      <c r="B45" s="120"/>
      <c r="C45" s="1035">
        <v>0</v>
      </c>
      <c r="D45" s="1035">
        <v>0</v>
      </c>
      <c r="E45" s="1035">
        <v>0</v>
      </c>
      <c r="F45" s="1035">
        <v>0</v>
      </c>
      <c r="G45" s="1035">
        <v>0</v>
      </c>
    </row>
    <row r="46" spans="1:7" x14ac:dyDescent="0.25">
      <c r="A46" s="120"/>
      <c r="B46" s="120"/>
      <c r="C46" s="120"/>
      <c r="D46" s="120"/>
      <c r="E46" s="120"/>
      <c r="F46" s="120"/>
      <c r="G46" s="120"/>
    </row>
    <row r="47" spans="1:7" x14ac:dyDescent="0.25">
      <c r="A47" s="14" t="s">
        <v>1129</v>
      </c>
      <c r="B47" s="120"/>
      <c r="C47" s="120"/>
      <c r="D47" s="120"/>
      <c r="E47" s="120"/>
      <c r="F47" s="120"/>
      <c r="G47" s="120"/>
    </row>
    <row r="48" spans="1:7" x14ac:dyDescent="0.25">
      <c r="A48" s="59" t="s">
        <v>1959</v>
      </c>
      <c r="B48" s="120"/>
      <c r="C48" s="120"/>
      <c r="D48" s="120"/>
      <c r="E48" s="120"/>
      <c r="F48" s="120"/>
      <c r="G48" s="120"/>
    </row>
    <row r="49" spans="1:9" x14ac:dyDescent="0.25">
      <c r="A49" s="120" t="s">
        <v>1123</v>
      </c>
      <c r="B49" s="120"/>
      <c r="C49" s="1035">
        <v>0</v>
      </c>
      <c r="D49" s="1035">
        <v>0</v>
      </c>
      <c r="E49" s="1035">
        <v>0</v>
      </c>
      <c r="F49" s="1035">
        <v>0</v>
      </c>
      <c r="G49" s="1035">
        <v>0</v>
      </c>
    </row>
    <row r="50" spans="1:9" x14ac:dyDescent="0.25">
      <c r="A50" s="120" t="s">
        <v>1124</v>
      </c>
      <c r="B50" s="120"/>
      <c r="C50" s="1035">
        <v>0</v>
      </c>
      <c r="D50" s="1035">
        <v>0</v>
      </c>
      <c r="E50" s="1035">
        <v>0</v>
      </c>
      <c r="F50" s="1035">
        <v>0</v>
      </c>
      <c r="G50" s="1035">
        <v>0</v>
      </c>
    </row>
    <row r="51" spans="1:9" x14ac:dyDescent="0.25">
      <c r="A51" s="120" t="s">
        <v>1125</v>
      </c>
      <c r="B51" s="120"/>
      <c r="C51" s="1035">
        <v>0</v>
      </c>
      <c r="D51" s="1035">
        <v>0</v>
      </c>
      <c r="E51" s="1035">
        <v>0</v>
      </c>
      <c r="F51" s="1035">
        <v>0</v>
      </c>
      <c r="G51" s="1035">
        <v>0</v>
      </c>
    </row>
    <row r="52" spans="1:9" x14ac:dyDescent="0.25">
      <c r="A52" s="120"/>
      <c r="B52" s="120"/>
      <c r="C52" s="1015"/>
      <c r="D52" s="1015"/>
      <c r="E52" s="1015"/>
      <c r="F52" s="1015"/>
      <c r="G52" s="1015"/>
      <c r="H52" s="1015"/>
      <c r="I52" s="1015"/>
    </row>
    <row r="53" spans="1:9" x14ac:dyDescent="0.25">
      <c r="A53" s="14" t="s">
        <v>1955</v>
      </c>
      <c r="B53" s="14"/>
      <c r="C53" s="1427">
        <f>SUM(C49,C43,C37,C31,C25)</f>
        <v>0</v>
      </c>
      <c r="D53" s="1427">
        <f t="shared" ref="D53:G55" si="0">SUM(D49,D43,D37,D31,D25)</f>
        <v>0</v>
      </c>
      <c r="E53" s="1427">
        <f t="shared" si="0"/>
        <v>0</v>
      </c>
      <c r="F53" s="1427">
        <f t="shared" si="0"/>
        <v>0</v>
      </c>
      <c r="G53" s="1427">
        <f t="shared" si="0"/>
        <v>0</v>
      </c>
      <c r="H53" s="1015"/>
      <c r="I53" s="1015"/>
    </row>
    <row r="54" spans="1:9" x14ac:dyDescent="0.25">
      <c r="A54" s="14" t="s">
        <v>1956</v>
      </c>
      <c r="B54" s="14"/>
      <c r="C54" s="1427">
        <f>SUM(C50,C44,C38,C32,C26)</f>
        <v>0</v>
      </c>
      <c r="D54" s="1427">
        <f t="shared" si="0"/>
        <v>0</v>
      </c>
      <c r="E54" s="1427">
        <f t="shared" si="0"/>
        <v>0</v>
      </c>
      <c r="F54" s="1427">
        <f t="shared" si="0"/>
        <v>0</v>
      </c>
      <c r="G54" s="1427">
        <f t="shared" si="0"/>
        <v>0</v>
      </c>
      <c r="H54" s="1015"/>
      <c r="I54" s="1015"/>
    </row>
    <row r="55" spans="1:9" x14ac:dyDescent="0.25">
      <c r="A55" s="14" t="s">
        <v>1957</v>
      </c>
      <c r="B55" s="100"/>
      <c r="C55" s="1428">
        <f>SUM(C51,C45,C39,C33,C27)</f>
        <v>0</v>
      </c>
      <c r="D55" s="1428">
        <f t="shared" si="0"/>
        <v>0</v>
      </c>
      <c r="E55" s="1428">
        <f t="shared" si="0"/>
        <v>0</v>
      </c>
      <c r="F55" s="1428">
        <f t="shared" si="0"/>
        <v>0</v>
      </c>
      <c r="G55" s="1428">
        <f t="shared" si="0"/>
        <v>0</v>
      </c>
    </row>
    <row r="56" spans="1:9" ht="6" customHeight="1" x14ac:dyDescent="0.25">
      <c r="A56" s="1019"/>
      <c r="B56" s="1020"/>
      <c r="C56" s="1021"/>
      <c r="D56" s="1021"/>
      <c r="E56" s="1019"/>
      <c r="F56" s="1022"/>
      <c r="G56" s="1021"/>
    </row>
    <row r="57" spans="1:9" x14ac:dyDescent="0.25">
      <c r="A57" s="13"/>
      <c r="B57" s="1023"/>
      <c r="C57" s="805"/>
      <c r="D57" s="805"/>
      <c r="E57" s="13"/>
      <c r="F57" s="1023"/>
      <c r="G57" s="805"/>
    </row>
    <row r="58" spans="1:9" ht="18" x14ac:dyDescent="0.25">
      <c r="A58" s="1036" t="s">
        <v>1130</v>
      </c>
      <c r="B58" s="120"/>
      <c r="C58" s="120"/>
      <c r="D58" s="120"/>
      <c r="E58" s="120"/>
      <c r="F58" s="120"/>
      <c r="G58" s="120"/>
    </row>
    <row r="59" spans="1:9" x14ac:dyDescent="0.25">
      <c r="A59" s="38" t="s">
        <v>1131</v>
      </c>
      <c r="B59" s="120"/>
      <c r="C59" s="1014">
        <v>2014</v>
      </c>
      <c r="D59" s="1014">
        <v>2015</v>
      </c>
      <c r="E59" s="1014">
        <v>2016</v>
      </c>
      <c r="F59" s="1014">
        <v>2017</v>
      </c>
      <c r="G59" s="1014">
        <v>2018</v>
      </c>
    </row>
    <row r="60" spans="1:9" x14ac:dyDescent="0.25">
      <c r="A60" s="14" t="s">
        <v>1122</v>
      </c>
      <c r="B60" s="120"/>
      <c r="C60" s="120"/>
      <c r="D60" s="120"/>
      <c r="E60" s="120"/>
      <c r="F60" s="120"/>
      <c r="G60" s="120"/>
    </row>
    <row r="61" spans="1:9" x14ac:dyDescent="0.25">
      <c r="A61" s="59" t="s">
        <v>1958</v>
      </c>
      <c r="B61" s="120"/>
      <c r="C61" s="120"/>
      <c r="D61" s="120"/>
      <c r="E61" s="120"/>
      <c r="F61" s="120"/>
      <c r="G61" s="120"/>
    </row>
    <row r="62" spans="1:9" x14ac:dyDescent="0.25">
      <c r="A62" s="120" t="s">
        <v>1123</v>
      </c>
      <c r="B62" s="120"/>
      <c r="C62" s="1035">
        <v>0</v>
      </c>
      <c r="D62" s="1035">
        <v>0</v>
      </c>
      <c r="E62" s="1035">
        <v>0</v>
      </c>
      <c r="F62" s="1035">
        <v>0</v>
      </c>
      <c r="G62" s="1035">
        <v>0</v>
      </c>
    </row>
    <row r="63" spans="1:9" x14ac:dyDescent="0.25">
      <c r="A63" s="120" t="s">
        <v>1124</v>
      </c>
      <c r="B63" s="120"/>
      <c r="C63" s="1035">
        <v>0</v>
      </c>
      <c r="D63" s="1035">
        <v>0</v>
      </c>
      <c r="E63" s="1035">
        <v>0</v>
      </c>
      <c r="F63" s="1035">
        <v>0</v>
      </c>
      <c r="G63" s="1035">
        <v>0</v>
      </c>
    </row>
    <row r="64" spans="1:9" x14ac:dyDescent="0.25">
      <c r="A64" s="120" t="s">
        <v>1125</v>
      </c>
      <c r="B64" s="120"/>
      <c r="C64" s="1035">
        <v>0</v>
      </c>
      <c r="D64" s="1035">
        <v>0</v>
      </c>
      <c r="E64" s="1035">
        <v>0</v>
      </c>
      <c r="F64" s="1035">
        <v>0</v>
      </c>
      <c r="G64" s="1035">
        <v>0</v>
      </c>
    </row>
    <row r="65" spans="1:7" x14ac:dyDescent="0.25">
      <c r="A65" s="120"/>
      <c r="B65" s="120"/>
      <c r="C65" s="120"/>
      <c r="D65" s="120"/>
      <c r="E65" s="120"/>
      <c r="F65" s="120"/>
      <c r="G65" s="120"/>
    </row>
    <row r="66" spans="1:7" x14ac:dyDescent="0.25">
      <c r="A66" s="14" t="s">
        <v>1126</v>
      </c>
      <c r="B66" s="120"/>
      <c r="C66" s="120"/>
      <c r="D66" s="120"/>
      <c r="E66" s="120"/>
      <c r="F66" s="120"/>
      <c r="G66" s="120"/>
    </row>
    <row r="67" spans="1:7" x14ac:dyDescent="0.25">
      <c r="A67" s="59" t="s">
        <v>1958</v>
      </c>
      <c r="B67" s="120"/>
      <c r="C67" s="120"/>
      <c r="D67" s="120"/>
      <c r="E67" s="120"/>
      <c r="F67" s="120"/>
      <c r="G67" s="120"/>
    </row>
    <row r="68" spans="1:7" x14ac:dyDescent="0.25">
      <c r="A68" s="120" t="s">
        <v>1123</v>
      </c>
      <c r="B68" s="120"/>
      <c r="C68" s="1035">
        <v>0</v>
      </c>
      <c r="D68" s="1035">
        <v>0</v>
      </c>
      <c r="E68" s="1035">
        <v>0</v>
      </c>
      <c r="F68" s="1035">
        <v>0</v>
      </c>
      <c r="G68" s="1035">
        <v>0</v>
      </c>
    </row>
    <row r="69" spans="1:7" x14ac:dyDescent="0.25">
      <c r="A69" s="120" t="s">
        <v>1124</v>
      </c>
      <c r="B69" s="120"/>
      <c r="C69" s="1035">
        <v>0</v>
      </c>
      <c r="D69" s="1035">
        <v>0</v>
      </c>
      <c r="E69" s="1035">
        <v>0</v>
      </c>
      <c r="F69" s="1035">
        <v>0</v>
      </c>
      <c r="G69" s="1035">
        <v>0</v>
      </c>
    </row>
    <row r="70" spans="1:7" x14ac:dyDescent="0.25">
      <c r="A70" s="120" t="s">
        <v>1125</v>
      </c>
      <c r="B70" s="120"/>
      <c r="C70" s="1035">
        <v>0</v>
      </c>
      <c r="D70" s="1035">
        <v>0</v>
      </c>
      <c r="E70" s="1035">
        <v>0</v>
      </c>
      <c r="F70" s="1035">
        <v>0</v>
      </c>
      <c r="G70" s="1035">
        <v>0</v>
      </c>
    </row>
    <row r="71" spans="1:7" x14ac:dyDescent="0.25">
      <c r="A71" s="120"/>
      <c r="B71" s="120"/>
      <c r="C71" s="120"/>
      <c r="D71" s="120"/>
      <c r="E71" s="120"/>
      <c r="F71" s="120"/>
      <c r="G71" s="120"/>
    </row>
    <row r="72" spans="1:7" x14ac:dyDescent="0.25">
      <c r="A72" s="14" t="s">
        <v>1127</v>
      </c>
      <c r="B72" s="120"/>
      <c r="C72" s="120"/>
      <c r="D72" s="120"/>
      <c r="E72" s="120"/>
      <c r="F72" s="120"/>
      <c r="G72" s="120"/>
    </row>
    <row r="73" spans="1:7" x14ac:dyDescent="0.25">
      <c r="A73" s="59" t="s">
        <v>1958</v>
      </c>
      <c r="B73" s="120"/>
      <c r="C73" s="120"/>
      <c r="D73" s="120"/>
      <c r="E73" s="120"/>
      <c r="F73" s="120"/>
      <c r="G73" s="120"/>
    </row>
    <row r="74" spans="1:7" x14ac:dyDescent="0.25">
      <c r="A74" s="120" t="s">
        <v>1123</v>
      </c>
      <c r="B74" s="120"/>
      <c r="C74" s="1035">
        <v>0</v>
      </c>
      <c r="D74" s="1035">
        <v>0</v>
      </c>
      <c r="E74" s="1035">
        <v>0</v>
      </c>
      <c r="F74" s="1035">
        <v>0</v>
      </c>
      <c r="G74" s="1035">
        <v>0</v>
      </c>
    </row>
    <row r="75" spans="1:7" x14ac:dyDescent="0.25">
      <c r="A75" s="120" t="s">
        <v>1124</v>
      </c>
      <c r="B75" s="120"/>
      <c r="C75" s="1035">
        <v>0</v>
      </c>
      <c r="D75" s="1035">
        <v>0</v>
      </c>
      <c r="E75" s="1035">
        <v>0</v>
      </c>
      <c r="F75" s="1035">
        <v>0</v>
      </c>
      <c r="G75" s="1035">
        <v>0</v>
      </c>
    </row>
    <row r="76" spans="1:7" x14ac:dyDescent="0.25">
      <c r="A76" s="120" t="s">
        <v>1125</v>
      </c>
      <c r="B76" s="120"/>
      <c r="C76" s="1035">
        <v>0</v>
      </c>
      <c r="D76" s="1035">
        <v>0</v>
      </c>
      <c r="E76" s="1035">
        <v>0</v>
      </c>
      <c r="F76" s="1035">
        <v>0</v>
      </c>
      <c r="G76" s="1035">
        <v>0</v>
      </c>
    </row>
    <row r="77" spans="1:7" x14ac:dyDescent="0.25">
      <c r="A77" s="1017"/>
      <c r="B77" s="1024"/>
      <c r="C77" s="1025"/>
      <c r="D77" s="1026"/>
      <c r="E77" s="1026"/>
      <c r="F77" s="1025"/>
      <c r="G77" s="1025"/>
    </row>
    <row r="78" spans="1:7" x14ac:dyDescent="0.25">
      <c r="A78" s="14" t="s">
        <v>1128</v>
      </c>
      <c r="B78" s="120"/>
      <c r="C78" s="120"/>
      <c r="D78" s="120"/>
      <c r="E78" s="120"/>
      <c r="F78" s="120"/>
      <c r="G78" s="120"/>
    </row>
    <row r="79" spans="1:7" x14ac:dyDescent="0.25">
      <c r="A79" s="59" t="s">
        <v>1958</v>
      </c>
      <c r="B79" s="120"/>
      <c r="C79" s="120"/>
      <c r="D79" s="120"/>
      <c r="E79" s="120"/>
      <c r="F79" s="120"/>
      <c r="G79" s="120"/>
    </row>
    <row r="80" spans="1:7" x14ac:dyDescent="0.25">
      <c r="A80" s="120" t="s">
        <v>1123</v>
      </c>
      <c r="B80" s="120"/>
      <c r="C80" s="1035">
        <v>0</v>
      </c>
      <c r="D80" s="1035">
        <v>0</v>
      </c>
      <c r="E80" s="1035">
        <v>0</v>
      </c>
      <c r="F80" s="1035">
        <v>0</v>
      </c>
      <c r="G80" s="1035">
        <v>0</v>
      </c>
    </row>
    <row r="81" spans="1:9" x14ac:dyDescent="0.25">
      <c r="A81" s="120" t="s">
        <v>1124</v>
      </c>
      <c r="B81" s="120"/>
      <c r="C81" s="1035">
        <v>0</v>
      </c>
      <c r="D81" s="1035">
        <v>0</v>
      </c>
      <c r="E81" s="1035">
        <v>0</v>
      </c>
      <c r="F81" s="1035">
        <v>0</v>
      </c>
      <c r="G81" s="1035">
        <v>0</v>
      </c>
    </row>
    <row r="82" spans="1:9" x14ac:dyDescent="0.25">
      <c r="A82" s="120" t="s">
        <v>1125</v>
      </c>
      <c r="B82" s="120"/>
      <c r="C82" s="1035">
        <v>0</v>
      </c>
      <c r="D82" s="1035">
        <v>0</v>
      </c>
      <c r="E82" s="1035">
        <v>0</v>
      </c>
      <c r="F82" s="1035">
        <v>0</v>
      </c>
      <c r="G82" s="1035">
        <v>0</v>
      </c>
    </row>
    <row r="83" spans="1:9" x14ac:dyDescent="0.25">
      <c r="A83" s="1017"/>
      <c r="B83" s="1027"/>
      <c r="C83" s="1018"/>
      <c r="D83" s="1018"/>
      <c r="E83" s="1028"/>
      <c r="F83" s="1028"/>
      <c r="G83" s="1018"/>
    </row>
    <row r="84" spans="1:9" x14ac:dyDescent="0.25">
      <c r="A84" s="14" t="s">
        <v>1129</v>
      </c>
      <c r="B84" s="120"/>
      <c r="C84" s="120"/>
      <c r="D84" s="120"/>
      <c r="E84" s="120"/>
      <c r="F84" s="120"/>
      <c r="G84" s="120"/>
    </row>
    <row r="85" spans="1:9" x14ac:dyDescent="0.25">
      <c r="A85" s="59" t="s">
        <v>1958</v>
      </c>
      <c r="B85" s="120"/>
      <c r="C85" s="120"/>
      <c r="D85" s="120"/>
      <c r="E85" s="120"/>
      <c r="F85" s="120"/>
      <c r="G85" s="120"/>
    </row>
    <row r="86" spans="1:9" x14ac:dyDescent="0.25">
      <c r="A86" s="120" t="s">
        <v>1123</v>
      </c>
      <c r="B86" s="120"/>
      <c r="C86" s="1035">
        <v>0</v>
      </c>
      <c r="D86" s="1035">
        <v>0</v>
      </c>
      <c r="E86" s="1035">
        <v>0</v>
      </c>
      <c r="F86" s="1035">
        <v>0</v>
      </c>
      <c r="G86" s="1035">
        <v>0</v>
      </c>
    </row>
    <row r="87" spans="1:9" x14ac:dyDescent="0.25">
      <c r="A87" s="120" t="s">
        <v>1124</v>
      </c>
      <c r="B87" s="120"/>
      <c r="C87" s="1035">
        <v>0</v>
      </c>
      <c r="D87" s="1035">
        <v>0</v>
      </c>
      <c r="E87" s="1035">
        <v>0</v>
      </c>
      <c r="F87" s="1035">
        <v>0</v>
      </c>
      <c r="G87" s="1035">
        <v>0</v>
      </c>
    </row>
    <row r="88" spans="1:9" x14ac:dyDescent="0.25">
      <c r="A88" s="120" t="s">
        <v>1125</v>
      </c>
      <c r="B88" s="120"/>
      <c r="C88" s="1035">
        <v>0</v>
      </c>
      <c r="D88" s="1035">
        <v>0</v>
      </c>
      <c r="E88" s="1035">
        <v>0</v>
      </c>
      <c r="F88" s="1035">
        <v>0</v>
      </c>
      <c r="G88" s="1035">
        <v>0</v>
      </c>
    </row>
    <row r="89" spans="1:9" x14ac:dyDescent="0.25">
      <c r="A89" s="1017"/>
      <c r="B89" s="1029"/>
      <c r="C89" s="1018"/>
      <c r="D89" s="1018"/>
      <c r="E89" s="1017"/>
      <c r="F89" s="1030"/>
      <c r="G89" s="1018"/>
    </row>
    <row r="90" spans="1:9" x14ac:dyDescent="0.25">
      <c r="A90" s="14" t="s">
        <v>1955</v>
      </c>
      <c r="B90" s="14"/>
      <c r="C90" s="1427">
        <f>SUM(C86,C80,C74,C68,C62)</f>
        <v>0</v>
      </c>
      <c r="D90" s="1427">
        <f t="shared" ref="D90:G92" si="1">SUM(D86,D80,D74,D68,D62)</f>
        <v>0</v>
      </c>
      <c r="E90" s="1427">
        <f t="shared" si="1"/>
        <v>0</v>
      </c>
      <c r="F90" s="1427">
        <f t="shared" si="1"/>
        <v>0</v>
      </c>
      <c r="G90" s="1427">
        <f t="shared" si="1"/>
        <v>0</v>
      </c>
      <c r="H90" s="1015"/>
      <c r="I90" s="1015"/>
    </row>
    <row r="91" spans="1:9" x14ac:dyDescent="0.25">
      <c r="A91" s="14" t="s">
        <v>1956</v>
      </c>
      <c r="B91" s="14"/>
      <c r="C91" s="1427">
        <f>SUM(C87,C81,C75,C69,C63)</f>
        <v>0</v>
      </c>
      <c r="D91" s="1427">
        <f t="shared" si="1"/>
        <v>0</v>
      </c>
      <c r="E91" s="1427">
        <f t="shared" si="1"/>
        <v>0</v>
      </c>
      <c r="F91" s="1427">
        <f t="shared" si="1"/>
        <v>0</v>
      </c>
      <c r="G91" s="1427">
        <f t="shared" si="1"/>
        <v>0</v>
      </c>
      <c r="H91" s="1015"/>
      <c r="I91" s="1015"/>
    </row>
    <row r="92" spans="1:9" x14ac:dyDescent="0.25">
      <c r="A92" s="14" t="s">
        <v>1957</v>
      </c>
      <c r="B92" s="100"/>
      <c r="C92" s="1428">
        <f>SUM(C88,C82,C76,C70,C64)</f>
        <v>0</v>
      </c>
      <c r="D92" s="1428">
        <f t="shared" si="1"/>
        <v>0</v>
      </c>
      <c r="E92" s="1428">
        <f t="shared" si="1"/>
        <v>0</v>
      </c>
      <c r="F92" s="1428">
        <f t="shared" si="1"/>
        <v>0</v>
      </c>
      <c r="G92" s="1428">
        <f t="shared" si="1"/>
        <v>0</v>
      </c>
    </row>
    <row r="93" spans="1:9" ht="5.25" customHeight="1" x14ac:dyDescent="0.25">
      <c r="A93" s="1031"/>
      <c r="B93" s="1032"/>
      <c r="C93" s="1033"/>
      <c r="D93" s="1033"/>
      <c r="E93" s="1031"/>
      <c r="F93" s="1034"/>
      <c r="G93" s="1033"/>
    </row>
  </sheetData>
  <mergeCells count="8">
    <mergeCell ref="A18:G18"/>
    <mergeCell ref="A17:G17"/>
    <mergeCell ref="A13:G13"/>
    <mergeCell ref="A9:G9"/>
    <mergeCell ref="A10:G10"/>
    <mergeCell ref="A14:F14"/>
    <mergeCell ref="A15:F15"/>
    <mergeCell ref="A12:G12"/>
  </mergeCells>
  <dataValidations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0866141732283472" right="0.70866141732283472" top="0.74803149606299213" bottom="0.74803149606299213" header="0.31496062992125984" footer="0.31496062992125984"/>
  <pageSetup scale="69" orientation="portrait" r:id="rId1"/>
  <rowBreaks count="1" manualBreakCount="1">
    <brk id="5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S95"/>
  <sheetViews>
    <sheetView showGridLines="0" topLeftCell="A49" zoomScaleNormal="100" workbookViewId="0">
      <selection activeCell="F2" sqref="F2"/>
    </sheetView>
  </sheetViews>
  <sheetFormatPr defaultColWidth="8.85546875" defaultRowHeight="15" x14ac:dyDescent="0.25"/>
  <cols>
    <col min="1" max="1" width="34.7109375" style="668" customWidth="1"/>
    <col min="2" max="2" width="14.7109375" style="668" customWidth="1"/>
    <col min="3" max="3" width="12.7109375" style="668" customWidth="1"/>
    <col min="4" max="18" width="14.7109375" style="668" customWidth="1"/>
    <col min="19" max="16384" width="8.85546875" style="668"/>
  </cols>
  <sheetData>
    <row r="1" spans="1:13" s="265" customFormat="1" x14ac:dyDescent="0.25">
      <c r="A1" s="216"/>
      <c r="B1" s="216"/>
      <c r="C1" s="216"/>
      <c r="D1" s="216"/>
      <c r="F1" s="14" t="s">
        <v>419</v>
      </c>
      <c r="G1" s="1435" t="str">
        <f>EBNUMBER</f>
        <v>EB-2014-0113</v>
      </c>
    </row>
    <row r="2" spans="1:13" s="265" customFormat="1" x14ac:dyDescent="0.25">
      <c r="A2" s="216"/>
      <c r="B2" s="216"/>
      <c r="C2" s="216"/>
      <c r="D2" s="216"/>
      <c r="F2" s="14" t="s">
        <v>420</v>
      </c>
      <c r="G2" s="209"/>
    </row>
    <row r="3" spans="1:13" s="265" customFormat="1" x14ac:dyDescent="0.25">
      <c r="A3" s="216"/>
      <c r="B3" s="216"/>
      <c r="C3" s="216"/>
      <c r="D3" s="216"/>
      <c r="F3" s="14" t="s">
        <v>421</v>
      </c>
      <c r="G3" s="209"/>
    </row>
    <row r="4" spans="1:13" s="265" customFormat="1" x14ac:dyDescent="0.25">
      <c r="A4" s="216"/>
      <c r="B4" s="216"/>
      <c r="C4" s="216"/>
      <c r="D4" s="216"/>
      <c r="F4" s="14" t="s">
        <v>422</v>
      </c>
      <c r="G4" s="209"/>
    </row>
    <row r="5" spans="1:13" s="265" customFormat="1" x14ac:dyDescent="0.25">
      <c r="A5" s="216"/>
      <c r="B5" s="216"/>
      <c r="C5" s="216"/>
      <c r="D5" s="216"/>
      <c r="F5" s="14" t="s">
        <v>423</v>
      </c>
      <c r="G5" s="210"/>
    </row>
    <row r="6" spans="1:13" s="265" customFormat="1" x14ac:dyDescent="0.25">
      <c r="A6" s="216"/>
      <c r="B6" s="216"/>
      <c r="C6" s="216"/>
      <c r="D6" s="216"/>
      <c r="F6" s="14"/>
      <c r="G6" s="208"/>
    </row>
    <row r="7" spans="1:13" s="265" customFormat="1" x14ac:dyDescent="0.25">
      <c r="A7" s="216"/>
      <c r="B7" s="216"/>
      <c r="C7" s="216"/>
      <c r="D7" s="216"/>
      <c r="F7" s="14" t="s">
        <v>424</v>
      </c>
      <c r="G7" s="210"/>
    </row>
    <row r="8" spans="1:13" s="265" customFormat="1" x14ac:dyDescent="0.25">
      <c r="A8" s="236"/>
      <c r="B8" s="236"/>
      <c r="C8" s="236"/>
      <c r="D8" s="236"/>
      <c r="E8" s="236"/>
      <c r="F8" s="236"/>
      <c r="G8" s="236"/>
      <c r="H8" s="236"/>
      <c r="I8" s="236"/>
      <c r="J8" s="809"/>
      <c r="K8" s="809"/>
      <c r="L8" s="809"/>
      <c r="M8" s="809"/>
    </row>
    <row r="9" spans="1:13" s="265" customFormat="1" ht="18" x14ac:dyDescent="0.25">
      <c r="A9" s="1856" t="s">
        <v>1134</v>
      </c>
      <c r="B9" s="1856"/>
      <c r="C9" s="1856"/>
      <c r="D9" s="1856"/>
      <c r="E9" s="1856"/>
      <c r="F9" s="1856"/>
      <c r="G9" s="1856"/>
      <c r="H9" s="903"/>
      <c r="I9" s="903"/>
      <c r="J9" s="903"/>
      <c r="K9" s="809"/>
      <c r="L9" s="809"/>
      <c r="M9" s="809"/>
    </row>
    <row r="10" spans="1:13" s="265" customFormat="1" ht="39.75" customHeight="1" x14ac:dyDescent="0.25">
      <c r="A10" s="1809" t="s">
        <v>1135</v>
      </c>
      <c r="B10" s="1809"/>
      <c r="C10" s="1809"/>
      <c r="D10" s="1809"/>
      <c r="E10" s="1809"/>
      <c r="F10" s="1809"/>
      <c r="G10" s="1809"/>
      <c r="H10" s="903"/>
      <c r="I10" s="903"/>
      <c r="J10" s="903"/>
      <c r="K10" s="809"/>
      <c r="L10" s="809"/>
      <c r="M10" s="809"/>
    </row>
    <row r="11" spans="1:13" s="265" customFormat="1" ht="18" x14ac:dyDescent="0.25">
      <c r="A11" s="903"/>
      <c r="B11" s="903"/>
      <c r="C11" s="903"/>
      <c r="D11" s="903"/>
      <c r="E11" s="903"/>
      <c r="F11" s="903"/>
      <c r="G11" s="903"/>
      <c r="H11" s="903"/>
      <c r="I11" s="903"/>
      <c r="J11" s="903"/>
      <c r="K11" s="809"/>
      <c r="L11" s="809"/>
      <c r="M11" s="809"/>
    </row>
    <row r="12" spans="1:13" x14ac:dyDescent="0.25">
      <c r="A12" s="2005" t="s">
        <v>1136</v>
      </c>
      <c r="B12" s="2005"/>
      <c r="C12" s="2005"/>
      <c r="D12" s="2005"/>
      <c r="E12" s="2005"/>
      <c r="F12" s="2005"/>
      <c r="G12" s="2005"/>
    </row>
    <row r="13" spans="1:13" x14ac:dyDescent="0.25">
      <c r="A13" s="2005" t="s">
        <v>1137</v>
      </c>
      <c r="B13" s="2005"/>
      <c r="C13" s="2005"/>
      <c r="D13" s="2005"/>
      <c r="E13" s="2005"/>
      <c r="F13" s="2005"/>
      <c r="G13" s="2005"/>
    </row>
    <row r="14" spans="1:13" x14ac:dyDescent="0.25">
      <c r="A14" s="2005" t="s">
        <v>1138</v>
      </c>
      <c r="B14" s="2005"/>
      <c r="C14" s="2005"/>
      <c r="D14" s="2005"/>
      <c r="E14" s="2005"/>
      <c r="F14" s="2005"/>
      <c r="G14" s="2005"/>
    </row>
    <row r="15" spans="1:13" x14ac:dyDescent="0.25">
      <c r="A15" s="1432"/>
      <c r="B15" s="1432"/>
      <c r="C15" s="1432"/>
      <c r="D15" s="1432"/>
      <c r="E15" s="1432"/>
      <c r="F15" s="1432"/>
      <c r="G15" s="1432"/>
    </row>
    <row r="16" spans="1:13" ht="15.75" thickBot="1" x14ac:dyDescent="0.3"/>
    <row r="17" spans="1:19" s="1101" customFormat="1" ht="15.75" thickBot="1" x14ac:dyDescent="0.3">
      <c r="A17" s="1037"/>
      <c r="B17" s="1037"/>
      <c r="C17" s="1037"/>
      <c r="D17" s="2002" t="s">
        <v>1139</v>
      </c>
      <c r="E17" s="2003"/>
      <c r="F17" s="2004"/>
      <c r="G17" s="2002">
        <v>2015</v>
      </c>
      <c r="H17" s="2003"/>
      <c r="I17" s="2004"/>
      <c r="J17" s="2002">
        <v>2016</v>
      </c>
      <c r="K17" s="2003">
        <v>2016</v>
      </c>
      <c r="L17" s="2004"/>
      <c r="M17" s="2002">
        <v>2017</v>
      </c>
      <c r="N17" s="2003"/>
      <c r="O17" s="2004"/>
      <c r="P17" s="2002">
        <v>2018</v>
      </c>
      <c r="Q17" s="2003"/>
      <c r="R17" s="2004"/>
      <c r="S17" s="477"/>
    </row>
    <row r="18" spans="1:19" x14ac:dyDescent="0.25">
      <c r="A18" s="120"/>
      <c r="B18" s="120"/>
      <c r="C18" s="120"/>
      <c r="D18" s="120"/>
      <c r="E18" s="14" t="s">
        <v>1140</v>
      </c>
      <c r="F18" s="106" t="s">
        <v>1141</v>
      </c>
      <c r="G18" s="120"/>
      <c r="H18" s="14" t="s">
        <v>1140</v>
      </c>
      <c r="I18" s="106" t="s">
        <v>1141</v>
      </c>
      <c r="J18" s="120"/>
      <c r="K18" s="14" t="s">
        <v>1140</v>
      </c>
      <c r="L18" s="106" t="s">
        <v>1141</v>
      </c>
      <c r="M18" s="120"/>
      <c r="N18" s="14" t="s">
        <v>1140</v>
      </c>
      <c r="O18" s="106" t="s">
        <v>1141</v>
      </c>
      <c r="P18" s="120"/>
      <c r="Q18" s="14" t="s">
        <v>1140</v>
      </c>
      <c r="R18" s="106" t="s">
        <v>1141</v>
      </c>
      <c r="S18" s="120"/>
    </row>
    <row r="19" spans="1:19" x14ac:dyDescent="0.25">
      <c r="A19" s="1038"/>
      <c r="B19" s="1039"/>
      <c r="C19" s="1039"/>
      <c r="D19" s="1039" t="s">
        <v>413</v>
      </c>
      <c r="E19" s="1040">
        <v>0.06</v>
      </c>
      <c r="F19" s="1040">
        <v>0.94</v>
      </c>
      <c r="G19" s="1039" t="s">
        <v>413</v>
      </c>
      <c r="H19" s="1040">
        <v>0.06</v>
      </c>
      <c r="I19" s="1040">
        <v>0.94</v>
      </c>
      <c r="J19" s="1039" t="s">
        <v>413</v>
      </c>
      <c r="K19" s="1040">
        <v>0.06</v>
      </c>
      <c r="L19" s="1040">
        <v>0.94</v>
      </c>
      <c r="M19" s="1039" t="s">
        <v>413</v>
      </c>
      <c r="N19" s="1040">
        <v>0.06</v>
      </c>
      <c r="O19" s="1040">
        <v>0.94</v>
      </c>
      <c r="P19" s="1039" t="s">
        <v>413</v>
      </c>
      <c r="Q19" s="1040">
        <v>0.06</v>
      </c>
      <c r="R19" s="1040">
        <v>0.94</v>
      </c>
      <c r="S19" s="120"/>
    </row>
    <row r="20" spans="1:19" x14ac:dyDescent="0.25">
      <c r="A20" s="14" t="s">
        <v>1142</v>
      </c>
      <c r="B20" s="1041"/>
      <c r="C20" s="120"/>
      <c r="D20" s="1042">
        <f>D82</f>
        <v>0</v>
      </c>
      <c r="E20" s="1015">
        <f>D20*E19</f>
        <v>0</v>
      </c>
      <c r="F20" s="1043">
        <f>D20*F19</f>
        <v>0</v>
      </c>
      <c r="G20" s="1042">
        <f>E82</f>
        <v>0</v>
      </c>
      <c r="H20" s="1015">
        <f>G20*H19</f>
        <v>0</v>
      </c>
      <c r="I20" s="1043">
        <f>G20*I19</f>
        <v>0</v>
      </c>
      <c r="J20" s="1044">
        <f>F82</f>
        <v>0</v>
      </c>
      <c r="K20" s="1015">
        <f>J20*K19</f>
        <v>0</v>
      </c>
      <c r="L20" s="1043">
        <f>J20*L19</f>
        <v>0</v>
      </c>
      <c r="M20" s="1044">
        <f>G82</f>
        <v>0</v>
      </c>
      <c r="N20" s="1015">
        <f>M20*N19</f>
        <v>0</v>
      </c>
      <c r="O20" s="1043">
        <f>M20*O19</f>
        <v>0</v>
      </c>
      <c r="P20" s="1044">
        <f>H82</f>
        <v>0</v>
      </c>
      <c r="Q20" s="1015">
        <f>P20*Q19</f>
        <v>0</v>
      </c>
      <c r="R20" s="1043">
        <f>P20*R19</f>
        <v>0</v>
      </c>
      <c r="S20" s="120"/>
    </row>
    <row r="21" spans="1:19" x14ac:dyDescent="0.25">
      <c r="A21" s="120" t="s">
        <v>1188</v>
      </c>
      <c r="B21" s="1045"/>
      <c r="C21" s="120"/>
      <c r="D21" s="1016">
        <f>'App.2-FA Proposed REG Invest.'!C55</f>
        <v>0</v>
      </c>
      <c r="E21" s="1046">
        <f>D21</f>
        <v>0</v>
      </c>
      <c r="F21" s="1113"/>
      <c r="G21" s="1016">
        <f>'App.2-FA Proposed REG Invest.'!D55</f>
        <v>0</v>
      </c>
      <c r="H21" s="1046">
        <f>G21</f>
        <v>0</v>
      </c>
      <c r="I21" s="1113"/>
      <c r="J21" s="1016">
        <f>'App.2-FA Proposed REG Invest.'!E55</f>
        <v>0</v>
      </c>
      <c r="K21" s="1046">
        <f>J21</f>
        <v>0</v>
      </c>
      <c r="L21" s="1113"/>
      <c r="M21" s="1016">
        <f>'App.2-FA Proposed REG Invest.'!F55</f>
        <v>0</v>
      </c>
      <c r="N21" s="1046">
        <f>M21</f>
        <v>0</v>
      </c>
      <c r="O21" s="1113"/>
      <c r="P21" s="1016">
        <f>'App.2-FA Proposed REG Invest.'!G55</f>
        <v>0</v>
      </c>
      <c r="Q21" s="1046">
        <f>P21</f>
        <v>0</v>
      </c>
      <c r="R21" s="1113"/>
      <c r="S21" s="120"/>
    </row>
    <row r="22" spans="1:19" x14ac:dyDescent="0.25">
      <c r="A22" s="120" t="s">
        <v>1143</v>
      </c>
      <c r="B22" s="1045"/>
      <c r="C22" s="120"/>
      <c r="D22" s="1016">
        <f>'App.2-FA Proposed REG Invest.'!C54</f>
        <v>0</v>
      </c>
      <c r="E22" s="1046">
        <f>D22*E19</f>
        <v>0</v>
      </c>
      <c r="F22" s="1046">
        <f>D22*F19</f>
        <v>0</v>
      </c>
      <c r="G22" s="1016">
        <f>'App.2-FA Proposed REG Invest.'!D54</f>
        <v>0</v>
      </c>
      <c r="H22" s="1046">
        <f>G22*H19</f>
        <v>0</v>
      </c>
      <c r="I22" s="1046">
        <f>G22*I19</f>
        <v>0</v>
      </c>
      <c r="J22" s="1016">
        <f>'App.2-FA Proposed REG Invest.'!E54</f>
        <v>0</v>
      </c>
      <c r="K22" s="1046">
        <f>J22*K19</f>
        <v>0</v>
      </c>
      <c r="L22" s="1046">
        <f>J22*L19</f>
        <v>0</v>
      </c>
      <c r="M22" s="1016">
        <f>'App.2-FA Proposed REG Invest.'!F54</f>
        <v>0</v>
      </c>
      <c r="N22" s="1046">
        <f>M22*N19</f>
        <v>0</v>
      </c>
      <c r="O22" s="1046">
        <f>M22*O19</f>
        <v>0</v>
      </c>
      <c r="P22" s="1016">
        <f>'App.2-FA Proposed REG Invest.'!G54</f>
        <v>0</v>
      </c>
      <c r="Q22" s="1046">
        <f>P22*Q19</f>
        <v>0</v>
      </c>
      <c r="R22" s="1046">
        <f>P22*R19</f>
        <v>0</v>
      </c>
      <c r="S22" s="120"/>
    </row>
    <row r="23" spans="1:19" x14ac:dyDescent="0.25">
      <c r="A23" s="120" t="s">
        <v>1144</v>
      </c>
      <c r="B23" s="1107"/>
      <c r="C23" s="1048"/>
      <c r="D23" s="1049"/>
      <c r="E23" s="1050">
        <f>(E21+E22)*$B$23</f>
        <v>0</v>
      </c>
      <c r="F23" s="1051">
        <f>F22*$B$23</f>
        <v>0</v>
      </c>
      <c r="G23" s="1049"/>
      <c r="H23" s="1050">
        <f>(H21+H22)*$B$23</f>
        <v>0</v>
      </c>
      <c r="I23" s="1051">
        <f>I22*$B$23</f>
        <v>0</v>
      </c>
      <c r="J23" s="1049"/>
      <c r="K23" s="1050">
        <f>(K21+K22)*$B$23</f>
        <v>0</v>
      </c>
      <c r="L23" s="1051">
        <f>L22*$B$23</f>
        <v>0</v>
      </c>
      <c r="M23" s="1049"/>
      <c r="N23" s="1050">
        <f>(N21+N22)*$B$23</f>
        <v>0</v>
      </c>
      <c r="O23" s="1051">
        <f>O22*$B$23</f>
        <v>0</v>
      </c>
      <c r="P23" s="1049"/>
      <c r="Q23" s="1050">
        <f>(Q21+Q22)*$B$23</f>
        <v>0</v>
      </c>
      <c r="R23" s="1051">
        <f>R22*$B$23</f>
        <v>0</v>
      </c>
      <c r="S23" s="120"/>
    </row>
    <row r="24" spans="1:19" x14ac:dyDescent="0.25">
      <c r="A24" s="14" t="s">
        <v>904</v>
      </c>
      <c r="B24" s="475"/>
      <c r="C24" s="1048"/>
      <c r="D24" s="120"/>
      <c r="E24" s="1047">
        <f>SUM(E20+E23)</f>
        <v>0</v>
      </c>
      <c r="F24" s="1047">
        <f>SUM(F20+F23)</f>
        <v>0</v>
      </c>
      <c r="G24" s="120"/>
      <c r="H24" s="1047">
        <f>SUM(H20+H23)</f>
        <v>0</v>
      </c>
      <c r="I24" s="1047">
        <f>SUM(I20+I23)</f>
        <v>0</v>
      </c>
      <c r="J24" s="120"/>
      <c r="K24" s="1047">
        <f>SUM(K20+K23)</f>
        <v>0</v>
      </c>
      <c r="L24" s="1047">
        <f>SUM(L20+L23)</f>
        <v>0</v>
      </c>
      <c r="M24" s="120"/>
      <c r="N24" s="1047">
        <f>SUM(N20+N23)</f>
        <v>0</v>
      </c>
      <c r="O24" s="1047">
        <f>SUM(O20+O23)</f>
        <v>0</v>
      </c>
      <c r="P24" s="120"/>
      <c r="Q24" s="1047">
        <f>SUM(Q20+Q23)</f>
        <v>0</v>
      </c>
      <c r="R24" s="1047">
        <f>SUM(R20+R23)</f>
        <v>0</v>
      </c>
      <c r="S24" s="120"/>
    </row>
    <row r="25" spans="1:19" x14ac:dyDescent="0.25">
      <c r="A25" s="120"/>
      <c r="B25" s="120"/>
      <c r="C25" s="120"/>
      <c r="D25" s="120"/>
      <c r="E25" s="120"/>
      <c r="F25" s="120"/>
      <c r="G25" s="120"/>
      <c r="H25" s="120"/>
      <c r="I25" s="120"/>
      <c r="J25" s="120"/>
      <c r="K25" s="120"/>
      <c r="L25" s="120"/>
      <c r="M25" s="120"/>
      <c r="N25" s="120"/>
      <c r="O25" s="120"/>
      <c r="P25" s="120"/>
      <c r="Q25" s="120"/>
      <c r="R25" s="120"/>
      <c r="S25" s="120"/>
    </row>
    <row r="26" spans="1:19" x14ac:dyDescent="0.25">
      <c r="A26" s="120"/>
      <c r="B26" s="120"/>
      <c r="C26" s="120"/>
      <c r="D26" s="120"/>
      <c r="E26" s="120"/>
      <c r="F26" s="120"/>
      <c r="G26" s="120"/>
      <c r="H26" s="120"/>
      <c r="I26" s="120"/>
      <c r="J26" s="120"/>
      <c r="K26" s="120"/>
      <c r="L26" s="120"/>
      <c r="M26" s="120"/>
      <c r="N26" s="120"/>
      <c r="O26" s="120"/>
      <c r="P26" s="120"/>
      <c r="Q26" s="120"/>
      <c r="R26" s="120"/>
      <c r="S26" s="120"/>
    </row>
    <row r="27" spans="1:19" x14ac:dyDescent="0.25">
      <c r="A27" s="120" t="s">
        <v>1145</v>
      </c>
      <c r="B27" s="1107"/>
      <c r="C27" s="1048"/>
      <c r="D27" s="1041"/>
      <c r="E27" s="1047">
        <f>E24*$B$27</f>
        <v>0</v>
      </c>
      <c r="F27" s="1047">
        <f>F24*$B$27</f>
        <v>0</v>
      </c>
      <c r="G27" s="1041"/>
      <c r="H27" s="1047">
        <f>H24*$B$27</f>
        <v>0</v>
      </c>
      <c r="I27" s="1047">
        <f>I24*$B$27</f>
        <v>0</v>
      </c>
      <c r="J27" s="1041"/>
      <c r="K27" s="1047">
        <f>K24*$B$27</f>
        <v>0</v>
      </c>
      <c r="L27" s="1047">
        <f>L24*$B$27</f>
        <v>0</v>
      </c>
      <c r="M27" s="1041"/>
      <c r="N27" s="1047">
        <f>N24*$B$27</f>
        <v>0</v>
      </c>
      <c r="O27" s="1047">
        <f>O24*$B$27</f>
        <v>0</v>
      </c>
      <c r="P27" s="1041"/>
      <c r="Q27" s="1047">
        <f>Q24*$B$27</f>
        <v>0</v>
      </c>
      <c r="R27" s="1047">
        <f>R24*$B$27</f>
        <v>0</v>
      </c>
      <c r="S27" s="120"/>
    </row>
    <row r="28" spans="1:19" x14ac:dyDescent="0.25">
      <c r="A28" s="120" t="s">
        <v>1146</v>
      </c>
      <c r="B28" s="1107"/>
      <c r="C28" s="1048"/>
      <c r="D28" s="1052"/>
      <c r="E28" s="1047">
        <f>E24*$B$28</f>
        <v>0</v>
      </c>
      <c r="F28" s="1047">
        <f>F24*$B$28</f>
        <v>0</v>
      </c>
      <c r="G28" s="1052"/>
      <c r="H28" s="1047">
        <f>H24*$B$28</f>
        <v>0</v>
      </c>
      <c r="I28" s="1047">
        <f>I24*$B$28</f>
        <v>0</v>
      </c>
      <c r="J28" s="1052"/>
      <c r="K28" s="1047">
        <f>K24*$B$28</f>
        <v>0</v>
      </c>
      <c r="L28" s="1047">
        <f>L24*$B$28</f>
        <v>0</v>
      </c>
      <c r="M28" s="1052"/>
      <c r="N28" s="1047">
        <f>N24*$B$28</f>
        <v>0</v>
      </c>
      <c r="O28" s="1047">
        <f>O24*$B$28</f>
        <v>0</v>
      </c>
      <c r="P28" s="1052"/>
      <c r="Q28" s="1047">
        <f>Q24*$B$28</f>
        <v>0</v>
      </c>
      <c r="R28" s="1047">
        <f>R24*$B$28</f>
        <v>0</v>
      </c>
      <c r="S28" s="120"/>
    </row>
    <row r="29" spans="1:19" x14ac:dyDescent="0.25">
      <c r="A29" s="120" t="s">
        <v>1147</v>
      </c>
      <c r="B29" s="1107"/>
      <c r="C29" s="1048"/>
      <c r="D29" s="1053"/>
      <c r="E29" s="1047">
        <f>E24*$B$29</f>
        <v>0</v>
      </c>
      <c r="F29" s="1047">
        <f>F24*$B$29</f>
        <v>0</v>
      </c>
      <c r="G29" s="1053"/>
      <c r="H29" s="1047">
        <f>H24*$B$29</f>
        <v>0</v>
      </c>
      <c r="I29" s="1047">
        <f>I24*$B$29</f>
        <v>0</v>
      </c>
      <c r="J29" s="1053"/>
      <c r="K29" s="1047">
        <f>K24*$B$29</f>
        <v>0</v>
      </c>
      <c r="L29" s="1047">
        <f>L24*$B$29</f>
        <v>0</v>
      </c>
      <c r="M29" s="1053"/>
      <c r="N29" s="1047">
        <f>N24*$B$29</f>
        <v>0</v>
      </c>
      <c r="O29" s="1047">
        <f>O24*$B$29</f>
        <v>0</v>
      </c>
      <c r="P29" s="1053"/>
      <c r="Q29" s="1047">
        <f>Q24*$B$29</f>
        <v>0</v>
      </c>
      <c r="R29" s="1047">
        <f>R24*$B$29</f>
        <v>0</v>
      </c>
      <c r="S29" s="120"/>
    </row>
    <row r="30" spans="1:19" x14ac:dyDescent="0.25">
      <c r="A30" s="120"/>
      <c r="B30" s="120"/>
      <c r="C30" s="1054"/>
      <c r="D30" s="120"/>
      <c r="E30" s="1055"/>
      <c r="F30" s="120"/>
      <c r="G30" s="120"/>
      <c r="H30" s="1055"/>
      <c r="I30" s="120"/>
      <c r="J30" s="120"/>
      <c r="K30" s="1055"/>
      <c r="L30" s="120"/>
      <c r="M30" s="120"/>
      <c r="N30" s="1055"/>
      <c r="O30" s="120"/>
      <c r="P30" s="120"/>
      <c r="Q30" s="1055"/>
      <c r="R30" s="120"/>
      <c r="S30" s="120"/>
    </row>
    <row r="31" spans="1:19" x14ac:dyDescent="0.25">
      <c r="A31" s="120" t="s">
        <v>1148</v>
      </c>
      <c r="B31" s="1106"/>
      <c r="C31" s="1048"/>
      <c r="D31" s="1056"/>
      <c r="E31" s="1047">
        <f>E27*$B31</f>
        <v>0</v>
      </c>
      <c r="F31" s="1047">
        <f>F27*$B31</f>
        <v>0</v>
      </c>
      <c r="G31" s="1056"/>
      <c r="H31" s="1047">
        <f>H27*$B31</f>
        <v>0</v>
      </c>
      <c r="I31" s="1047">
        <f>I27*$B31</f>
        <v>0</v>
      </c>
      <c r="J31" s="1056"/>
      <c r="K31" s="1047">
        <f>K27*$B31</f>
        <v>0</v>
      </c>
      <c r="L31" s="1047">
        <f>L27*$B31</f>
        <v>0</v>
      </c>
      <c r="M31" s="1056"/>
      <c r="N31" s="1047">
        <f>N27*$B31</f>
        <v>0</v>
      </c>
      <c r="O31" s="1047">
        <f>O27*$B31</f>
        <v>0</v>
      </c>
      <c r="P31" s="1056"/>
      <c r="Q31" s="1047">
        <f>Q27*$B31</f>
        <v>0</v>
      </c>
      <c r="R31" s="1047">
        <f>R27*$B31</f>
        <v>0</v>
      </c>
      <c r="S31" s="120"/>
    </row>
    <row r="32" spans="1:19" x14ac:dyDescent="0.25">
      <c r="A32" s="120" t="s">
        <v>1149</v>
      </c>
      <c r="B32" s="1106"/>
      <c r="C32" s="1048"/>
      <c r="D32" s="1056"/>
      <c r="E32" s="1047">
        <f t="shared" ref="E32:F33" si="0">E28*$B32</f>
        <v>0</v>
      </c>
      <c r="F32" s="1047">
        <f t="shared" si="0"/>
        <v>0</v>
      </c>
      <c r="G32" s="1056"/>
      <c r="H32" s="1047">
        <f t="shared" ref="H32:I33" si="1">H28*$B32</f>
        <v>0</v>
      </c>
      <c r="I32" s="1047">
        <f t="shared" si="1"/>
        <v>0</v>
      </c>
      <c r="J32" s="1056"/>
      <c r="K32" s="1047">
        <f t="shared" ref="K32:L33" si="2">K28*$B32</f>
        <v>0</v>
      </c>
      <c r="L32" s="1047">
        <f t="shared" si="2"/>
        <v>0</v>
      </c>
      <c r="M32" s="1056"/>
      <c r="N32" s="1047">
        <f t="shared" ref="N32:O33" si="3">N28*$B32</f>
        <v>0</v>
      </c>
      <c r="O32" s="1047">
        <f t="shared" si="3"/>
        <v>0</v>
      </c>
      <c r="P32" s="1056"/>
      <c r="Q32" s="1047">
        <f t="shared" ref="Q32:R33" si="4">Q28*$B32</f>
        <v>0</v>
      </c>
      <c r="R32" s="1047">
        <f t="shared" si="4"/>
        <v>0</v>
      </c>
      <c r="S32" s="120"/>
    </row>
    <row r="33" spans="1:19" x14ac:dyDescent="0.25">
      <c r="A33" s="120" t="s">
        <v>1150</v>
      </c>
      <c r="B33" s="1106"/>
      <c r="C33" s="1048"/>
      <c r="D33" s="1056"/>
      <c r="E33" s="1047">
        <f t="shared" si="0"/>
        <v>0</v>
      </c>
      <c r="F33" s="1047">
        <f t="shared" si="0"/>
        <v>0</v>
      </c>
      <c r="G33" s="1056"/>
      <c r="H33" s="1047">
        <f t="shared" si="1"/>
        <v>0</v>
      </c>
      <c r="I33" s="1047">
        <f t="shared" si="1"/>
        <v>0</v>
      </c>
      <c r="J33" s="1056"/>
      <c r="K33" s="1047">
        <f t="shared" si="2"/>
        <v>0</v>
      </c>
      <c r="L33" s="1047">
        <f t="shared" si="2"/>
        <v>0</v>
      </c>
      <c r="M33" s="1056"/>
      <c r="N33" s="1047">
        <f t="shared" si="3"/>
        <v>0</v>
      </c>
      <c r="O33" s="1047">
        <f t="shared" si="3"/>
        <v>0</v>
      </c>
      <c r="P33" s="1056"/>
      <c r="Q33" s="1047">
        <f t="shared" si="4"/>
        <v>0</v>
      </c>
      <c r="R33" s="1047">
        <f t="shared" si="4"/>
        <v>0</v>
      </c>
      <c r="S33" s="120"/>
    </row>
    <row r="34" spans="1:19" x14ac:dyDescent="0.25">
      <c r="A34" s="101" t="s">
        <v>1151</v>
      </c>
      <c r="B34" s="120"/>
      <c r="C34" s="1048"/>
      <c r="D34" s="120"/>
      <c r="E34" s="1057">
        <f>SUM(E31:E33)</f>
        <v>0</v>
      </c>
      <c r="F34" s="1057">
        <f>SUM(F31:F33)</f>
        <v>0</v>
      </c>
      <c r="G34" s="120"/>
      <c r="H34" s="1057">
        <f>SUM(H31:H33)</f>
        <v>0</v>
      </c>
      <c r="I34" s="1057">
        <f>SUM(I31:I33)</f>
        <v>0</v>
      </c>
      <c r="J34" s="120"/>
      <c r="K34" s="1057">
        <f>SUM(K31:K33)</f>
        <v>0</v>
      </c>
      <c r="L34" s="1057">
        <f>SUM(L31:L33)</f>
        <v>0</v>
      </c>
      <c r="M34" s="120"/>
      <c r="N34" s="1057">
        <f>SUM(N31:N33)</f>
        <v>0</v>
      </c>
      <c r="O34" s="1057">
        <f>SUM(O31:O33)</f>
        <v>0</v>
      </c>
      <c r="P34" s="120"/>
      <c r="Q34" s="1057">
        <f>SUM(Q31:Q33)</f>
        <v>0</v>
      </c>
      <c r="R34" s="1057">
        <f>SUM(R31:R33)</f>
        <v>0</v>
      </c>
      <c r="S34" s="120"/>
    </row>
    <row r="35" spans="1:19" x14ac:dyDescent="0.25">
      <c r="A35" s="120"/>
      <c r="B35" s="120"/>
      <c r="C35" s="477"/>
      <c r="D35" s="120"/>
      <c r="E35" s="120"/>
      <c r="F35" s="120"/>
      <c r="G35" s="120"/>
      <c r="H35" s="120"/>
      <c r="I35" s="120"/>
      <c r="J35" s="120"/>
      <c r="K35" s="120"/>
      <c r="L35" s="120"/>
      <c r="M35" s="120"/>
      <c r="N35" s="120"/>
      <c r="O35" s="120"/>
      <c r="P35" s="120"/>
      <c r="Q35" s="120"/>
      <c r="R35" s="120"/>
      <c r="S35" s="120"/>
    </row>
    <row r="36" spans="1:19" x14ac:dyDescent="0.25">
      <c r="A36" s="120" t="s">
        <v>179</v>
      </c>
      <c r="B36" s="120"/>
      <c r="C36" s="1058"/>
      <c r="D36" s="120"/>
      <c r="E36" s="1059">
        <f>E21+E22</f>
        <v>0</v>
      </c>
      <c r="F36" s="1047">
        <f>F22</f>
        <v>0</v>
      </c>
      <c r="G36" s="120"/>
      <c r="H36" s="1059">
        <f>H21+H22</f>
        <v>0</v>
      </c>
      <c r="I36" s="1047">
        <f>I22</f>
        <v>0</v>
      </c>
      <c r="J36" s="120"/>
      <c r="K36" s="1059">
        <f>K21+K22</f>
        <v>0</v>
      </c>
      <c r="L36" s="1047">
        <f>L22</f>
        <v>0</v>
      </c>
      <c r="M36" s="475"/>
      <c r="N36" s="1059">
        <f>N21+N22</f>
        <v>0</v>
      </c>
      <c r="O36" s="1047">
        <f>O22</f>
        <v>0</v>
      </c>
      <c r="P36" s="120"/>
      <c r="Q36" s="1059">
        <f>Q21+Q22</f>
        <v>0</v>
      </c>
      <c r="R36" s="1047">
        <f>R22</f>
        <v>0</v>
      </c>
      <c r="S36" s="120"/>
    </row>
    <row r="37" spans="1:19" x14ac:dyDescent="0.25">
      <c r="A37" s="120" t="s">
        <v>1152</v>
      </c>
      <c r="B37" s="1060"/>
      <c r="C37" s="1048"/>
      <c r="D37" s="1015">
        <f>D77</f>
        <v>0</v>
      </c>
      <c r="E37" s="1047">
        <f>D37*E$19</f>
        <v>0</v>
      </c>
      <c r="F37" s="1047">
        <f>D37*F$19</f>
        <v>0</v>
      </c>
      <c r="G37" s="1061">
        <f>E76+E77</f>
        <v>0</v>
      </c>
      <c r="H37" s="1047">
        <f>G37*H$19</f>
        <v>0</v>
      </c>
      <c r="I37" s="1047">
        <f>G37*I$19</f>
        <v>0</v>
      </c>
      <c r="J37" s="1061">
        <f>F76+F77</f>
        <v>0</v>
      </c>
      <c r="K37" s="1047">
        <f>J37*K$19</f>
        <v>0</v>
      </c>
      <c r="L37" s="1047">
        <f>J37*L$19</f>
        <v>0</v>
      </c>
      <c r="M37" s="1061">
        <f>G76+G77</f>
        <v>0</v>
      </c>
      <c r="N37" s="1047">
        <f>M37*N$19</f>
        <v>0</v>
      </c>
      <c r="O37" s="1047">
        <f>M37*O$19</f>
        <v>0</v>
      </c>
      <c r="P37" s="1061">
        <f>H76+H77</f>
        <v>0</v>
      </c>
      <c r="Q37" s="1047">
        <f>P37*Q$19</f>
        <v>0</v>
      </c>
      <c r="R37" s="1047">
        <f>P37*R$19</f>
        <v>0</v>
      </c>
      <c r="S37" s="120"/>
    </row>
    <row r="38" spans="1:19" x14ac:dyDescent="0.25">
      <c r="A38" s="120" t="s">
        <v>1153</v>
      </c>
      <c r="B38" s="1060"/>
      <c r="C38" s="890"/>
      <c r="D38" s="120"/>
      <c r="E38" s="1015">
        <f>E65</f>
        <v>0</v>
      </c>
      <c r="F38" s="1015">
        <f>F65</f>
        <v>0</v>
      </c>
      <c r="G38" s="1060"/>
      <c r="H38" s="1015">
        <f>H65</f>
        <v>0</v>
      </c>
      <c r="I38" s="1015">
        <f>I65</f>
        <v>0</v>
      </c>
      <c r="J38" s="1060"/>
      <c r="K38" s="1015">
        <f>K65</f>
        <v>0</v>
      </c>
      <c r="L38" s="1015">
        <f>L65</f>
        <v>0</v>
      </c>
      <c r="M38" s="1060"/>
      <c r="N38" s="1015">
        <f>N65</f>
        <v>0</v>
      </c>
      <c r="O38" s="1015">
        <f>O65</f>
        <v>0</v>
      </c>
      <c r="P38" s="1060"/>
      <c r="Q38" s="1015">
        <f>Q65</f>
        <v>0</v>
      </c>
      <c r="R38" s="1015">
        <f>R65</f>
        <v>0</v>
      </c>
      <c r="S38" s="120"/>
    </row>
    <row r="39" spans="1:19" x14ac:dyDescent="0.25">
      <c r="A39" s="120"/>
      <c r="B39" s="120"/>
      <c r="C39" s="477"/>
      <c r="D39" s="120"/>
      <c r="E39" s="120"/>
      <c r="F39" s="120"/>
      <c r="G39" s="120"/>
      <c r="H39" s="120"/>
      <c r="I39" s="120"/>
      <c r="J39" s="120"/>
      <c r="K39" s="120"/>
      <c r="L39" s="120"/>
      <c r="M39" s="120"/>
      <c r="N39" s="120"/>
      <c r="O39" s="120"/>
      <c r="P39" s="120"/>
      <c r="Q39" s="120"/>
      <c r="R39" s="120"/>
      <c r="S39" s="120"/>
    </row>
    <row r="40" spans="1:19" ht="15.75" thickBot="1" x14ac:dyDescent="0.3">
      <c r="A40" s="14" t="s">
        <v>1154</v>
      </c>
      <c r="B40" s="120"/>
      <c r="C40" s="1048"/>
      <c r="D40" s="120"/>
      <c r="E40" s="1062">
        <f>SUM(E34:E38)</f>
        <v>0</v>
      </c>
      <c r="F40" s="1062">
        <f>SUM(F34:F38)</f>
        <v>0</v>
      </c>
      <c r="G40" s="120"/>
      <c r="H40" s="1062">
        <f>SUM(H34:H38)</f>
        <v>0</v>
      </c>
      <c r="I40" s="1062">
        <f>SUM(I34:I38)</f>
        <v>0</v>
      </c>
      <c r="J40" s="120"/>
      <c r="K40" s="1062">
        <f>SUM(K34:K38)</f>
        <v>0</v>
      </c>
      <c r="L40" s="1062">
        <f>SUM(L34:L38)</f>
        <v>0</v>
      </c>
      <c r="M40" s="120"/>
      <c r="N40" s="1062">
        <f>SUM(N34:N38)</f>
        <v>0</v>
      </c>
      <c r="O40" s="1062">
        <f>SUM(O34:O38)</f>
        <v>0</v>
      </c>
      <c r="P40" s="120"/>
      <c r="Q40" s="1062">
        <f>SUM(Q34:Q38)</f>
        <v>0</v>
      </c>
      <c r="R40" s="1062">
        <f>SUM(R34:R38)</f>
        <v>0</v>
      </c>
      <c r="S40" s="120"/>
    </row>
    <row r="41" spans="1:19" x14ac:dyDescent="0.25">
      <c r="A41" s="120"/>
      <c r="B41" s="1426"/>
      <c r="C41" s="1048"/>
      <c r="D41" s="120"/>
      <c r="E41" s="1048"/>
      <c r="F41" s="1048"/>
      <c r="G41" s="120"/>
      <c r="H41" s="1048"/>
      <c r="I41" s="1048"/>
      <c r="J41" s="120"/>
      <c r="K41" s="1048"/>
      <c r="L41" s="1048"/>
      <c r="M41" s="120"/>
      <c r="N41" s="1048"/>
      <c r="O41" s="1048"/>
      <c r="P41" s="120"/>
      <c r="Q41" s="1048"/>
      <c r="R41" s="1048"/>
      <c r="S41" s="120"/>
    </row>
    <row r="42" spans="1:19" x14ac:dyDescent="0.25">
      <c r="A42" s="120"/>
      <c r="B42" s="1424"/>
      <c r="C42" s="1047"/>
      <c r="D42" s="120"/>
      <c r="E42" s="1047"/>
      <c r="F42" s="1017"/>
      <c r="G42" s="1047"/>
      <c r="H42" s="120"/>
      <c r="I42" s="1047"/>
      <c r="J42" s="1047"/>
      <c r="K42" s="120"/>
      <c r="L42" s="1047"/>
      <c r="M42" s="1047"/>
      <c r="N42" s="120"/>
      <c r="O42" s="1047"/>
      <c r="P42" s="1047"/>
      <c r="Q42" s="120"/>
      <c r="R42" s="1047"/>
      <c r="S42" s="120"/>
    </row>
    <row r="43" spans="1:19" x14ac:dyDescent="0.25">
      <c r="A43" s="120" t="s">
        <v>1155</v>
      </c>
      <c r="B43" s="1424"/>
      <c r="C43" s="1047"/>
      <c r="D43" s="120"/>
      <c r="E43" s="1047"/>
      <c r="F43" s="1063">
        <f>F40</f>
        <v>0</v>
      </c>
      <c r="G43" s="1047"/>
      <c r="H43" s="120"/>
      <c r="I43" s="1063">
        <f>I40</f>
        <v>0</v>
      </c>
      <c r="J43" s="1047"/>
      <c r="K43" s="120"/>
      <c r="L43" s="1063">
        <f>L40</f>
        <v>0</v>
      </c>
      <c r="M43" s="1047"/>
      <c r="N43" s="120"/>
      <c r="O43" s="1063">
        <f>O40</f>
        <v>0</v>
      </c>
      <c r="P43" s="1047"/>
      <c r="Q43" s="120"/>
      <c r="R43" s="1063">
        <f>R40</f>
        <v>0</v>
      </c>
      <c r="S43" s="120"/>
    </row>
    <row r="44" spans="1:19" x14ac:dyDescent="0.25">
      <c r="A44" s="120"/>
      <c r="B44" s="1425"/>
      <c r="C44" s="120"/>
      <c r="D44" s="120"/>
      <c r="E44" s="362"/>
      <c r="F44" s="1017"/>
      <c r="G44" s="120"/>
      <c r="H44" s="1064"/>
      <c r="I44" s="1017"/>
      <c r="J44" s="120"/>
      <c r="K44" s="1064"/>
      <c r="L44" s="1017"/>
      <c r="M44" s="120"/>
      <c r="N44" s="1064"/>
      <c r="O44" s="1017"/>
      <c r="P44" s="120"/>
      <c r="Q44" s="1064"/>
      <c r="R44" s="1017"/>
      <c r="S44" s="120"/>
    </row>
    <row r="45" spans="1:19" x14ac:dyDescent="0.25">
      <c r="A45" s="475" t="s">
        <v>1950</v>
      </c>
      <c r="B45" s="120"/>
      <c r="C45" s="1015"/>
      <c r="D45" s="1015"/>
      <c r="E45" s="1015"/>
      <c r="F45" s="1063">
        <f>F43/12</f>
        <v>0</v>
      </c>
      <c r="G45" s="1015"/>
      <c r="H45" s="120"/>
      <c r="I45" s="1063">
        <f>I43/12</f>
        <v>0</v>
      </c>
      <c r="J45" s="1015"/>
      <c r="K45" s="120"/>
      <c r="L45" s="1063">
        <f>L43/12</f>
        <v>0</v>
      </c>
      <c r="M45" s="1015"/>
      <c r="N45" s="120"/>
      <c r="O45" s="1063">
        <f>O43/12</f>
        <v>0</v>
      </c>
      <c r="P45" s="1015"/>
      <c r="Q45" s="120"/>
      <c r="R45" s="1063">
        <f>R43/12</f>
        <v>0</v>
      </c>
      <c r="S45" s="120"/>
    </row>
    <row r="46" spans="1:19" x14ac:dyDescent="0.25">
      <c r="A46" s="475"/>
      <c r="B46" s="120"/>
      <c r="C46" s="1015"/>
      <c r="D46" s="1015"/>
      <c r="E46" s="1015"/>
      <c r="F46" s="1065"/>
      <c r="G46" s="1015"/>
      <c r="H46" s="120"/>
      <c r="I46" s="1015"/>
      <c r="J46" s="1015"/>
      <c r="K46" s="120"/>
      <c r="L46" s="120"/>
      <c r="M46" s="1015"/>
      <c r="N46" s="120"/>
      <c r="O46" s="1015"/>
      <c r="P46" s="1015"/>
      <c r="Q46" s="120"/>
      <c r="R46" s="120"/>
      <c r="S46" s="120"/>
    </row>
    <row r="47" spans="1:19" ht="12.75" customHeight="1" x14ac:dyDescent="0.25">
      <c r="A47" s="2000" t="s">
        <v>1961</v>
      </c>
      <c r="B47" s="2000"/>
      <c r="C47" s="2000"/>
      <c r="D47" s="2000"/>
      <c r="E47" s="2000"/>
      <c r="F47" s="2000"/>
      <c r="G47" s="2000"/>
      <c r="H47" s="2000"/>
      <c r="I47" s="2000"/>
      <c r="J47" s="2000"/>
      <c r="K47" s="2000"/>
      <c r="L47" s="2000"/>
      <c r="M47" s="120"/>
      <c r="N47" s="120"/>
      <c r="O47" s="120"/>
      <c r="P47" s="120"/>
      <c r="Q47" s="120"/>
      <c r="R47" s="120"/>
      <c r="S47" s="120"/>
    </row>
    <row r="48" spans="1:19" ht="12.75" customHeight="1" x14ac:dyDescent="0.25">
      <c r="A48" s="1437" t="s">
        <v>1962</v>
      </c>
      <c r="B48" s="1431"/>
      <c r="C48" s="1431"/>
      <c r="D48" s="1431"/>
      <c r="E48" s="1431"/>
      <c r="F48" s="1431"/>
      <c r="G48" s="1431"/>
      <c r="H48" s="1431"/>
      <c r="I48" s="1431"/>
      <c r="J48" s="1431"/>
      <c r="K48" s="1431"/>
      <c r="L48" s="1431"/>
      <c r="M48" s="120"/>
      <c r="N48" s="120"/>
      <c r="O48" s="120"/>
      <c r="P48" s="120"/>
      <c r="Q48" s="120"/>
      <c r="R48" s="120"/>
      <c r="S48" s="120"/>
    </row>
    <row r="49" spans="1:19" x14ac:dyDescent="0.25">
      <c r="A49" s="2000" t="s">
        <v>1963</v>
      </c>
      <c r="B49" s="2000"/>
      <c r="C49" s="2000"/>
      <c r="D49" s="2000"/>
      <c r="E49" s="2000"/>
      <c r="F49" s="2000"/>
      <c r="G49" s="2000"/>
      <c r="H49" s="2000"/>
      <c r="I49" s="2000"/>
      <c r="J49" s="2000"/>
      <c r="K49" s="2000"/>
      <c r="L49" s="2000"/>
      <c r="M49" s="120"/>
      <c r="N49" s="120"/>
      <c r="O49" s="120"/>
      <c r="P49" s="120"/>
      <c r="Q49" s="120"/>
      <c r="R49" s="120"/>
      <c r="S49" s="120"/>
    </row>
    <row r="50" spans="1:19" x14ac:dyDescent="0.25">
      <c r="A50" s="2001"/>
      <c r="B50" s="2001"/>
      <c r="C50" s="1066"/>
      <c r="D50" s="1066"/>
      <c r="E50" s="1066"/>
      <c r="F50" s="1066"/>
      <c r="G50" s="1017"/>
      <c r="H50" s="120"/>
      <c r="I50" s="120"/>
      <c r="J50" s="120"/>
      <c r="K50" s="120"/>
      <c r="L50" s="120"/>
      <c r="M50" s="120"/>
      <c r="N50" s="120"/>
      <c r="O50" s="120"/>
      <c r="P50" s="120"/>
      <c r="Q50" s="120"/>
      <c r="R50" s="120"/>
      <c r="S50" s="120"/>
    </row>
    <row r="51" spans="1:19" ht="16.5" thickBot="1" x14ac:dyDescent="0.3">
      <c r="A51" s="1067" t="s">
        <v>1156</v>
      </c>
      <c r="B51" s="1433"/>
      <c r="C51" s="1066"/>
      <c r="D51" s="1066"/>
      <c r="E51" s="1066"/>
      <c r="F51" s="1066"/>
      <c r="G51" s="1017"/>
      <c r="H51" s="120"/>
      <c r="I51" s="120"/>
      <c r="J51" s="120"/>
      <c r="K51" s="120"/>
      <c r="L51" s="120"/>
      <c r="M51" s="120"/>
      <c r="N51" s="120"/>
      <c r="O51" s="120"/>
      <c r="P51" s="120"/>
      <c r="Q51" s="120"/>
      <c r="R51" s="120"/>
      <c r="S51" s="120"/>
    </row>
    <row r="52" spans="1:19" s="1101" customFormat="1" ht="15.75" thickBot="1" x14ac:dyDescent="0.3">
      <c r="A52" s="1079"/>
      <c r="B52" s="1433"/>
      <c r="C52" s="1066"/>
      <c r="D52" s="477"/>
      <c r="E52" s="1998">
        <v>2014</v>
      </c>
      <c r="F52" s="1999"/>
      <c r="G52" s="477"/>
      <c r="H52" s="1998">
        <v>2015</v>
      </c>
      <c r="I52" s="1999"/>
      <c r="J52" s="477"/>
      <c r="K52" s="1998">
        <v>2016</v>
      </c>
      <c r="L52" s="1999"/>
      <c r="M52" s="477"/>
      <c r="N52" s="1998">
        <v>2017</v>
      </c>
      <c r="O52" s="1999"/>
      <c r="P52" s="477"/>
      <c r="Q52" s="1998">
        <v>2018</v>
      </c>
      <c r="R52" s="1999"/>
      <c r="S52" s="477"/>
    </row>
    <row r="53" spans="1:19" x14ac:dyDescent="0.25">
      <c r="A53" s="1069" t="s">
        <v>1157</v>
      </c>
      <c r="B53" s="1433"/>
      <c r="C53" s="1066"/>
      <c r="D53" s="120"/>
      <c r="E53" s="14" t="s">
        <v>1140</v>
      </c>
      <c r="F53" s="106" t="s">
        <v>1141</v>
      </c>
      <c r="G53" s="120"/>
      <c r="H53" s="14" t="s">
        <v>1140</v>
      </c>
      <c r="I53" s="106" t="s">
        <v>1141</v>
      </c>
      <c r="J53" s="120"/>
      <c r="K53" s="14" t="s">
        <v>1140</v>
      </c>
      <c r="L53" s="106" t="s">
        <v>1141</v>
      </c>
      <c r="M53" s="120"/>
      <c r="N53" s="14" t="s">
        <v>1140</v>
      </c>
      <c r="O53" s="106" t="s">
        <v>1141</v>
      </c>
      <c r="P53" s="120"/>
      <c r="Q53" s="14" t="s">
        <v>1140</v>
      </c>
      <c r="R53" s="106" t="s">
        <v>1141</v>
      </c>
      <c r="S53" s="120"/>
    </row>
    <row r="54" spans="1:19" x14ac:dyDescent="0.25">
      <c r="A54" s="1070"/>
      <c r="B54" s="1433"/>
      <c r="C54" s="1066"/>
      <c r="D54" s="1039"/>
      <c r="E54" s="14"/>
      <c r="F54" s="106"/>
      <c r="G54" s="1039"/>
      <c r="H54" s="14"/>
      <c r="I54" s="106"/>
      <c r="J54" s="1039"/>
      <c r="K54" s="14"/>
      <c r="L54" s="106"/>
      <c r="M54" s="1039" t="s">
        <v>413</v>
      </c>
      <c r="N54" s="14"/>
      <c r="O54" s="106"/>
      <c r="P54" s="1039" t="s">
        <v>413</v>
      </c>
      <c r="Q54" s="14"/>
      <c r="R54" s="106"/>
      <c r="S54" s="120"/>
    </row>
    <row r="55" spans="1:19" x14ac:dyDescent="0.25">
      <c r="A55" s="1068" t="s">
        <v>1158</v>
      </c>
      <c r="B55" s="1433"/>
      <c r="C55" s="1066"/>
      <c r="D55" s="1071"/>
      <c r="E55" s="1071">
        <f>E33</f>
        <v>0</v>
      </c>
      <c r="F55" s="1072">
        <f>F33</f>
        <v>0</v>
      </c>
      <c r="G55" s="1071"/>
      <c r="H55" s="1071">
        <f>H33</f>
        <v>0</v>
      </c>
      <c r="I55" s="1072">
        <f>I33</f>
        <v>0</v>
      </c>
      <c r="J55" s="1071"/>
      <c r="K55" s="1071">
        <f>K33</f>
        <v>0</v>
      </c>
      <c r="L55" s="1072">
        <f>L33</f>
        <v>0</v>
      </c>
      <c r="M55" s="1071"/>
      <c r="N55" s="1071">
        <f>N33</f>
        <v>0</v>
      </c>
      <c r="O55" s="1072">
        <f>O33</f>
        <v>0</v>
      </c>
      <c r="P55" s="1071"/>
      <c r="Q55" s="1071">
        <f>Q33</f>
        <v>0</v>
      </c>
      <c r="R55" s="1072">
        <f>R33</f>
        <v>0</v>
      </c>
      <c r="S55" s="120"/>
    </row>
    <row r="56" spans="1:19" x14ac:dyDescent="0.25">
      <c r="A56" s="1068" t="s">
        <v>1159</v>
      </c>
      <c r="B56" s="1433"/>
      <c r="C56" s="1066"/>
      <c r="D56" s="1073"/>
      <c r="E56" s="1074">
        <f>E37</f>
        <v>0</v>
      </c>
      <c r="F56" s="1074">
        <f>F37</f>
        <v>0</v>
      </c>
      <c r="G56" s="1073"/>
      <c r="H56" s="1074">
        <f>H37</f>
        <v>0</v>
      </c>
      <c r="I56" s="1074">
        <f>I37</f>
        <v>0</v>
      </c>
      <c r="J56" s="1073"/>
      <c r="K56" s="1074">
        <f>K37</f>
        <v>0</v>
      </c>
      <c r="L56" s="1074">
        <f>L37</f>
        <v>0</v>
      </c>
      <c r="M56" s="1073"/>
      <c r="N56" s="1074">
        <f>N37</f>
        <v>0</v>
      </c>
      <c r="O56" s="1074">
        <f>O37</f>
        <v>0</v>
      </c>
      <c r="P56" s="1073"/>
      <c r="Q56" s="1074">
        <f>Q37</f>
        <v>0</v>
      </c>
      <c r="R56" s="1074">
        <f>R37</f>
        <v>0</v>
      </c>
      <c r="S56" s="120"/>
    </row>
    <row r="57" spans="1:19" x14ac:dyDescent="0.25">
      <c r="A57" s="1068" t="s">
        <v>1160</v>
      </c>
      <c r="B57" s="1433"/>
      <c r="C57" s="1066"/>
      <c r="D57" s="1073"/>
      <c r="E57" s="1073">
        <f>-D94*E$19</f>
        <v>0</v>
      </c>
      <c r="F57" s="1073">
        <f>-D94*F$19</f>
        <v>0</v>
      </c>
      <c r="G57" s="1073"/>
      <c r="H57" s="1073">
        <f>-E94*H$19</f>
        <v>0</v>
      </c>
      <c r="I57" s="1073">
        <f>-E94*I$19</f>
        <v>0</v>
      </c>
      <c r="J57" s="1073"/>
      <c r="K57" s="1073">
        <f>-F94*K$19</f>
        <v>0</v>
      </c>
      <c r="L57" s="1073">
        <f>-F94*L$19</f>
        <v>0</v>
      </c>
      <c r="M57" s="1076"/>
      <c r="N57" s="1073">
        <f>-G94*N$19</f>
        <v>0</v>
      </c>
      <c r="O57" s="1073">
        <f>-G94*O$19</f>
        <v>0</v>
      </c>
      <c r="P57" s="1073"/>
      <c r="Q57" s="1073">
        <f>-H94*Q$19</f>
        <v>0</v>
      </c>
      <c r="R57" s="1073">
        <f>-H94*R$19</f>
        <v>0</v>
      </c>
      <c r="S57" s="120"/>
    </row>
    <row r="58" spans="1:19" x14ac:dyDescent="0.25">
      <c r="A58" s="1070" t="s">
        <v>1161</v>
      </c>
      <c r="B58" s="1433"/>
      <c r="C58" s="1066"/>
      <c r="D58" s="1073"/>
      <c r="E58" s="1075">
        <f>SUM(E55:E57)</f>
        <v>0</v>
      </c>
      <c r="F58" s="1075">
        <f>SUM(F55:F57)</f>
        <v>0</v>
      </c>
      <c r="G58" s="1073"/>
      <c r="H58" s="1075">
        <f>SUM(H55:H57)</f>
        <v>0</v>
      </c>
      <c r="I58" s="1075">
        <f>SUM(I55:I57)</f>
        <v>0</v>
      </c>
      <c r="J58" s="1073"/>
      <c r="K58" s="1075">
        <f>SUM(K55:K57)</f>
        <v>0</v>
      </c>
      <c r="L58" s="1075">
        <f>SUM(L55:L57)</f>
        <v>0</v>
      </c>
      <c r="M58" s="1076"/>
      <c r="N58" s="1075">
        <f>SUM(N55:N57)</f>
        <v>0</v>
      </c>
      <c r="O58" s="1075">
        <f>SUM(O55:O57)</f>
        <v>0</v>
      </c>
      <c r="P58" s="1073"/>
      <c r="Q58" s="1075">
        <f>SUM(Q55:Q57)</f>
        <v>0</v>
      </c>
      <c r="R58" s="1075">
        <f>SUM(R55:R57)</f>
        <v>0</v>
      </c>
      <c r="S58" s="120"/>
    </row>
    <row r="59" spans="1:19" x14ac:dyDescent="0.25">
      <c r="A59" s="1068"/>
      <c r="B59" s="1433"/>
      <c r="C59" s="1066"/>
      <c r="D59" s="1073"/>
      <c r="E59" s="1073"/>
      <c r="F59" s="1073"/>
      <c r="G59" s="1073"/>
      <c r="H59" s="1073"/>
      <c r="I59" s="1073"/>
      <c r="J59" s="1073"/>
      <c r="K59" s="1073"/>
      <c r="L59" s="1073"/>
      <c r="M59" s="1076"/>
      <c r="N59" s="1073"/>
      <c r="O59" s="1073"/>
      <c r="P59" s="1073"/>
      <c r="Q59" s="1073"/>
      <c r="R59" s="1073"/>
      <c r="S59" s="120"/>
    </row>
    <row r="60" spans="1:19" x14ac:dyDescent="0.25">
      <c r="A60" s="1068" t="s">
        <v>1162</v>
      </c>
      <c r="B60" s="1066"/>
      <c r="C60" s="1066"/>
      <c r="D60" s="1076"/>
      <c r="E60" s="1105"/>
      <c r="F60" s="1105"/>
      <c r="G60" s="1076"/>
      <c r="H60" s="1105"/>
      <c r="I60" s="1105"/>
      <c r="J60" s="1076"/>
      <c r="K60" s="1105"/>
      <c r="L60" s="1105"/>
      <c r="M60" s="1076"/>
      <c r="N60" s="1105"/>
      <c r="O60" s="1105"/>
      <c r="P60" s="1073"/>
      <c r="Q60" s="1105"/>
      <c r="R60" s="1105"/>
      <c r="S60" s="120"/>
    </row>
    <row r="61" spans="1:19" x14ac:dyDescent="0.25">
      <c r="A61" s="120"/>
      <c r="B61" s="120"/>
      <c r="C61" s="120"/>
      <c r="D61" s="120"/>
      <c r="E61" s="120"/>
      <c r="F61" s="120"/>
      <c r="G61" s="120"/>
      <c r="H61" s="120"/>
      <c r="I61" s="120"/>
      <c r="J61" s="120"/>
      <c r="K61" s="120"/>
      <c r="L61" s="120"/>
      <c r="M61" s="120"/>
      <c r="N61" s="120"/>
      <c r="O61" s="120"/>
      <c r="P61" s="120"/>
      <c r="Q61" s="120"/>
      <c r="R61" s="120"/>
      <c r="S61" s="120"/>
    </row>
    <row r="62" spans="1:19" x14ac:dyDescent="0.25">
      <c r="A62" s="1068" t="s">
        <v>1163</v>
      </c>
      <c r="B62" s="1433"/>
      <c r="C62" s="1066"/>
      <c r="D62" s="1073"/>
      <c r="E62" s="1077">
        <f>E58*E60</f>
        <v>0</v>
      </c>
      <c r="F62" s="1077">
        <f>F58*F60</f>
        <v>0</v>
      </c>
      <c r="G62" s="1073"/>
      <c r="H62" s="1077">
        <f>H58*H60</f>
        <v>0</v>
      </c>
      <c r="I62" s="1077">
        <f>I58*I60</f>
        <v>0</v>
      </c>
      <c r="J62" s="1073"/>
      <c r="K62" s="1077">
        <f>K58*K60</f>
        <v>0</v>
      </c>
      <c r="L62" s="1077">
        <f>L58*L60</f>
        <v>0</v>
      </c>
      <c r="M62" s="1073"/>
      <c r="N62" s="1077">
        <f>N58*N60</f>
        <v>0</v>
      </c>
      <c r="O62" s="1077">
        <f>O58*O60</f>
        <v>0</v>
      </c>
      <c r="P62" s="1073"/>
      <c r="Q62" s="1077">
        <f>Q58*Q60</f>
        <v>0</v>
      </c>
      <c r="R62" s="1077">
        <f>R58*R60</f>
        <v>0</v>
      </c>
      <c r="S62" s="120"/>
    </row>
    <row r="63" spans="1:19" x14ac:dyDescent="0.25">
      <c r="A63" s="1078" t="s">
        <v>1164</v>
      </c>
      <c r="B63" s="1433"/>
      <c r="C63" s="1066"/>
      <c r="D63" s="1079"/>
      <c r="E63" s="1068"/>
      <c r="F63" s="1068"/>
      <c r="G63" s="1079"/>
      <c r="H63" s="1068"/>
      <c r="I63" s="1068"/>
      <c r="J63" s="1079"/>
      <c r="K63" s="1068"/>
      <c r="L63" s="1068"/>
      <c r="M63" s="1079"/>
      <c r="N63" s="1068"/>
      <c r="O63" s="1068"/>
      <c r="P63" s="1079"/>
      <c r="Q63" s="1068"/>
      <c r="R63" s="1068"/>
      <c r="S63" s="120"/>
    </row>
    <row r="64" spans="1:19" x14ac:dyDescent="0.25">
      <c r="A64" s="1068" t="s">
        <v>1163</v>
      </c>
      <c r="B64" s="1433"/>
      <c r="C64" s="1066"/>
      <c r="D64" s="1080"/>
      <c r="E64" s="1081">
        <f>E62/(1-E60)</f>
        <v>0</v>
      </c>
      <c r="F64" s="1081">
        <f>F62/(1-F60)</f>
        <v>0</v>
      </c>
      <c r="G64" s="1080"/>
      <c r="H64" s="1081">
        <f>H62/(1-H60)</f>
        <v>0</v>
      </c>
      <c r="I64" s="1081">
        <f>I62/(1-I60)</f>
        <v>0</v>
      </c>
      <c r="J64" s="1080"/>
      <c r="K64" s="1081">
        <f>K62/(1-K60)</f>
        <v>0</v>
      </c>
      <c r="L64" s="1081">
        <f>L62/(1-L60)</f>
        <v>0</v>
      </c>
      <c r="M64" s="1080"/>
      <c r="N64" s="1081">
        <f>N62/(1-N60)</f>
        <v>0</v>
      </c>
      <c r="O64" s="1081">
        <f>O62/(1-O60)</f>
        <v>0</v>
      </c>
      <c r="P64" s="1080"/>
      <c r="Q64" s="1081">
        <f>Q62/(1-Q60)</f>
        <v>0</v>
      </c>
      <c r="R64" s="1081">
        <f>R62/(1-R60)</f>
        <v>0</v>
      </c>
      <c r="S64" s="120"/>
    </row>
    <row r="65" spans="1:19" x14ac:dyDescent="0.25">
      <c r="A65" s="1070" t="s">
        <v>1165</v>
      </c>
      <c r="B65" s="1433"/>
      <c r="C65" s="1066"/>
      <c r="D65" s="1082"/>
      <c r="E65" s="1083">
        <f>SUM(E64:E64)</f>
        <v>0</v>
      </c>
      <c r="F65" s="1083">
        <f>SUM(F64:F64)</f>
        <v>0</v>
      </c>
      <c r="G65" s="1082"/>
      <c r="H65" s="1083">
        <f>SUM(H64:H64)</f>
        <v>0</v>
      </c>
      <c r="I65" s="1083">
        <f>SUM(I64:I64)</f>
        <v>0</v>
      </c>
      <c r="J65" s="1082"/>
      <c r="K65" s="1083">
        <f>SUM(K64:K64)</f>
        <v>0</v>
      </c>
      <c r="L65" s="1083">
        <f>SUM(L64:L64)</f>
        <v>0</v>
      </c>
      <c r="M65" s="1082"/>
      <c r="N65" s="1083">
        <f>SUM(N64:N64)</f>
        <v>0</v>
      </c>
      <c r="O65" s="1083">
        <f>SUM(O64:O64)</f>
        <v>0</v>
      </c>
      <c r="P65" s="1082"/>
      <c r="Q65" s="1083">
        <f>SUM(Q64:Q64)</f>
        <v>0</v>
      </c>
      <c r="R65" s="1083">
        <f>SUM(R64:R64)</f>
        <v>0</v>
      </c>
      <c r="S65" s="120"/>
    </row>
    <row r="66" spans="1:19" x14ac:dyDescent="0.25">
      <c r="A66" s="120"/>
      <c r="B66" s="1431"/>
      <c r="C66" s="1084"/>
      <c r="D66" s="1084"/>
      <c r="E66" s="1084"/>
      <c r="F66" s="1084"/>
      <c r="G66" s="120"/>
      <c r="H66" s="120"/>
      <c r="I66" s="120"/>
      <c r="J66" s="120"/>
      <c r="K66" s="120"/>
      <c r="L66" s="120"/>
      <c r="M66" s="120"/>
      <c r="N66" s="120"/>
      <c r="O66" s="120"/>
      <c r="P66" s="120"/>
      <c r="Q66" s="120"/>
      <c r="R66" s="120"/>
      <c r="S66" s="120"/>
    </row>
    <row r="67" spans="1:19" ht="15.75" thickBot="1" x14ac:dyDescent="0.3">
      <c r="A67" s="120"/>
      <c r="B67" s="1431"/>
      <c r="C67" s="1084"/>
      <c r="D67" s="1084"/>
      <c r="E67" s="1084"/>
      <c r="F67" s="1084"/>
      <c r="G67" s="120"/>
      <c r="H67" s="120"/>
      <c r="I67" s="120"/>
      <c r="J67"/>
      <c r="K67"/>
      <c r="L67"/>
      <c r="M67"/>
      <c r="N67"/>
      <c r="O67"/>
      <c r="P67"/>
      <c r="Q67"/>
      <c r="R67"/>
      <c r="S67"/>
    </row>
    <row r="68" spans="1:19" ht="16.5" thickBot="1" x14ac:dyDescent="0.3">
      <c r="A68" s="1085"/>
      <c r="B68" s="1085"/>
      <c r="C68" s="1086"/>
      <c r="D68" s="1087">
        <v>2014</v>
      </c>
      <c r="E68" s="1088">
        <v>2015</v>
      </c>
      <c r="F68" s="1088">
        <v>2016</v>
      </c>
      <c r="G68" s="1088">
        <v>2017</v>
      </c>
      <c r="H68" s="1089">
        <v>2018</v>
      </c>
      <c r="I68" s="120"/>
      <c r="J68" s="1090"/>
      <c r="K68" s="69"/>
      <c r="L68" s="69"/>
      <c r="M68" s="69"/>
      <c r="N68" s="69"/>
      <c r="O68" s="69"/>
      <c r="P68"/>
      <c r="Q68"/>
      <c r="R68"/>
      <c r="S68"/>
    </row>
    <row r="69" spans="1:19" x14ac:dyDescent="0.25">
      <c r="A69" s="1091" t="s">
        <v>1166</v>
      </c>
      <c r="B69" s="1092"/>
      <c r="C69" s="1093"/>
      <c r="D69" s="1093"/>
      <c r="E69" s="1093"/>
      <c r="F69" s="475"/>
      <c r="G69" s="1093"/>
      <c r="H69" s="475"/>
      <c r="I69" s="120"/>
      <c r="J69" s="1094"/>
      <c r="K69" s="1095"/>
      <c r="L69" s="475"/>
      <c r="M69" s="475"/>
      <c r="N69" s="69"/>
      <c r="O69" s="69"/>
      <c r="P69" s="69"/>
      <c r="Q69"/>
      <c r="R69"/>
      <c r="S69"/>
    </row>
    <row r="70" spans="1:19" x14ac:dyDescent="0.25">
      <c r="A70" s="1085"/>
      <c r="B70" s="1096" t="s">
        <v>1167</v>
      </c>
      <c r="C70" s="1104">
        <v>25</v>
      </c>
      <c r="D70" s="1074"/>
      <c r="E70" s="1074"/>
      <c r="F70" s="475"/>
      <c r="G70" s="1074"/>
      <c r="H70" s="475"/>
      <c r="I70" s="120"/>
      <c r="J70" s="475"/>
      <c r="K70" s="475"/>
      <c r="L70" s="475"/>
      <c r="M70" s="475"/>
      <c r="N70" s="69"/>
      <c r="O70" s="69"/>
      <c r="P70" s="69"/>
      <c r="Q70"/>
      <c r="R70"/>
      <c r="S70"/>
    </row>
    <row r="71" spans="1:19" x14ac:dyDescent="0.25">
      <c r="A71" s="1085" t="s">
        <v>1168</v>
      </c>
      <c r="B71" s="1085"/>
      <c r="C71" s="1073"/>
      <c r="D71" s="1075"/>
      <c r="E71" s="1075">
        <f>D73</f>
        <v>0</v>
      </c>
      <c r="F71" s="1075">
        <f>E73</f>
        <v>0</v>
      </c>
      <c r="G71" s="1075">
        <f>F73</f>
        <v>0</v>
      </c>
      <c r="H71" s="1075">
        <f>G73</f>
        <v>0</v>
      </c>
      <c r="I71" s="120"/>
      <c r="J71" s="475"/>
      <c r="K71" s="475"/>
      <c r="L71" s="475"/>
      <c r="M71" s="475"/>
      <c r="N71" s="69"/>
      <c r="O71" s="69"/>
      <c r="P71" s="69"/>
      <c r="Q71"/>
      <c r="R71"/>
      <c r="S71"/>
    </row>
    <row r="72" spans="1:19" x14ac:dyDescent="0.25">
      <c r="A72" s="1085" t="s">
        <v>1169</v>
      </c>
      <c r="B72" s="1085"/>
      <c r="C72" s="1097"/>
      <c r="D72" s="1093">
        <f>'App.2-FA Proposed REG Invest.'!C53</f>
        <v>0</v>
      </c>
      <c r="E72" s="1093">
        <f>'App.2-FA Proposed REG Invest.'!D53</f>
        <v>0</v>
      </c>
      <c r="F72" s="1093">
        <f>'App.2-FA Proposed REG Invest.'!E53</f>
        <v>0</v>
      </c>
      <c r="G72" s="1093">
        <f>'App.2-FA Proposed REG Invest.'!F53</f>
        <v>0</v>
      </c>
      <c r="H72" s="1093">
        <f>'App.2-FA Proposed REG Invest.'!G53</f>
        <v>0</v>
      </c>
      <c r="I72" s="120"/>
      <c r="J72" s="475"/>
      <c r="K72" s="475"/>
      <c r="L72" s="475"/>
      <c r="M72" s="1098"/>
      <c r="N72" s="69"/>
      <c r="O72" s="69"/>
      <c r="P72" s="69"/>
      <c r="Q72"/>
      <c r="R72"/>
      <c r="S72"/>
    </row>
    <row r="73" spans="1:19" x14ac:dyDescent="0.25">
      <c r="A73" s="1085" t="s">
        <v>1170</v>
      </c>
      <c r="B73" s="1085"/>
      <c r="C73" s="1073"/>
      <c r="D73" s="1075">
        <f>SUM(D71:D72)</f>
        <v>0</v>
      </c>
      <c r="E73" s="1075">
        <f t="shared" ref="E73:H73" si="5">SUM(E71:E72)</f>
        <v>0</v>
      </c>
      <c r="F73" s="1075">
        <f t="shared" si="5"/>
        <v>0</v>
      </c>
      <c r="G73" s="1075">
        <f t="shared" si="5"/>
        <v>0</v>
      </c>
      <c r="H73" s="1075">
        <f t="shared" si="5"/>
        <v>0</v>
      </c>
      <c r="I73" s="120"/>
      <c r="J73" s="69"/>
      <c r="K73" s="69"/>
      <c r="L73" s="69"/>
      <c r="M73" s="69"/>
      <c r="N73" s="69"/>
      <c r="O73" s="69"/>
      <c r="P73" s="69"/>
      <c r="Q73"/>
      <c r="R73"/>
      <c r="S73"/>
    </row>
    <row r="74" spans="1:19" x14ac:dyDescent="0.25">
      <c r="A74" s="1085"/>
      <c r="B74" s="1085"/>
      <c r="C74" s="1073"/>
      <c r="D74" s="1073"/>
      <c r="E74" s="1074"/>
      <c r="F74" s="475"/>
      <c r="G74" s="1074"/>
      <c r="H74" s="475"/>
      <c r="I74" s="120"/>
      <c r="J74" s="475"/>
      <c r="K74" s="69"/>
      <c r="L74" s="69"/>
      <c r="M74" s="69"/>
      <c r="N74" s="69"/>
      <c r="O74" s="69"/>
      <c r="P74" s="69"/>
      <c r="Q74"/>
      <c r="R74"/>
      <c r="S74"/>
    </row>
    <row r="75" spans="1:19" x14ac:dyDescent="0.25">
      <c r="A75" s="1085" t="s">
        <v>1171</v>
      </c>
      <c r="B75" s="1085"/>
      <c r="C75" s="1073"/>
      <c r="D75" s="1075"/>
      <c r="E75" s="1075">
        <f>D78</f>
        <v>0</v>
      </c>
      <c r="F75" s="1075">
        <f>E78</f>
        <v>0</v>
      </c>
      <c r="G75" s="1075">
        <f>F78</f>
        <v>0</v>
      </c>
      <c r="H75" s="1075">
        <f>G78</f>
        <v>0</v>
      </c>
      <c r="I75" s="120"/>
      <c r="J75" s="475"/>
      <c r="K75" s="69"/>
      <c r="L75" s="69"/>
      <c r="M75" s="69"/>
      <c r="N75" s="69"/>
      <c r="O75" s="69"/>
      <c r="P75" s="69"/>
      <c r="Q75"/>
      <c r="R75"/>
      <c r="S75"/>
    </row>
    <row r="76" spans="1:19" x14ac:dyDescent="0.25">
      <c r="A76" s="1085" t="s">
        <v>1172</v>
      </c>
      <c r="B76" s="1085"/>
      <c r="C76" s="1073"/>
      <c r="D76" s="1099"/>
      <c r="E76" s="1073">
        <f>IF(ISERROR(E71/$C$70), 0, E71/$C$70)</f>
        <v>0</v>
      </c>
      <c r="F76" s="1073">
        <f>IF(ISERROR(F71/$C$70), 0, F71/$C$70)</f>
        <v>0</v>
      </c>
      <c r="G76" s="1073">
        <f>IF(ISERROR(G71/$C$70), 0, G71/$C$70)</f>
        <v>0</v>
      </c>
      <c r="H76" s="1073">
        <f>IF(ISERROR(H71/$C$70), 0, H71/$C$70)</f>
        <v>0</v>
      </c>
      <c r="I76" s="120"/>
      <c r="J76" s="475"/>
      <c r="K76" s="69"/>
      <c r="L76" s="69"/>
      <c r="M76" s="69"/>
      <c r="N76" s="69"/>
      <c r="O76" s="69"/>
      <c r="P76" s="69"/>
      <c r="Q76"/>
      <c r="R76"/>
      <c r="S76"/>
    </row>
    <row r="77" spans="1:19" x14ac:dyDescent="0.25">
      <c r="A77" s="1085" t="s">
        <v>1173</v>
      </c>
      <c r="B77" s="120"/>
      <c r="C77" s="120"/>
      <c r="D77" s="1074">
        <f>D72/C70/2</f>
        <v>0</v>
      </c>
      <c r="E77" s="1074">
        <f>E72/C70/2</f>
        <v>0</v>
      </c>
      <c r="F77" s="1074">
        <f>F72/C70/2</f>
        <v>0</v>
      </c>
      <c r="G77" s="1074">
        <f>G72/C70/2</f>
        <v>0</v>
      </c>
      <c r="H77" s="1074">
        <f>H72/C70/2</f>
        <v>0</v>
      </c>
      <c r="I77" s="120"/>
      <c r="J77" s="475"/>
      <c r="K77" s="69"/>
      <c r="L77" s="69"/>
      <c r="M77" s="69"/>
      <c r="N77" s="69"/>
      <c r="O77" s="69"/>
      <c r="P77" s="69"/>
      <c r="Q77"/>
      <c r="R77"/>
      <c r="S77"/>
    </row>
    <row r="78" spans="1:19" x14ac:dyDescent="0.25">
      <c r="A78" s="1085" t="s">
        <v>1174</v>
      </c>
      <c r="B78" s="1085"/>
      <c r="C78" s="1073"/>
      <c r="D78" s="1075">
        <f>SUM(D75+D77)</f>
        <v>0</v>
      </c>
      <c r="E78" s="1075">
        <f>SUM(E75:E77)</f>
        <v>0</v>
      </c>
      <c r="F78" s="1075">
        <f>SUM(F75:F77)</f>
        <v>0</v>
      </c>
      <c r="G78" s="1075">
        <f>SUM(G75:G77)</f>
        <v>0</v>
      </c>
      <c r="H78" s="1075">
        <f>SUM(H75:H77)</f>
        <v>0</v>
      </c>
      <c r="I78" s="120"/>
      <c r="J78" s="475"/>
      <c r="K78" s="69"/>
      <c r="L78" s="69"/>
      <c r="M78" s="69"/>
      <c r="N78" s="69"/>
      <c r="O78" s="69"/>
      <c r="P78" s="69"/>
      <c r="Q78"/>
      <c r="R78"/>
      <c r="S78"/>
    </row>
    <row r="79" spans="1:19" x14ac:dyDescent="0.25">
      <c r="A79" s="1085"/>
      <c r="B79" s="1085"/>
      <c r="C79" s="1025"/>
      <c r="D79" s="1044"/>
      <c r="E79" s="1074"/>
      <c r="F79" s="1074"/>
      <c r="G79" s="1074"/>
      <c r="H79" s="1074"/>
      <c r="I79" s="120"/>
      <c r="J79" s="475"/>
      <c r="K79" s="69"/>
      <c r="L79" s="1098"/>
      <c r="M79" s="475"/>
      <c r="N79" s="69"/>
      <c r="O79" s="69"/>
      <c r="P79" s="69"/>
      <c r="Q79"/>
      <c r="R79"/>
      <c r="S79"/>
    </row>
    <row r="80" spans="1:19" x14ac:dyDescent="0.25">
      <c r="A80" s="1085" t="s">
        <v>1175</v>
      </c>
      <c r="B80" s="1085"/>
      <c r="C80" s="1073"/>
      <c r="D80" s="1074">
        <f>D71-D75</f>
        <v>0</v>
      </c>
      <c r="E80" s="1074">
        <f>D81</f>
        <v>0</v>
      </c>
      <c r="F80" s="1074">
        <f>E81</f>
        <v>0</v>
      </c>
      <c r="G80" s="1074">
        <f>F81</f>
        <v>0</v>
      </c>
      <c r="H80" s="1074">
        <f>G81</f>
        <v>0</v>
      </c>
      <c r="I80" s="120"/>
      <c r="J80" s="475"/>
      <c r="K80" s="69"/>
      <c r="L80" s="475"/>
      <c r="M80" s="69"/>
      <c r="N80" s="69"/>
      <c r="O80" s="69"/>
      <c r="P80" s="69"/>
      <c r="Q80"/>
      <c r="R80"/>
      <c r="S80"/>
    </row>
    <row r="81" spans="1:19" x14ac:dyDescent="0.25">
      <c r="A81" s="1085" t="s">
        <v>1176</v>
      </c>
      <c r="B81" s="1085"/>
      <c r="C81" s="1073"/>
      <c r="D81" s="1075">
        <f>D73-D78</f>
        <v>0</v>
      </c>
      <c r="E81" s="1075">
        <f>E73-E78</f>
        <v>0</v>
      </c>
      <c r="F81" s="1075">
        <f>F73-F78</f>
        <v>0</v>
      </c>
      <c r="G81" s="1075">
        <f>G73-G78</f>
        <v>0</v>
      </c>
      <c r="H81" s="1075">
        <f>H73-H78</f>
        <v>0</v>
      </c>
      <c r="I81" s="120"/>
      <c r="J81" s="475"/>
      <c r="K81" s="69"/>
      <c r="L81" s="69"/>
      <c r="M81" s="69"/>
      <c r="N81" s="69"/>
      <c r="O81" s="69"/>
      <c r="P81" s="69"/>
      <c r="Q81"/>
      <c r="R81"/>
      <c r="S81"/>
    </row>
    <row r="82" spans="1:19" ht="15.75" thickBot="1" x14ac:dyDescent="0.3">
      <c r="A82" s="1092" t="s">
        <v>1177</v>
      </c>
      <c r="B82" s="1085"/>
      <c r="C82" s="1073"/>
      <c r="D82" s="1100">
        <f>SUM(D80:D81)/2</f>
        <v>0</v>
      </c>
      <c r="E82" s="1100">
        <f>SUM(E80:E81)/2</f>
        <v>0</v>
      </c>
      <c r="F82" s="1100">
        <f>SUM(F80:F81)/2</f>
        <v>0</v>
      </c>
      <c r="G82" s="1100">
        <f>SUM(G80:G81)/2</f>
        <v>0</v>
      </c>
      <c r="H82" s="1100">
        <f>SUM(H80:H81)/2</f>
        <v>0</v>
      </c>
      <c r="I82" s="120"/>
      <c r="J82" s="475"/>
      <c r="K82" s="69"/>
      <c r="L82" s="69"/>
      <c r="M82" s="69"/>
      <c r="N82" s="69"/>
      <c r="O82" s="69"/>
      <c r="P82" s="69"/>
      <c r="Q82"/>
      <c r="R82"/>
      <c r="S82"/>
    </row>
    <row r="83" spans="1:19" x14ac:dyDescent="0.25">
      <c r="A83" s="1085"/>
      <c r="B83" s="1085"/>
      <c r="C83" s="1074"/>
      <c r="D83" s="1074"/>
      <c r="E83" s="1074"/>
      <c r="F83" s="475"/>
      <c r="G83" s="1074"/>
      <c r="H83" s="475"/>
      <c r="I83" s="120"/>
      <c r="J83" s="475"/>
      <c r="K83" s="69"/>
      <c r="L83" s="69"/>
      <c r="M83" s="69"/>
      <c r="N83" s="69"/>
      <c r="O83" s="69"/>
      <c r="P83" s="69"/>
      <c r="Q83"/>
      <c r="R83"/>
      <c r="S83"/>
    </row>
    <row r="84" spans="1:19" ht="15.75" thickBot="1" x14ac:dyDescent="0.3">
      <c r="A84" s="1091" t="s">
        <v>1178</v>
      </c>
      <c r="B84" s="1092"/>
      <c r="C84" s="1074"/>
      <c r="D84" s="1074"/>
      <c r="E84" s="1074"/>
      <c r="F84" s="475"/>
      <c r="G84" s="1074"/>
      <c r="H84" s="475"/>
      <c r="I84" s="120"/>
      <c r="J84" s="475"/>
      <c r="K84" s="69"/>
      <c r="L84" s="69"/>
      <c r="M84" s="69"/>
      <c r="N84" s="69"/>
      <c r="O84" s="69"/>
      <c r="P84" s="69"/>
      <c r="Q84"/>
      <c r="R84"/>
      <c r="S84"/>
    </row>
    <row r="85" spans="1:19" ht="15.75" thickBot="1" x14ac:dyDescent="0.3">
      <c r="A85" s="1092"/>
      <c r="B85" s="475"/>
      <c r="C85" s="1092"/>
      <c r="D85" s="1087">
        <v>2014</v>
      </c>
      <c r="E85" s="1088">
        <v>2015</v>
      </c>
      <c r="F85" s="1088">
        <v>2016</v>
      </c>
      <c r="G85" s="1088">
        <v>2017</v>
      </c>
      <c r="H85" s="1089">
        <v>2018</v>
      </c>
      <c r="I85" s="120"/>
      <c r="J85" s="475"/>
      <c r="K85" s="69"/>
      <c r="L85" s="69"/>
      <c r="M85" s="69"/>
      <c r="N85" s="69"/>
      <c r="O85" s="69"/>
      <c r="P85" s="69"/>
      <c r="Q85"/>
      <c r="R85"/>
      <c r="S85"/>
    </row>
    <row r="86" spans="1:19" x14ac:dyDescent="0.25">
      <c r="A86" s="1085"/>
      <c r="B86" s="475"/>
      <c r="C86" s="1085"/>
      <c r="D86" s="1074"/>
      <c r="E86" s="1074"/>
      <c r="F86" s="1074"/>
      <c r="G86" s="1074"/>
      <c r="H86" s="1074"/>
      <c r="I86" s="120"/>
      <c r="J86" s="475"/>
      <c r="K86" s="69"/>
      <c r="L86" s="69"/>
      <c r="M86" s="69"/>
      <c r="N86" s="69"/>
      <c r="O86" s="69"/>
      <c r="P86" s="69"/>
      <c r="Q86"/>
      <c r="R86"/>
      <c r="S86"/>
    </row>
    <row r="87" spans="1:19" x14ac:dyDescent="0.25">
      <c r="A87" s="1085" t="s">
        <v>1179</v>
      </c>
      <c r="B87" s="475"/>
      <c r="C87" s="1085"/>
      <c r="D87" s="1075"/>
      <c r="E87" s="1075">
        <f>D95</f>
        <v>0</v>
      </c>
      <c r="F87" s="1075">
        <f>E95</f>
        <v>0</v>
      </c>
      <c r="G87" s="1075">
        <f>F95</f>
        <v>0</v>
      </c>
      <c r="H87" s="1075">
        <f>G95</f>
        <v>0</v>
      </c>
      <c r="I87" s="120"/>
      <c r="J87" s="475"/>
      <c r="K87" s="69"/>
      <c r="L87" s="69"/>
      <c r="M87" s="69"/>
      <c r="N87" s="69"/>
      <c r="O87" s="69"/>
      <c r="P87" s="69"/>
      <c r="Q87"/>
      <c r="R87"/>
      <c r="S87"/>
    </row>
    <row r="88" spans="1:19" x14ac:dyDescent="0.25">
      <c r="A88" s="1085" t="s">
        <v>1180</v>
      </c>
      <c r="B88" s="475"/>
      <c r="C88" s="1085"/>
      <c r="D88" s="1074">
        <f>D72</f>
        <v>0</v>
      </c>
      <c r="E88" s="1074">
        <f>'App.2-FA Proposed REG Invest.'!D31</f>
        <v>0</v>
      </c>
      <c r="F88" s="1074">
        <f>'App.2-FA Proposed REG Invest.'!E31</f>
        <v>0</v>
      </c>
      <c r="G88" s="1074">
        <f>'App.2-FA Proposed REG Invest.'!F31</f>
        <v>0</v>
      </c>
      <c r="H88" s="1074">
        <f>'App.2-FA Proposed REG Invest.'!G31</f>
        <v>0</v>
      </c>
      <c r="I88" s="120"/>
      <c r="J88" s="475"/>
      <c r="K88" s="69"/>
      <c r="L88" s="1098"/>
      <c r="M88" s="475"/>
      <c r="N88" s="69"/>
      <c r="O88" s="69"/>
      <c r="P88" s="69"/>
      <c r="Q88"/>
      <c r="R88"/>
      <c r="S88"/>
    </row>
    <row r="89" spans="1:19" x14ac:dyDescent="0.25">
      <c r="A89" s="1085" t="s">
        <v>1181</v>
      </c>
      <c r="B89" s="475"/>
      <c r="C89" s="1085"/>
      <c r="D89" s="1075">
        <f>SUM(D87:D88)</f>
        <v>0</v>
      </c>
      <c r="E89" s="1075">
        <f>SUM(E87:E88)</f>
        <v>0</v>
      </c>
      <c r="F89" s="1075">
        <f>SUM(F87:F88)</f>
        <v>0</v>
      </c>
      <c r="G89" s="1075">
        <f>SUM(G87:G88)</f>
        <v>0</v>
      </c>
      <c r="H89" s="1075">
        <f>SUM(H87:H88)</f>
        <v>0</v>
      </c>
      <c r="I89" s="120"/>
      <c r="J89" s="475"/>
      <c r="K89" s="69"/>
      <c r="L89" s="475"/>
      <c r="M89" s="69"/>
      <c r="N89" s="69"/>
      <c r="O89" s="69"/>
      <c r="P89" s="69"/>
      <c r="Q89"/>
      <c r="R89"/>
      <c r="S89"/>
    </row>
    <row r="90" spans="1:19" x14ac:dyDescent="0.25">
      <c r="A90" s="1085" t="s">
        <v>1182</v>
      </c>
      <c r="B90" s="475"/>
      <c r="C90" s="1085"/>
      <c r="D90" s="1074">
        <f>D88/2</f>
        <v>0</v>
      </c>
      <c r="E90" s="1074">
        <f>E88/2</f>
        <v>0</v>
      </c>
      <c r="F90" s="1074">
        <f>F88/2</f>
        <v>0</v>
      </c>
      <c r="G90" s="1074">
        <f>G88/2</f>
        <v>0</v>
      </c>
      <c r="H90" s="1074">
        <f>H88/2</f>
        <v>0</v>
      </c>
      <c r="I90" s="120"/>
      <c r="J90" s="475"/>
      <c r="K90" s="69"/>
      <c r="L90" s="69"/>
      <c r="M90" s="69"/>
      <c r="N90" s="69"/>
      <c r="O90" s="69"/>
      <c r="P90" s="69"/>
      <c r="Q90"/>
      <c r="R90"/>
      <c r="S90"/>
    </row>
    <row r="91" spans="1:19" x14ac:dyDescent="0.25">
      <c r="A91" s="1085" t="s">
        <v>1183</v>
      </c>
      <c r="B91" s="475"/>
      <c r="C91" s="1085"/>
      <c r="D91" s="1075">
        <f>D89-D90</f>
        <v>0</v>
      </c>
      <c r="E91" s="1075">
        <f>E89-E90</f>
        <v>0</v>
      </c>
      <c r="F91" s="1075">
        <f>F89-F90</f>
        <v>0</v>
      </c>
      <c r="G91" s="1075">
        <f>G89-G90</f>
        <v>0</v>
      </c>
      <c r="H91" s="1075">
        <f>H89-H90</f>
        <v>0</v>
      </c>
      <c r="I91" s="120"/>
      <c r="J91" s="69"/>
      <c r="K91" s="69"/>
      <c r="L91" s="69"/>
      <c r="M91" s="69"/>
      <c r="N91" s="69"/>
      <c r="O91" s="69"/>
      <c r="P91" s="69"/>
      <c r="Q91"/>
      <c r="R91"/>
      <c r="S91"/>
    </row>
    <row r="92" spans="1:19" x14ac:dyDescent="0.25">
      <c r="A92" s="1085" t="s">
        <v>1184</v>
      </c>
      <c r="B92" s="475"/>
      <c r="C92" s="1102">
        <v>47</v>
      </c>
      <c r="D92" s="1102">
        <f>C92</f>
        <v>47</v>
      </c>
      <c r="E92" s="1102">
        <f>C92</f>
        <v>47</v>
      </c>
      <c r="F92" s="1102">
        <f>C92</f>
        <v>47</v>
      </c>
      <c r="G92" s="1102">
        <f>C92</f>
        <v>47</v>
      </c>
      <c r="H92" s="1102">
        <f>C92</f>
        <v>47</v>
      </c>
      <c r="I92" s="120"/>
      <c r="J92" s="69"/>
      <c r="K92" s="69"/>
      <c r="L92" s="69"/>
      <c r="M92" s="69"/>
      <c r="N92" s="69"/>
      <c r="O92" s="69"/>
      <c r="P92" s="69"/>
      <c r="Q92"/>
      <c r="R92"/>
      <c r="S92"/>
    </row>
    <row r="93" spans="1:19" x14ac:dyDescent="0.25">
      <c r="A93" s="1085" t="s">
        <v>1185</v>
      </c>
      <c r="B93" s="475"/>
      <c r="C93" s="1103">
        <v>0.08</v>
      </c>
      <c r="D93" s="1103">
        <f>C93</f>
        <v>0.08</v>
      </c>
      <c r="E93" s="1103">
        <f>C93</f>
        <v>0.08</v>
      </c>
      <c r="F93" s="1103">
        <f>C93</f>
        <v>0.08</v>
      </c>
      <c r="G93" s="1103">
        <f>C93</f>
        <v>0.08</v>
      </c>
      <c r="H93" s="1103">
        <f>C93</f>
        <v>0.08</v>
      </c>
      <c r="I93" s="120"/>
      <c r="J93" s="475"/>
      <c r="K93" s="69"/>
      <c r="L93" s="69"/>
      <c r="M93" s="69"/>
      <c r="N93" s="69"/>
      <c r="O93" s="69"/>
      <c r="P93" s="69"/>
      <c r="Q93"/>
      <c r="R93"/>
      <c r="S93"/>
    </row>
    <row r="94" spans="1:19" x14ac:dyDescent="0.25">
      <c r="A94" s="1085" t="s">
        <v>1186</v>
      </c>
      <c r="B94" s="475"/>
      <c r="C94" s="1085"/>
      <c r="D94" s="1075">
        <f>D91*D93</f>
        <v>0</v>
      </c>
      <c r="E94" s="1075">
        <f t="shared" ref="E94:G94" si="6">E91*E93</f>
        <v>0</v>
      </c>
      <c r="F94" s="1075">
        <f t="shared" si="6"/>
        <v>0</v>
      </c>
      <c r="G94" s="1075">
        <f t="shared" si="6"/>
        <v>0</v>
      </c>
      <c r="H94" s="1075">
        <f>H91*H93</f>
        <v>0</v>
      </c>
      <c r="I94" s="120"/>
      <c r="J94" s="475"/>
      <c r="K94" s="69"/>
      <c r="L94" s="69"/>
      <c r="M94" s="69"/>
      <c r="N94" s="69"/>
      <c r="O94" s="69"/>
      <c r="P94" s="69"/>
      <c r="Q94"/>
      <c r="R94"/>
      <c r="S94"/>
    </row>
    <row r="95" spans="1:19" ht="15.75" thickBot="1" x14ac:dyDescent="0.3">
      <c r="A95" s="1092" t="s">
        <v>1187</v>
      </c>
      <c r="B95" s="475"/>
      <c r="C95" s="1085"/>
      <c r="D95" s="1100">
        <f>D89-D94</f>
        <v>0</v>
      </c>
      <c r="E95" s="1100">
        <f>E89-E94</f>
        <v>0</v>
      </c>
      <c r="F95" s="1100">
        <f>F89-F94</f>
        <v>0</v>
      </c>
      <c r="G95" s="1100">
        <f>G89-G94</f>
        <v>0</v>
      </c>
      <c r="H95" s="1100">
        <f>H89-H94</f>
        <v>0</v>
      </c>
      <c r="I95" s="120"/>
      <c r="J95" s="475"/>
      <c r="K95" s="69"/>
      <c r="L95" s="69"/>
      <c r="M95" s="69"/>
      <c r="N95" s="69"/>
      <c r="O95" s="69"/>
      <c r="P95" s="69"/>
      <c r="Q95"/>
      <c r="R95"/>
      <c r="S95"/>
    </row>
  </sheetData>
  <mergeCells count="18">
    <mergeCell ref="P17:R17"/>
    <mergeCell ref="A14:G14"/>
    <mergeCell ref="A9:G9"/>
    <mergeCell ref="A10:G10"/>
    <mergeCell ref="A12:G12"/>
    <mergeCell ref="A13:G13"/>
    <mergeCell ref="A47:L47"/>
    <mergeCell ref="D17:F17"/>
    <mergeCell ref="G17:I17"/>
    <mergeCell ref="J17:L17"/>
    <mergeCell ref="M17:O17"/>
    <mergeCell ref="N52:O52"/>
    <mergeCell ref="Q52:R52"/>
    <mergeCell ref="A49:L49"/>
    <mergeCell ref="A50:B50"/>
    <mergeCell ref="E52:F52"/>
    <mergeCell ref="H52:I52"/>
    <mergeCell ref="K52:L52"/>
  </mergeCells>
  <dataValidations disablePrompts="1" count="1">
    <dataValidation allowBlank="1" showInputMessage="1" showErrorMessage="1" promptTitle="Date Format" prompt="E.g:  &quot;August 1, 2011&quot;"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dataValidations>
  <pageMargins left="0.7" right="0.7" top="0.75" bottom="0.75" header="0.3" footer="0.3"/>
  <pageSetup scale="3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R113"/>
  <sheetViews>
    <sheetView showGridLines="0" topLeftCell="A19" workbookViewId="0">
      <selection activeCell="E2" sqref="E2"/>
    </sheetView>
  </sheetViews>
  <sheetFormatPr defaultRowHeight="12.75" x14ac:dyDescent="0.2"/>
  <cols>
    <col min="1" max="1" width="54.28515625" customWidth="1"/>
    <col min="2" max="2" width="14.7109375" customWidth="1"/>
    <col min="3" max="3" width="12.7109375" customWidth="1"/>
    <col min="4" max="18" width="14.7109375" customWidth="1"/>
  </cols>
  <sheetData>
    <row r="1" spans="1:18" s="265" customFormat="1" ht="15" x14ac:dyDescent="0.25">
      <c r="A1" s="216"/>
      <c r="B1" s="216"/>
      <c r="C1" s="216"/>
      <c r="E1" s="14" t="s">
        <v>419</v>
      </c>
      <c r="F1" s="1435" t="str">
        <f>EBNUMBER</f>
        <v>EB-2014-0113</v>
      </c>
    </row>
    <row r="2" spans="1:18" s="265" customFormat="1" ht="15" x14ac:dyDescent="0.25">
      <c r="A2" s="216"/>
      <c r="B2" s="216"/>
      <c r="C2" s="216"/>
      <c r="E2" s="14" t="s">
        <v>420</v>
      </c>
      <c r="F2" s="209"/>
    </row>
    <row r="3" spans="1:18" s="265" customFormat="1" ht="15" x14ac:dyDescent="0.25">
      <c r="A3" s="216"/>
      <c r="B3" s="216"/>
      <c r="C3" s="216"/>
      <c r="E3" s="14" t="s">
        <v>421</v>
      </c>
      <c r="F3" s="209"/>
    </row>
    <row r="4" spans="1:18" s="265" customFormat="1" ht="15" x14ac:dyDescent="0.25">
      <c r="A4" s="216"/>
      <c r="B4" s="216"/>
      <c r="C4" s="216"/>
      <c r="E4" s="14" t="s">
        <v>422</v>
      </c>
      <c r="F4" s="209"/>
    </row>
    <row r="5" spans="1:18" s="265" customFormat="1" ht="15" x14ac:dyDescent="0.25">
      <c r="A5" s="216"/>
      <c r="B5" s="216"/>
      <c r="C5" s="216"/>
      <c r="E5" s="14" t="s">
        <v>423</v>
      </c>
      <c r="F5" s="210"/>
    </row>
    <row r="6" spans="1:18" s="265" customFormat="1" ht="15" x14ac:dyDescent="0.25">
      <c r="A6" s="216"/>
      <c r="B6" s="216"/>
      <c r="C6" s="216"/>
      <c r="E6" s="14"/>
      <c r="F6" s="208"/>
    </row>
    <row r="7" spans="1:18" s="265" customFormat="1" ht="15" x14ac:dyDescent="0.25">
      <c r="A7" s="216"/>
      <c r="B7" s="216"/>
      <c r="C7" s="216"/>
      <c r="E7" s="14" t="s">
        <v>424</v>
      </c>
      <c r="F7" s="210"/>
    </row>
    <row r="8" spans="1:18" s="265" customFormat="1" ht="15" x14ac:dyDescent="0.25">
      <c r="A8" s="236"/>
      <c r="B8" s="236"/>
      <c r="C8" s="236"/>
      <c r="D8" s="236"/>
      <c r="E8" s="236"/>
      <c r="F8" s="236"/>
      <c r="G8" s="236"/>
      <c r="H8" s="809"/>
      <c r="I8" s="809"/>
      <c r="J8" s="809"/>
    </row>
    <row r="9" spans="1:18" s="265" customFormat="1" ht="18" x14ac:dyDescent="0.25">
      <c r="A9" s="1856" t="s">
        <v>1189</v>
      </c>
      <c r="B9" s="1856"/>
      <c r="C9" s="1856"/>
      <c r="D9" s="1856"/>
      <c r="E9" s="1856"/>
      <c r="F9" s="1856"/>
      <c r="G9" s="903"/>
      <c r="H9" s="903"/>
      <c r="I9" s="809"/>
      <c r="J9" s="809"/>
    </row>
    <row r="10" spans="1:18" s="265" customFormat="1" ht="39.75" customHeight="1" x14ac:dyDescent="0.25">
      <c r="A10" s="1809" t="s">
        <v>1190</v>
      </c>
      <c r="B10" s="1809"/>
      <c r="C10" s="1809"/>
      <c r="D10" s="1809"/>
      <c r="E10" s="1809"/>
      <c r="F10" s="1809"/>
      <c r="G10" s="903"/>
      <c r="H10" s="903"/>
      <c r="I10" s="809"/>
      <c r="J10" s="809"/>
    </row>
    <row r="11" spans="1:18" s="265" customFormat="1" ht="12.75" customHeight="1" x14ac:dyDescent="0.25">
      <c r="A11" s="903"/>
      <c r="B11" s="903"/>
      <c r="C11" s="903"/>
      <c r="D11" s="903"/>
      <c r="E11" s="903"/>
      <c r="F11" s="903"/>
      <c r="G11" s="903"/>
      <c r="H11" s="903"/>
      <c r="I11" s="809"/>
      <c r="J11" s="809"/>
    </row>
    <row r="12" spans="1:18" x14ac:dyDescent="0.2">
      <c r="A12" s="2008" t="s">
        <v>1191</v>
      </c>
      <c r="B12" s="2008"/>
      <c r="C12" s="2008"/>
      <c r="D12" s="2008"/>
      <c r="E12" s="2008"/>
      <c r="F12" s="2008"/>
    </row>
    <row r="13" spans="1:18" ht="28.5" customHeight="1" x14ac:dyDescent="0.2">
      <c r="A13" s="2009" t="s">
        <v>1137</v>
      </c>
      <c r="B13" s="2009"/>
      <c r="C13" s="2009"/>
      <c r="D13" s="2009"/>
      <c r="E13" s="2009"/>
      <c r="F13" s="2009"/>
    </row>
    <row r="14" spans="1:18" x14ac:dyDescent="0.2">
      <c r="A14" s="2008" t="s">
        <v>1192</v>
      </c>
      <c r="B14" s="2008"/>
      <c r="C14" s="2008"/>
      <c r="D14" s="2008"/>
      <c r="E14" s="2008"/>
      <c r="F14" s="2008"/>
    </row>
    <row r="15" spans="1:18" ht="15" x14ac:dyDescent="0.2">
      <c r="B15" s="1108"/>
    </row>
    <row r="16" spans="1:18" ht="13.5" thickBot="1" x14ac:dyDescent="0.25">
      <c r="A16" s="1037"/>
      <c r="B16" s="1109"/>
      <c r="C16" s="1109"/>
      <c r="D16" s="475"/>
      <c r="E16" s="475"/>
      <c r="F16" s="475"/>
      <c r="G16" s="475"/>
      <c r="H16" s="1110"/>
      <c r="I16" s="475"/>
      <c r="J16" s="475"/>
      <c r="K16" s="1110"/>
      <c r="L16" s="475"/>
      <c r="M16" s="475"/>
      <c r="N16" s="475"/>
      <c r="O16" s="475"/>
      <c r="P16" s="475"/>
      <c r="Q16" s="1110"/>
      <c r="R16" s="475"/>
    </row>
    <row r="17" spans="1:18" ht="13.5" thickBot="1" x14ac:dyDescent="0.25">
      <c r="A17" s="1037"/>
      <c r="B17" s="1037"/>
      <c r="C17" s="1037"/>
      <c r="D17" s="2002" t="s">
        <v>1139</v>
      </c>
      <c r="E17" s="2003"/>
      <c r="F17" s="2004"/>
      <c r="G17" s="2002">
        <v>2015</v>
      </c>
      <c r="H17" s="2003"/>
      <c r="I17" s="2004"/>
      <c r="J17" s="2002">
        <v>2016</v>
      </c>
      <c r="K17" s="2003">
        <v>2016</v>
      </c>
      <c r="L17" s="2004"/>
      <c r="M17" s="2002">
        <v>2017</v>
      </c>
      <c r="N17" s="2003"/>
      <c r="O17" s="2004"/>
      <c r="P17" s="2002">
        <v>2018</v>
      </c>
      <c r="Q17" s="2003"/>
      <c r="R17" s="2004"/>
    </row>
    <row r="18" spans="1:18" x14ac:dyDescent="0.2">
      <c r="A18" s="120"/>
      <c r="B18" s="120"/>
      <c r="C18" s="120"/>
      <c r="D18" s="120"/>
      <c r="E18" s="14" t="s">
        <v>1140</v>
      </c>
      <c r="F18" s="106" t="s">
        <v>1141</v>
      </c>
      <c r="G18" s="120"/>
      <c r="H18" s="14" t="s">
        <v>1140</v>
      </c>
      <c r="I18" s="106" t="s">
        <v>1141</v>
      </c>
      <c r="J18" s="120"/>
      <c r="K18" s="14" t="s">
        <v>1140</v>
      </c>
      <c r="L18" s="106" t="s">
        <v>1141</v>
      </c>
      <c r="M18" s="120"/>
      <c r="N18" s="14" t="s">
        <v>1140</v>
      </c>
      <c r="O18" s="106" t="s">
        <v>1141</v>
      </c>
      <c r="P18" s="120"/>
      <c r="Q18" s="14" t="s">
        <v>1140</v>
      </c>
      <c r="R18" s="106" t="s">
        <v>1141</v>
      </c>
    </row>
    <row r="19" spans="1:18" s="69" customFormat="1" x14ac:dyDescent="0.2">
      <c r="A19" s="1112"/>
      <c r="B19" s="1039"/>
      <c r="C19" s="1039"/>
      <c r="D19" s="1039" t="s">
        <v>413</v>
      </c>
      <c r="E19" s="1040">
        <v>0.17</v>
      </c>
      <c r="F19" s="1040">
        <v>0.83</v>
      </c>
      <c r="G19" s="1039" t="s">
        <v>413</v>
      </c>
      <c r="H19" s="1040">
        <v>0.17</v>
      </c>
      <c r="I19" s="1040">
        <v>0.83</v>
      </c>
      <c r="J19" s="1039" t="s">
        <v>413</v>
      </c>
      <c r="K19" s="1040">
        <v>0.17</v>
      </c>
      <c r="L19" s="1040">
        <v>0.83</v>
      </c>
      <c r="M19" s="1039" t="s">
        <v>413</v>
      </c>
      <c r="N19" s="1040">
        <v>0.17</v>
      </c>
      <c r="O19" s="1040">
        <v>0.83</v>
      </c>
      <c r="P19" s="1039" t="s">
        <v>413</v>
      </c>
      <c r="Q19" s="1040">
        <v>0.17</v>
      </c>
      <c r="R19" s="1040">
        <v>0.83</v>
      </c>
    </row>
    <row r="20" spans="1:18" x14ac:dyDescent="0.2">
      <c r="A20" s="14" t="s">
        <v>1142</v>
      </c>
      <c r="B20" s="1041"/>
      <c r="C20" s="120"/>
      <c r="D20" s="1042">
        <f>D81</f>
        <v>0</v>
      </c>
      <c r="E20" s="1015">
        <f>D20*E19</f>
        <v>0</v>
      </c>
      <c r="F20" s="1043">
        <f>D20*F19</f>
        <v>0</v>
      </c>
      <c r="G20" s="1042">
        <f>E81</f>
        <v>0</v>
      </c>
      <c r="H20" s="1015">
        <f>G20*H19</f>
        <v>0</v>
      </c>
      <c r="I20" s="1043">
        <f>G20*I19</f>
        <v>0</v>
      </c>
      <c r="J20" s="1044">
        <f>F81</f>
        <v>0</v>
      </c>
      <c r="K20" s="1015">
        <f>J20*K19</f>
        <v>0</v>
      </c>
      <c r="L20" s="1043">
        <f>J20*L19</f>
        <v>0</v>
      </c>
      <c r="M20" s="1044">
        <f>G81</f>
        <v>0</v>
      </c>
      <c r="N20" s="1015">
        <f>M20*N19</f>
        <v>0</v>
      </c>
      <c r="O20" s="1043">
        <f>M20*O19</f>
        <v>0</v>
      </c>
      <c r="P20" s="1044">
        <f>H81</f>
        <v>0</v>
      </c>
      <c r="Q20" s="1015">
        <f>P20*Q19</f>
        <v>0</v>
      </c>
      <c r="R20" s="1043">
        <f>P20*R19</f>
        <v>0</v>
      </c>
    </row>
    <row r="21" spans="1:18" x14ac:dyDescent="0.2">
      <c r="A21" s="120" t="s">
        <v>1188</v>
      </c>
      <c r="B21" s="1045"/>
      <c r="C21" s="120"/>
      <c r="D21" s="1016">
        <f>'App.2-FA Proposed REG Invest.'!C$92</f>
        <v>0</v>
      </c>
      <c r="E21" s="1046">
        <f>D21</f>
        <v>0</v>
      </c>
      <c r="F21" s="1113"/>
      <c r="G21" s="1016">
        <f>'App.2-FA Proposed REG Invest.'!D$92</f>
        <v>0</v>
      </c>
      <c r="H21" s="1046">
        <f>G21</f>
        <v>0</v>
      </c>
      <c r="I21" s="1113"/>
      <c r="J21" s="1016">
        <f>'App.2-FA Proposed REG Invest.'!E$92</f>
        <v>0</v>
      </c>
      <c r="K21" s="1046">
        <f>J21</f>
        <v>0</v>
      </c>
      <c r="L21" s="1113"/>
      <c r="M21" s="1016">
        <f>'App.2-FA Proposed REG Invest.'!F$92</f>
        <v>0</v>
      </c>
      <c r="N21" s="1046">
        <f>M21</f>
        <v>0</v>
      </c>
      <c r="O21" s="1113"/>
      <c r="P21" s="1016">
        <f>'App.2-FA Proposed REG Invest.'!G$92</f>
        <v>0</v>
      </c>
      <c r="Q21" s="1046">
        <f>P21</f>
        <v>0</v>
      </c>
      <c r="R21" s="1113"/>
    </row>
    <row r="22" spans="1:18" x14ac:dyDescent="0.2">
      <c r="A22" s="120" t="s">
        <v>1143</v>
      </c>
      <c r="B22" s="1045"/>
      <c r="C22" s="120"/>
      <c r="D22" s="1016">
        <f>'App.2-FA Proposed REG Invest.'!C$91</f>
        <v>0</v>
      </c>
      <c r="E22" s="1046">
        <f>D22*E19</f>
        <v>0</v>
      </c>
      <c r="F22" s="1046">
        <f>D22*F19</f>
        <v>0</v>
      </c>
      <c r="G22" s="1016">
        <f>'App.2-FA Proposed REG Invest.'!D$91</f>
        <v>0</v>
      </c>
      <c r="H22" s="1046">
        <f>G22*H19</f>
        <v>0</v>
      </c>
      <c r="I22" s="1046">
        <f>G22*I19</f>
        <v>0</v>
      </c>
      <c r="J22" s="1016">
        <f>'App.2-FA Proposed REG Invest.'!E$91</f>
        <v>0</v>
      </c>
      <c r="K22" s="1046">
        <f>J22*K19</f>
        <v>0</v>
      </c>
      <c r="L22" s="1046">
        <f>J22*L19</f>
        <v>0</v>
      </c>
      <c r="M22" s="1016">
        <f>'App.2-FA Proposed REG Invest.'!F$91</f>
        <v>0</v>
      </c>
      <c r="N22" s="1046">
        <f>M22*N19</f>
        <v>0</v>
      </c>
      <c r="O22" s="1046">
        <f>M22*O19</f>
        <v>0</v>
      </c>
      <c r="P22" s="1016">
        <f>'App.2-FA Proposed REG Invest.'!G$91</f>
        <v>0</v>
      </c>
      <c r="Q22" s="1046">
        <f>P22*Q19</f>
        <v>0</v>
      </c>
      <c r="R22" s="1046">
        <f>P22*R19</f>
        <v>0</v>
      </c>
    </row>
    <row r="23" spans="1:18" x14ac:dyDescent="0.2">
      <c r="A23" s="120" t="s">
        <v>1144</v>
      </c>
      <c r="B23" s="1107"/>
      <c r="C23" s="1048"/>
      <c r="D23" s="1049"/>
      <c r="E23" s="1050">
        <f>(E21+E22)*$B$23</f>
        <v>0</v>
      </c>
      <c r="F23" s="1051">
        <f>F22*$B$23</f>
        <v>0</v>
      </c>
      <c r="G23" s="1049"/>
      <c r="H23" s="1050">
        <f>(H21+H22)*$B$23</f>
        <v>0</v>
      </c>
      <c r="I23" s="1051">
        <f>I22*$B$23</f>
        <v>0</v>
      </c>
      <c r="J23" s="1049"/>
      <c r="K23" s="1050">
        <f>(K21+K22)*$B$23</f>
        <v>0</v>
      </c>
      <c r="L23" s="1051">
        <f>L22*$B$23</f>
        <v>0</v>
      </c>
      <c r="M23" s="1049"/>
      <c r="N23" s="1050">
        <f>(N21+N22)*$B$23</f>
        <v>0</v>
      </c>
      <c r="O23" s="1051">
        <f>O22*$B$23</f>
        <v>0</v>
      </c>
      <c r="P23" s="1049"/>
      <c r="Q23" s="1050">
        <f>(Q21+Q22)*$B$23</f>
        <v>0</v>
      </c>
      <c r="R23" s="1051">
        <f>R22*$B$23</f>
        <v>0</v>
      </c>
    </row>
    <row r="24" spans="1:18" x14ac:dyDescent="0.2">
      <c r="A24" s="14" t="s">
        <v>904</v>
      </c>
      <c r="B24" s="120"/>
      <c r="C24" s="1048"/>
      <c r="D24" s="120"/>
      <c r="E24" s="1047">
        <f>SUM(E20+E23)</f>
        <v>0</v>
      </c>
      <c r="F24" s="1047">
        <f>SUM(F20+F23)</f>
        <v>0</v>
      </c>
      <c r="G24" s="120"/>
      <c r="H24" s="1047">
        <f>SUM(H20+H23)</f>
        <v>0</v>
      </c>
      <c r="I24" s="1047">
        <f>SUM(I20+I23)</f>
        <v>0</v>
      </c>
      <c r="J24" s="120"/>
      <c r="K24" s="1047">
        <f>SUM(K20+K23)</f>
        <v>0</v>
      </c>
      <c r="L24" s="1047">
        <f>SUM(L20+L23)</f>
        <v>0</v>
      </c>
      <c r="M24" s="120"/>
      <c r="N24" s="1047">
        <f>SUM(N20+N23)</f>
        <v>0</v>
      </c>
      <c r="O24" s="1047">
        <f>SUM(O20+O23)</f>
        <v>0</v>
      </c>
      <c r="P24" s="120"/>
      <c r="Q24" s="1047">
        <f>SUM(Q20+Q23)</f>
        <v>0</v>
      </c>
      <c r="R24" s="1047">
        <f>SUM(R20+R23)</f>
        <v>0</v>
      </c>
    </row>
    <row r="25" spans="1:18" x14ac:dyDescent="0.2">
      <c r="A25" s="120"/>
      <c r="B25" s="120"/>
      <c r="C25" s="120"/>
      <c r="D25" s="120"/>
      <c r="E25" s="120"/>
      <c r="F25" s="120"/>
      <c r="G25" s="120"/>
      <c r="H25" s="120"/>
      <c r="I25" s="120"/>
      <c r="J25" s="120"/>
      <c r="K25" s="120"/>
      <c r="L25" s="120"/>
      <c r="M25" s="120"/>
      <c r="N25" s="120"/>
      <c r="O25" s="120"/>
      <c r="P25" s="120"/>
      <c r="Q25" s="120"/>
      <c r="R25" s="120"/>
    </row>
    <row r="26" spans="1:18" x14ac:dyDescent="0.2">
      <c r="A26" s="120"/>
      <c r="B26" s="120"/>
      <c r="C26" s="120"/>
      <c r="D26" s="120"/>
      <c r="E26" s="120"/>
      <c r="F26" s="120"/>
      <c r="G26" s="120"/>
      <c r="H26" s="120"/>
      <c r="I26" s="120"/>
      <c r="J26" s="120"/>
      <c r="K26" s="120"/>
      <c r="L26" s="120"/>
      <c r="M26" s="120"/>
      <c r="N26" s="120"/>
      <c r="O26" s="120"/>
      <c r="P26" s="120"/>
      <c r="Q26" s="120"/>
      <c r="R26" s="120"/>
    </row>
    <row r="27" spans="1:18" x14ac:dyDescent="0.2">
      <c r="A27" s="120" t="s">
        <v>1145</v>
      </c>
      <c r="B27" s="1107"/>
      <c r="C27" s="1048"/>
      <c r="D27" s="1041"/>
      <c r="E27" s="1047">
        <f>E24*$B$27</f>
        <v>0</v>
      </c>
      <c r="F27" s="1047">
        <f>F24*$B$27</f>
        <v>0</v>
      </c>
      <c r="G27" s="1041"/>
      <c r="H27" s="1047">
        <f>H24*$B$27</f>
        <v>0</v>
      </c>
      <c r="I27" s="1047">
        <f>I24*$B$27</f>
        <v>0</v>
      </c>
      <c r="J27" s="1041"/>
      <c r="K27" s="1047">
        <f>K24*$B$27</f>
        <v>0</v>
      </c>
      <c r="L27" s="1047">
        <f>L24*$B$27</f>
        <v>0</v>
      </c>
      <c r="M27" s="1041"/>
      <c r="N27" s="1047">
        <f>N24*$B$27</f>
        <v>0</v>
      </c>
      <c r="O27" s="1047">
        <f>O24*$B$27</f>
        <v>0</v>
      </c>
      <c r="P27" s="1041"/>
      <c r="Q27" s="1047">
        <f>Q24*$B$27</f>
        <v>0</v>
      </c>
      <c r="R27" s="1047">
        <f>R24*$B$27</f>
        <v>0</v>
      </c>
    </row>
    <row r="28" spans="1:18" x14ac:dyDescent="0.2">
      <c r="A28" s="120" t="s">
        <v>1146</v>
      </c>
      <c r="B28" s="1107"/>
      <c r="C28" s="1048"/>
      <c r="D28" s="1052"/>
      <c r="E28" s="1047">
        <f>E24*$B$28</f>
        <v>0</v>
      </c>
      <c r="F28" s="1047">
        <f>F24*$B$28</f>
        <v>0</v>
      </c>
      <c r="G28" s="1052"/>
      <c r="H28" s="1047">
        <f>H24*$B$28</f>
        <v>0</v>
      </c>
      <c r="I28" s="1047">
        <f>I24*$B$28</f>
        <v>0</v>
      </c>
      <c r="J28" s="1052"/>
      <c r="K28" s="1047">
        <f>K24*$B$28</f>
        <v>0</v>
      </c>
      <c r="L28" s="1047">
        <f>L24*$B$28</f>
        <v>0</v>
      </c>
      <c r="M28" s="1052"/>
      <c r="N28" s="1047">
        <f>N24*$B$28</f>
        <v>0</v>
      </c>
      <c r="O28" s="1047">
        <f>O24*$B$28</f>
        <v>0</v>
      </c>
      <c r="P28" s="1052"/>
      <c r="Q28" s="1047">
        <f>Q24*$B$28</f>
        <v>0</v>
      </c>
      <c r="R28" s="1047">
        <f>R24*$B$28</f>
        <v>0</v>
      </c>
    </row>
    <row r="29" spans="1:18" x14ac:dyDescent="0.2">
      <c r="A29" s="120" t="s">
        <v>1147</v>
      </c>
      <c r="B29" s="1107"/>
      <c r="C29" s="1048"/>
      <c r="D29" s="1053"/>
      <c r="E29" s="1047">
        <f>E24*$B$29</f>
        <v>0</v>
      </c>
      <c r="F29" s="1047">
        <f>F24*$B$29</f>
        <v>0</v>
      </c>
      <c r="G29" s="1053"/>
      <c r="H29" s="1047">
        <f>H24*$B$29</f>
        <v>0</v>
      </c>
      <c r="I29" s="1047">
        <f>I24*$B$29</f>
        <v>0</v>
      </c>
      <c r="J29" s="1053"/>
      <c r="K29" s="1047">
        <f>K24*$B$29</f>
        <v>0</v>
      </c>
      <c r="L29" s="1047">
        <f>L24*$B$29</f>
        <v>0</v>
      </c>
      <c r="M29" s="1053"/>
      <c r="N29" s="1047">
        <f>N24*$B$29</f>
        <v>0</v>
      </c>
      <c r="O29" s="1047">
        <f>O24*$B$29</f>
        <v>0</v>
      </c>
      <c r="P29" s="1053"/>
      <c r="Q29" s="1047">
        <f>Q24*$B$29</f>
        <v>0</v>
      </c>
      <c r="R29" s="1047">
        <f>R24*$B$29</f>
        <v>0</v>
      </c>
    </row>
    <row r="30" spans="1:18" x14ac:dyDescent="0.2">
      <c r="A30" s="120"/>
      <c r="B30" s="120"/>
      <c r="C30" s="1054"/>
      <c r="D30" s="120"/>
      <c r="E30" s="1055"/>
      <c r="F30" s="120"/>
      <c r="G30" s="120"/>
      <c r="H30" s="1015"/>
      <c r="I30" s="120"/>
      <c r="J30" s="120"/>
      <c r="K30" s="1015"/>
      <c r="L30" s="120"/>
      <c r="M30" s="120"/>
      <c r="N30" s="1015"/>
      <c r="O30" s="120"/>
      <c r="P30" s="120"/>
      <c r="Q30" s="1015"/>
      <c r="R30" s="120"/>
    </row>
    <row r="31" spans="1:18" x14ac:dyDescent="0.2">
      <c r="A31" s="120" t="s">
        <v>1148</v>
      </c>
      <c r="B31" s="1106"/>
      <c r="C31" s="1048"/>
      <c r="D31" s="1056"/>
      <c r="E31" s="1047">
        <f>E27*$B$31</f>
        <v>0</v>
      </c>
      <c r="F31" s="1047">
        <f>F27*$B$31</f>
        <v>0</v>
      </c>
      <c r="G31" s="1056"/>
      <c r="H31" s="1047">
        <f>H27*$B$31</f>
        <v>0</v>
      </c>
      <c r="I31" s="1047">
        <f>I27*$B$31</f>
        <v>0</v>
      </c>
      <c r="J31" s="1056"/>
      <c r="K31" s="1047">
        <f>K27*$B$31</f>
        <v>0</v>
      </c>
      <c r="L31" s="1047">
        <f>L27*$B$31</f>
        <v>0</v>
      </c>
      <c r="M31" s="1056"/>
      <c r="N31" s="1047">
        <f>N27*$B$31</f>
        <v>0</v>
      </c>
      <c r="O31" s="1047">
        <f>O27*$B$31</f>
        <v>0</v>
      </c>
      <c r="P31" s="1056"/>
      <c r="Q31" s="1047">
        <f>Q27*$B$31</f>
        <v>0</v>
      </c>
      <c r="R31" s="1047">
        <f>R27*$B$31</f>
        <v>0</v>
      </c>
    </row>
    <row r="32" spans="1:18" x14ac:dyDescent="0.2">
      <c r="A32" s="120" t="s">
        <v>1149</v>
      </c>
      <c r="B32" s="1106"/>
      <c r="C32" s="1048"/>
      <c r="D32" s="1056"/>
      <c r="E32" s="1047">
        <f>E28*$B$32</f>
        <v>0</v>
      </c>
      <c r="F32" s="1047">
        <f>F28*$B$32</f>
        <v>0</v>
      </c>
      <c r="G32" s="1056"/>
      <c r="H32" s="1047">
        <f>H28*$B$32</f>
        <v>0</v>
      </c>
      <c r="I32" s="1047">
        <f>I28*$B$32</f>
        <v>0</v>
      </c>
      <c r="J32" s="1056"/>
      <c r="K32" s="1047">
        <f>K28*$B$32</f>
        <v>0</v>
      </c>
      <c r="L32" s="1047">
        <f>L28*$B$32</f>
        <v>0</v>
      </c>
      <c r="M32" s="1056"/>
      <c r="N32" s="1047">
        <f>N28*$B$32</f>
        <v>0</v>
      </c>
      <c r="O32" s="1047">
        <f>O28*$B$32</f>
        <v>0</v>
      </c>
      <c r="P32" s="1056"/>
      <c r="Q32" s="1047">
        <f>Q28*$B$32</f>
        <v>0</v>
      </c>
      <c r="R32" s="1047">
        <f>R28*$B$32</f>
        <v>0</v>
      </c>
    </row>
    <row r="33" spans="1:18" x14ac:dyDescent="0.2">
      <c r="A33" s="120" t="s">
        <v>1150</v>
      </c>
      <c r="B33" s="1106"/>
      <c r="C33" s="1048"/>
      <c r="D33" s="1056"/>
      <c r="E33" s="1047">
        <f>E29*$B$33</f>
        <v>0</v>
      </c>
      <c r="F33" s="1050">
        <f>F29*$B$33</f>
        <v>0</v>
      </c>
      <c r="G33" s="1056"/>
      <c r="H33" s="1047">
        <f>H29*$B$33</f>
        <v>0</v>
      </c>
      <c r="I33" s="1050">
        <f>I29*$B$33</f>
        <v>0</v>
      </c>
      <c r="J33" s="1056"/>
      <c r="K33" s="1047">
        <f>K29*$B$33</f>
        <v>0</v>
      </c>
      <c r="L33" s="1050">
        <f>L29*$B$33</f>
        <v>0</v>
      </c>
      <c r="M33" s="1056"/>
      <c r="N33" s="1047">
        <f>N29*$B$33</f>
        <v>0</v>
      </c>
      <c r="O33" s="1050">
        <f>O29*$B$33</f>
        <v>0</v>
      </c>
      <c r="P33" s="1056"/>
      <c r="Q33" s="1047">
        <f>Q29*$B$33</f>
        <v>0</v>
      </c>
      <c r="R33" s="1050">
        <f>R29*$B$33</f>
        <v>0</v>
      </c>
    </row>
    <row r="34" spans="1:18" x14ac:dyDescent="0.2">
      <c r="A34" s="101" t="s">
        <v>1151</v>
      </c>
      <c r="B34" s="120"/>
      <c r="C34" s="1048"/>
      <c r="D34" s="120"/>
      <c r="E34" s="1057">
        <f>SUM(E31:E33)</f>
        <v>0</v>
      </c>
      <c r="F34" s="1057">
        <f>SUM(F31:F33)</f>
        <v>0</v>
      </c>
      <c r="G34" s="120"/>
      <c r="H34" s="1057">
        <f>SUM(H31:H33)</f>
        <v>0</v>
      </c>
      <c r="I34" s="1057">
        <f>SUM(I31:I33)</f>
        <v>0</v>
      </c>
      <c r="J34" s="120"/>
      <c r="K34" s="1057">
        <f>SUM(K31:K33)</f>
        <v>0</v>
      </c>
      <c r="L34" s="1057">
        <f>SUM(L31:L33)</f>
        <v>0</v>
      </c>
      <c r="M34" s="120"/>
      <c r="N34" s="1057">
        <f>SUM(N31:N33)</f>
        <v>0</v>
      </c>
      <c r="O34" s="1057">
        <f>SUM(O31:O33)</f>
        <v>0</v>
      </c>
      <c r="P34" s="120"/>
      <c r="Q34" s="1057">
        <f>SUM(Q31:Q33)</f>
        <v>0</v>
      </c>
      <c r="R34" s="1057">
        <f>SUM(R31:R33)</f>
        <v>0</v>
      </c>
    </row>
    <row r="35" spans="1:18" x14ac:dyDescent="0.2">
      <c r="A35" s="120"/>
      <c r="B35" s="120"/>
      <c r="C35" s="477"/>
      <c r="D35" s="120"/>
      <c r="E35" s="120"/>
      <c r="F35" s="120"/>
      <c r="G35" s="120"/>
      <c r="H35" s="120"/>
      <c r="I35" s="120"/>
      <c r="J35" s="120"/>
      <c r="K35" s="120"/>
      <c r="L35" s="120"/>
      <c r="M35" s="120"/>
      <c r="N35" s="120"/>
      <c r="O35" s="120"/>
      <c r="P35" s="120"/>
      <c r="Q35" s="120"/>
      <c r="R35" s="120"/>
    </row>
    <row r="36" spans="1:18" x14ac:dyDescent="0.2">
      <c r="A36" s="120" t="s">
        <v>179</v>
      </c>
      <c r="B36" s="120"/>
      <c r="C36" s="1058"/>
      <c r="D36" s="120"/>
      <c r="E36" s="1059">
        <f>E21+E22</f>
        <v>0</v>
      </c>
      <c r="F36" s="1047">
        <f>F22</f>
        <v>0</v>
      </c>
      <c r="G36" s="120"/>
      <c r="H36" s="1059">
        <f>H21+H22</f>
        <v>0</v>
      </c>
      <c r="I36" s="1047">
        <f>I22</f>
        <v>0</v>
      </c>
      <c r="J36" s="120"/>
      <c r="K36" s="1059">
        <f>K21+K22</f>
        <v>0</v>
      </c>
      <c r="L36" s="1047">
        <f>L22</f>
        <v>0</v>
      </c>
      <c r="M36" s="475"/>
      <c r="N36" s="1059">
        <f>N21+N22</f>
        <v>0</v>
      </c>
      <c r="O36" s="1047">
        <f>O22</f>
        <v>0</v>
      </c>
      <c r="P36" s="120"/>
      <c r="Q36" s="1059">
        <f>Q21+Q22</f>
        <v>0</v>
      </c>
      <c r="R36" s="1059">
        <f>R22</f>
        <v>0</v>
      </c>
    </row>
    <row r="37" spans="1:18" x14ac:dyDescent="0.2">
      <c r="A37" s="120" t="s">
        <v>1152</v>
      </c>
      <c r="B37" s="1060"/>
      <c r="C37" s="1048"/>
      <c r="D37" s="1015">
        <f>D77</f>
        <v>0</v>
      </c>
      <c r="E37" s="1047">
        <f>D37*E$19</f>
        <v>0</v>
      </c>
      <c r="F37" s="1047">
        <f>D37*F$19</f>
        <v>0</v>
      </c>
      <c r="G37" s="1061">
        <f>E75+E76</f>
        <v>0</v>
      </c>
      <c r="H37" s="1047">
        <f>G37*H$19</f>
        <v>0</v>
      </c>
      <c r="I37" s="1047">
        <f>G37*I$19</f>
        <v>0</v>
      </c>
      <c r="J37" s="1061">
        <f>F75+F76</f>
        <v>0</v>
      </c>
      <c r="K37" s="1047">
        <f>J37*K$19</f>
        <v>0</v>
      </c>
      <c r="L37" s="1047">
        <f>J37*L$19</f>
        <v>0</v>
      </c>
      <c r="M37" s="1061">
        <f>G75+G76</f>
        <v>0</v>
      </c>
      <c r="N37" s="1047">
        <f>M37*N$19</f>
        <v>0</v>
      </c>
      <c r="O37" s="1047">
        <f>M37*O$19</f>
        <v>0</v>
      </c>
      <c r="P37" s="1061">
        <f>H75+H76</f>
        <v>0</v>
      </c>
      <c r="Q37" s="1047">
        <f>P37*Q$19</f>
        <v>0</v>
      </c>
      <c r="R37" s="1047">
        <f>P37*R$19</f>
        <v>0</v>
      </c>
    </row>
    <row r="38" spans="1:18" x14ac:dyDescent="0.2">
      <c r="A38" s="120" t="s">
        <v>1153</v>
      </c>
      <c r="B38" s="1060"/>
      <c r="C38" s="890"/>
      <c r="D38" s="120"/>
      <c r="E38" s="1015">
        <f>E65</f>
        <v>0</v>
      </c>
      <c r="F38" s="1015">
        <f>F65</f>
        <v>0</v>
      </c>
      <c r="G38" s="1060"/>
      <c r="H38" s="1015">
        <f>H65</f>
        <v>0</v>
      </c>
      <c r="I38" s="1015">
        <f>I65</f>
        <v>0</v>
      </c>
      <c r="J38" s="1060"/>
      <c r="K38" s="1015">
        <f>K65</f>
        <v>0</v>
      </c>
      <c r="L38" s="1015">
        <f>L65</f>
        <v>0</v>
      </c>
      <c r="M38" s="1060"/>
      <c r="N38" s="1015">
        <f>N65</f>
        <v>0</v>
      </c>
      <c r="O38" s="1015">
        <f>O65</f>
        <v>0</v>
      </c>
      <c r="P38" s="1060"/>
      <c r="Q38" s="1015">
        <f>Q65</f>
        <v>0</v>
      </c>
      <c r="R38" s="1015">
        <f>R65</f>
        <v>0</v>
      </c>
    </row>
    <row r="39" spans="1:18" x14ac:dyDescent="0.2">
      <c r="A39" s="120"/>
      <c r="B39" s="120"/>
      <c r="C39" s="477"/>
      <c r="D39" s="120"/>
      <c r="E39" s="120"/>
      <c r="F39" s="120"/>
      <c r="G39" s="120"/>
      <c r="H39" s="120"/>
      <c r="I39" s="120"/>
      <c r="J39" s="120"/>
      <c r="K39" s="120"/>
      <c r="L39" s="120"/>
      <c r="M39" s="120"/>
      <c r="N39" s="120"/>
      <c r="O39" s="120"/>
      <c r="P39" s="120"/>
      <c r="Q39" s="120"/>
      <c r="R39" s="120"/>
    </row>
    <row r="40" spans="1:18" ht="13.5" thickBot="1" x14ac:dyDescent="0.25">
      <c r="A40" s="14" t="s">
        <v>1154</v>
      </c>
      <c r="B40" s="120"/>
      <c r="C40" s="1048"/>
      <c r="D40" s="120"/>
      <c r="E40" s="1062">
        <f>SUM(E34:E38)</f>
        <v>0</v>
      </c>
      <c r="F40" s="1062">
        <f>SUM(F34:F38)</f>
        <v>0</v>
      </c>
      <c r="G40" s="120"/>
      <c r="H40" s="1062">
        <f>SUM(H34:H38)</f>
        <v>0</v>
      </c>
      <c r="I40" s="1062">
        <f>SUM(I34:I38)</f>
        <v>0</v>
      </c>
      <c r="J40" s="120"/>
      <c r="K40" s="1062">
        <f>SUM(K34:K38)</f>
        <v>0</v>
      </c>
      <c r="L40" s="1062">
        <f>SUM(L34:L38)</f>
        <v>0</v>
      </c>
      <c r="M40" s="120"/>
      <c r="N40" s="1062">
        <f>SUM(N34:N38)</f>
        <v>0</v>
      </c>
      <c r="O40" s="1062">
        <f>SUM(O34:O38)</f>
        <v>0</v>
      </c>
      <c r="P40" s="120"/>
      <c r="Q40" s="1062">
        <f>SUM(Q34:Q38)</f>
        <v>0</v>
      </c>
      <c r="R40" s="1062">
        <f>SUM(R34:R38)</f>
        <v>0</v>
      </c>
    </row>
    <row r="41" spans="1:18" x14ac:dyDescent="0.2">
      <c r="A41" s="120"/>
      <c r="B41" s="120"/>
      <c r="C41" s="1048"/>
      <c r="D41" s="120"/>
      <c r="E41" s="1048"/>
      <c r="F41" s="1048"/>
      <c r="G41" s="120"/>
      <c r="H41" s="1048"/>
      <c r="I41" s="1048"/>
      <c r="J41" s="120"/>
      <c r="K41" s="1048"/>
      <c r="L41" s="1048"/>
      <c r="M41" s="120"/>
      <c r="N41" s="1048"/>
      <c r="O41" s="1048"/>
      <c r="P41" s="120"/>
      <c r="Q41" s="1048"/>
      <c r="R41" s="1048"/>
    </row>
    <row r="42" spans="1:18" x14ac:dyDescent="0.2">
      <c r="A42" s="120"/>
      <c r="B42" s="1424"/>
      <c r="C42" s="1047"/>
      <c r="D42" s="120"/>
      <c r="E42" s="1047"/>
      <c r="F42" s="1017"/>
      <c r="G42" s="1047"/>
      <c r="H42" s="120"/>
      <c r="I42" s="1047"/>
      <c r="J42" s="1047"/>
      <c r="K42" s="120"/>
      <c r="L42" s="1047"/>
      <c r="M42" s="1047"/>
      <c r="N42" s="120"/>
      <c r="O42" s="1047"/>
      <c r="P42" s="1047"/>
      <c r="Q42" s="120"/>
      <c r="R42" s="1047"/>
    </row>
    <row r="43" spans="1:18" x14ac:dyDescent="0.2">
      <c r="A43" s="120" t="s">
        <v>1155</v>
      </c>
      <c r="B43" s="1424"/>
      <c r="C43" s="1047"/>
      <c r="D43" s="120"/>
      <c r="E43" s="1047"/>
      <c r="F43" s="1063">
        <f>F40</f>
        <v>0</v>
      </c>
      <c r="G43" s="1047"/>
      <c r="H43" s="120"/>
      <c r="I43" s="1063">
        <f>I40</f>
        <v>0</v>
      </c>
      <c r="J43" s="1047"/>
      <c r="K43" s="120"/>
      <c r="L43" s="1063">
        <f>L40</f>
        <v>0</v>
      </c>
      <c r="M43" s="1047"/>
      <c r="N43" s="120"/>
      <c r="O43" s="1063">
        <f>O40</f>
        <v>0</v>
      </c>
      <c r="P43" s="1047"/>
      <c r="Q43" s="120"/>
      <c r="R43" s="1063">
        <f>R40</f>
        <v>0</v>
      </c>
    </row>
    <row r="44" spans="1:18" x14ac:dyDescent="0.2">
      <c r="A44" s="120"/>
      <c r="B44" s="1425"/>
      <c r="C44" s="120"/>
      <c r="D44" s="120"/>
      <c r="E44" s="362"/>
      <c r="F44" s="1017"/>
      <c r="G44" s="120"/>
      <c r="H44" s="1064"/>
      <c r="I44" s="1017"/>
      <c r="J44" s="120"/>
      <c r="K44" s="1064"/>
      <c r="L44" s="1017"/>
      <c r="M44" s="120"/>
      <c r="N44" s="1064"/>
      <c r="O44" s="1017"/>
      <c r="P44" s="120"/>
      <c r="Q44" s="1064"/>
      <c r="R44" s="1017"/>
    </row>
    <row r="45" spans="1:18" x14ac:dyDescent="0.2">
      <c r="A45" s="475" t="s">
        <v>1950</v>
      </c>
      <c r="B45" s="120"/>
      <c r="C45" s="1015"/>
      <c r="D45" s="1015"/>
      <c r="E45" s="1015"/>
      <c r="F45" s="1063">
        <f>F43/12</f>
        <v>0</v>
      </c>
      <c r="G45" s="1015"/>
      <c r="H45" s="120"/>
      <c r="I45" s="1063">
        <f>I43/12</f>
        <v>0</v>
      </c>
      <c r="J45" s="1015"/>
      <c r="K45" s="120"/>
      <c r="L45" s="1063">
        <f>L43/12</f>
        <v>0</v>
      </c>
      <c r="M45" s="1015"/>
      <c r="N45" s="120"/>
      <c r="O45" s="1063">
        <f>O43/12</f>
        <v>0</v>
      </c>
      <c r="P45" s="1015"/>
      <c r="Q45" s="120"/>
      <c r="R45" s="1063">
        <f>R43/12</f>
        <v>0</v>
      </c>
    </row>
    <row r="46" spans="1:18" x14ac:dyDescent="0.2">
      <c r="A46" s="475"/>
      <c r="B46" s="120"/>
      <c r="C46" s="1015"/>
      <c r="D46" s="1015"/>
      <c r="E46" s="1015"/>
      <c r="F46" s="1065"/>
      <c r="G46" s="1015"/>
      <c r="H46" s="120"/>
      <c r="I46" s="1015"/>
      <c r="J46" s="1015"/>
      <c r="K46" s="120"/>
      <c r="L46" s="120"/>
      <c r="M46" s="1015"/>
      <c r="N46" s="120"/>
      <c r="O46" s="1015"/>
      <c r="P46" s="1015"/>
      <c r="Q46" s="120"/>
      <c r="R46" s="120"/>
    </row>
    <row r="47" spans="1:18" x14ac:dyDescent="0.2">
      <c r="A47" s="2000" t="s">
        <v>1961</v>
      </c>
      <c r="B47" s="2000"/>
      <c r="C47" s="2000"/>
      <c r="D47" s="2000"/>
      <c r="E47" s="2000"/>
      <c r="F47" s="2000"/>
      <c r="G47" s="2000"/>
      <c r="H47" s="2000"/>
      <c r="I47" s="2000"/>
      <c r="J47" s="2000"/>
      <c r="K47" s="2000"/>
      <c r="L47" s="2000"/>
    </row>
    <row r="48" spans="1:18" x14ac:dyDescent="0.2">
      <c r="A48" s="1437" t="s">
        <v>1962</v>
      </c>
      <c r="B48" s="1431"/>
      <c r="C48" s="1431"/>
      <c r="D48" s="1431"/>
      <c r="E48" s="1431"/>
      <c r="F48" s="1431"/>
      <c r="G48" s="1431"/>
      <c r="H48" s="1431"/>
      <c r="I48" s="1431"/>
      <c r="J48" s="1431"/>
      <c r="K48" s="1431"/>
      <c r="L48" s="1431"/>
    </row>
    <row r="49" spans="1:18" x14ac:dyDescent="0.2">
      <c r="A49" s="2006" t="s">
        <v>1964</v>
      </c>
      <c r="B49" s="2006"/>
      <c r="C49" s="2006"/>
      <c r="D49" s="2006"/>
      <c r="E49" s="2006"/>
      <c r="F49" s="2006"/>
      <c r="G49" s="2006"/>
      <c r="H49" s="2006"/>
      <c r="I49" s="2006"/>
      <c r="J49" s="2006"/>
      <c r="K49" s="2006"/>
      <c r="L49" s="2006"/>
      <c r="M49" s="2006"/>
    </row>
    <row r="50" spans="1:18" ht="15" x14ac:dyDescent="0.2">
      <c r="A50" s="2007"/>
      <c r="B50" s="2007"/>
      <c r="C50" s="1111"/>
      <c r="D50" s="1111"/>
      <c r="E50" s="1111"/>
      <c r="F50" s="1111"/>
      <c r="G50" s="13"/>
    </row>
    <row r="51" spans="1:18" ht="16.5" thickBot="1" x14ac:dyDescent="0.3">
      <c r="A51" s="1067" t="s">
        <v>1156</v>
      </c>
      <c r="B51" s="1434"/>
      <c r="C51" s="1111"/>
      <c r="D51" s="1111"/>
      <c r="E51" s="1111"/>
      <c r="F51" s="1111"/>
      <c r="G51" s="13"/>
    </row>
    <row r="52" spans="1:18" ht="13.5" thickBot="1" x14ac:dyDescent="0.25">
      <c r="A52" s="1068"/>
      <c r="B52" s="1433"/>
      <c r="C52" s="1066"/>
      <c r="D52" s="477"/>
      <c r="E52" s="1998">
        <v>2014</v>
      </c>
      <c r="F52" s="1999"/>
      <c r="G52" s="477"/>
      <c r="H52" s="1998">
        <v>2015</v>
      </c>
      <c r="I52" s="1999"/>
      <c r="J52" s="477"/>
      <c r="K52" s="1998">
        <v>2016</v>
      </c>
      <c r="L52" s="1999"/>
      <c r="M52" s="477"/>
      <c r="N52" s="1998">
        <v>2017</v>
      </c>
      <c r="O52" s="1999"/>
      <c r="P52" s="477"/>
      <c r="Q52" s="1998">
        <v>2018</v>
      </c>
      <c r="R52" s="1999"/>
    </row>
    <row r="53" spans="1:18" x14ac:dyDescent="0.2">
      <c r="A53" s="1069" t="s">
        <v>1157</v>
      </c>
      <c r="B53" s="1433"/>
      <c r="C53" s="1066"/>
      <c r="D53" s="120"/>
      <c r="E53" s="14" t="s">
        <v>1140</v>
      </c>
      <c r="F53" s="106" t="s">
        <v>1141</v>
      </c>
      <c r="G53" s="120"/>
      <c r="H53" s="14" t="s">
        <v>1140</v>
      </c>
      <c r="I53" s="106" t="s">
        <v>1141</v>
      </c>
      <c r="J53" s="120"/>
      <c r="K53" s="14" t="s">
        <v>1140</v>
      </c>
      <c r="L53" s="106" t="s">
        <v>1141</v>
      </c>
      <c r="M53" s="120"/>
      <c r="N53" s="14" t="s">
        <v>1140</v>
      </c>
      <c r="O53" s="106" t="s">
        <v>1141</v>
      </c>
      <c r="P53" s="120"/>
      <c r="Q53" s="14" t="s">
        <v>1140</v>
      </c>
      <c r="R53" s="106" t="s">
        <v>1141</v>
      </c>
    </row>
    <row r="54" spans="1:18" x14ac:dyDescent="0.2">
      <c r="A54" s="1070"/>
      <c r="B54" s="1433"/>
      <c r="C54" s="1066"/>
      <c r="D54" s="1039"/>
      <c r="E54" s="14"/>
      <c r="F54" s="106"/>
      <c r="G54" s="1039"/>
      <c r="H54" s="14"/>
      <c r="I54" s="106"/>
      <c r="J54" s="1039"/>
      <c r="K54" s="14"/>
      <c r="L54" s="106"/>
      <c r="M54" s="1039" t="s">
        <v>413</v>
      </c>
      <c r="N54" s="14"/>
      <c r="O54" s="106"/>
      <c r="P54" s="1039" t="s">
        <v>413</v>
      </c>
      <c r="Q54" s="14"/>
      <c r="R54" s="106"/>
    </row>
    <row r="55" spans="1:18" x14ac:dyDescent="0.2">
      <c r="A55" s="1068" t="s">
        <v>1158</v>
      </c>
      <c r="B55" s="1433"/>
      <c r="C55" s="1066"/>
      <c r="D55" s="1071"/>
      <c r="E55" s="1071">
        <f>E33</f>
        <v>0</v>
      </c>
      <c r="F55" s="1072">
        <f>F33</f>
        <v>0</v>
      </c>
      <c r="G55" s="1071"/>
      <c r="H55" s="1071">
        <f>H33</f>
        <v>0</v>
      </c>
      <c r="I55" s="1072">
        <f>I33</f>
        <v>0</v>
      </c>
      <c r="J55" s="1071"/>
      <c r="K55" s="1071">
        <f>K33</f>
        <v>0</v>
      </c>
      <c r="L55" s="1072">
        <f>L33</f>
        <v>0</v>
      </c>
      <c r="M55" s="1071"/>
      <c r="N55" s="1071">
        <f>N33</f>
        <v>0</v>
      </c>
      <c r="O55" s="1072">
        <f>O33</f>
        <v>0</v>
      </c>
      <c r="P55" s="1071"/>
      <c r="Q55" s="1071">
        <f>Q33</f>
        <v>0</v>
      </c>
      <c r="R55" s="1072">
        <f>R33</f>
        <v>0</v>
      </c>
    </row>
    <row r="56" spans="1:18" x14ac:dyDescent="0.2">
      <c r="A56" s="1068" t="s">
        <v>1965</v>
      </c>
      <c r="B56" s="1433"/>
      <c r="C56" s="1066"/>
      <c r="D56" s="1073"/>
      <c r="E56" s="1074">
        <f>E37</f>
        <v>0</v>
      </c>
      <c r="F56" s="1074">
        <f>F37</f>
        <v>0</v>
      </c>
      <c r="G56" s="1073"/>
      <c r="H56" s="1074">
        <f>H37</f>
        <v>0</v>
      </c>
      <c r="I56" s="1074">
        <f>I37</f>
        <v>0</v>
      </c>
      <c r="J56" s="1073"/>
      <c r="K56" s="1074">
        <f>K37</f>
        <v>0</v>
      </c>
      <c r="L56" s="1074">
        <f>L37</f>
        <v>0</v>
      </c>
      <c r="M56" s="1073"/>
      <c r="N56" s="1074">
        <f>N37</f>
        <v>0</v>
      </c>
      <c r="O56" s="1074">
        <f>O37</f>
        <v>0</v>
      </c>
      <c r="P56" s="1073"/>
      <c r="Q56" s="1074">
        <f>Q37</f>
        <v>0</v>
      </c>
      <c r="R56" s="1074">
        <f>R37</f>
        <v>0</v>
      </c>
    </row>
    <row r="57" spans="1:18" x14ac:dyDescent="0.2">
      <c r="A57" s="1068" t="s">
        <v>1966</v>
      </c>
      <c r="B57" s="1433"/>
      <c r="C57" s="1066"/>
      <c r="D57" s="1073"/>
      <c r="E57" s="1073">
        <f>-D93*E$19</f>
        <v>0</v>
      </c>
      <c r="F57" s="1073">
        <f>-D93*F$19</f>
        <v>0</v>
      </c>
      <c r="G57" s="1073"/>
      <c r="H57" s="1073">
        <f>-E93*H$19</f>
        <v>0</v>
      </c>
      <c r="I57" s="1073">
        <f>-E93*I$19</f>
        <v>0</v>
      </c>
      <c r="J57" s="1073"/>
      <c r="K57" s="1073">
        <f>-F93*K$19</f>
        <v>0</v>
      </c>
      <c r="L57" s="1073">
        <f>-F93*L$19</f>
        <v>0</v>
      </c>
      <c r="M57" s="1073"/>
      <c r="N57" s="1073">
        <f>-G93*N$19</f>
        <v>0</v>
      </c>
      <c r="O57" s="1073">
        <f>-G93*O$19</f>
        <v>0</v>
      </c>
      <c r="P57" s="1073"/>
      <c r="Q57" s="1073">
        <f>-H93*Q$19</f>
        <v>0</v>
      </c>
      <c r="R57" s="1073">
        <f>-H93*R$19</f>
        <v>0</v>
      </c>
    </row>
    <row r="58" spans="1:18" x14ac:dyDescent="0.2">
      <c r="A58" s="1070" t="s">
        <v>1161</v>
      </c>
      <c r="B58" s="1433"/>
      <c r="C58" s="1066"/>
      <c r="D58" s="1073"/>
      <c r="E58" s="1075">
        <f>SUM(E55:E57)</f>
        <v>0</v>
      </c>
      <c r="F58" s="1075">
        <f>SUM(F55:F57)</f>
        <v>0</v>
      </c>
      <c r="G58" s="1073"/>
      <c r="H58" s="1075">
        <f>SUM(H55:H57)</f>
        <v>0</v>
      </c>
      <c r="I58" s="1075">
        <f>SUM(I55:I57)</f>
        <v>0</v>
      </c>
      <c r="J58" s="1073"/>
      <c r="K58" s="1075">
        <f>SUM(K55:K57)</f>
        <v>0</v>
      </c>
      <c r="L58" s="1075">
        <f>SUM(L55:L57)</f>
        <v>0</v>
      </c>
      <c r="M58" s="1075"/>
      <c r="N58" s="1075">
        <f>SUM(N55:N57)</f>
        <v>0</v>
      </c>
      <c r="O58" s="1075">
        <f>SUM(O55:O57)</f>
        <v>0</v>
      </c>
      <c r="P58" s="1075"/>
      <c r="Q58" s="1075">
        <f>SUM(Q55:Q57)</f>
        <v>0</v>
      </c>
      <c r="R58" s="1075">
        <f>SUM(R55:R57)</f>
        <v>0</v>
      </c>
    </row>
    <row r="59" spans="1:18" x14ac:dyDescent="0.2">
      <c r="A59" s="475"/>
      <c r="B59" s="1433"/>
      <c r="C59" s="1066"/>
      <c r="D59" s="475"/>
      <c r="E59" s="475"/>
      <c r="F59" s="475"/>
      <c r="G59" s="475"/>
      <c r="H59" s="475"/>
      <c r="I59" s="475"/>
      <c r="J59" s="475"/>
      <c r="K59" s="475"/>
      <c r="L59" s="475"/>
      <c r="M59" s="475"/>
      <c r="N59" s="475"/>
      <c r="O59" s="475"/>
      <c r="P59" s="475"/>
      <c r="Q59" s="475"/>
      <c r="R59" s="475"/>
    </row>
    <row r="60" spans="1:18" x14ac:dyDescent="0.2">
      <c r="A60" s="1068" t="s">
        <v>1162</v>
      </c>
      <c r="B60" s="1066"/>
      <c r="C60" s="1066"/>
      <c r="D60" s="1076"/>
      <c r="E60" s="1105"/>
      <c r="F60" s="1105"/>
      <c r="G60" s="1076"/>
      <c r="H60" s="1105"/>
      <c r="I60" s="1105"/>
      <c r="J60" s="1076"/>
      <c r="K60" s="1105"/>
      <c r="L60" s="1105"/>
      <c r="M60" s="1076"/>
      <c r="N60" s="1105"/>
      <c r="O60" s="1105"/>
      <c r="P60" s="1073"/>
      <c r="Q60" s="1105"/>
      <c r="R60" s="1105"/>
    </row>
    <row r="61" spans="1:18" x14ac:dyDescent="0.2">
      <c r="A61" s="1068"/>
      <c r="B61" s="1066"/>
      <c r="C61" s="1066"/>
      <c r="D61" s="1076"/>
      <c r="E61" s="1438"/>
      <c r="F61" s="1438"/>
      <c r="G61" s="1076"/>
      <c r="H61" s="1438"/>
      <c r="I61" s="1438"/>
      <c r="J61" s="1076"/>
      <c r="K61" s="1438"/>
      <c r="L61" s="1438"/>
      <c r="M61" s="1076"/>
      <c r="N61" s="1438"/>
      <c r="O61" s="1438"/>
      <c r="P61" s="1073"/>
      <c r="Q61" s="1438"/>
      <c r="R61" s="1438"/>
    </row>
    <row r="62" spans="1:18" x14ac:dyDescent="0.2">
      <c r="A62" s="1068" t="s">
        <v>1163</v>
      </c>
      <c r="B62" s="1433"/>
      <c r="C62" s="1066"/>
      <c r="D62" s="1073"/>
      <c r="E62" s="1077">
        <f>E58*E60</f>
        <v>0</v>
      </c>
      <c r="F62" s="1077">
        <f>F58*F60</f>
        <v>0</v>
      </c>
      <c r="G62" s="1073"/>
      <c r="H62" s="1077">
        <f>H58*H60</f>
        <v>0</v>
      </c>
      <c r="I62" s="1077">
        <f>I58*I60</f>
        <v>0</v>
      </c>
      <c r="J62" s="1073"/>
      <c r="K62" s="1077">
        <f>K58*K60</f>
        <v>0</v>
      </c>
      <c r="L62" s="1077">
        <f>L58*L60</f>
        <v>0</v>
      </c>
      <c r="M62" s="1073"/>
      <c r="N62" s="1077">
        <f>N58*N60</f>
        <v>0</v>
      </c>
      <c r="O62" s="1077">
        <f>O58*O60</f>
        <v>0</v>
      </c>
      <c r="P62" s="1073"/>
      <c r="Q62" s="1077">
        <f>Q58*Q60</f>
        <v>0</v>
      </c>
      <c r="R62" s="1077">
        <f>R58*R60</f>
        <v>0</v>
      </c>
    </row>
    <row r="63" spans="1:18" x14ac:dyDescent="0.2">
      <c r="A63" s="1078" t="s">
        <v>1164</v>
      </c>
      <c r="B63" s="1433"/>
      <c r="C63" s="1066"/>
      <c r="D63" s="1079"/>
      <c r="E63" s="1068"/>
      <c r="F63" s="1068"/>
      <c r="G63" s="1079"/>
      <c r="H63" s="1068"/>
      <c r="I63" s="1068"/>
      <c r="J63" s="1079"/>
      <c r="K63" s="1068"/>
      <c r="L63" s="1068"/>
      <c r="M63" s="1079"/>
      <c r="N63" s="1068"/>
      <c r="O63" s="1068"/>
      <c r="P63" s="1079"/>
      <c r="Q63" s="1068"/>
      <c r="R63" s="1068"/>
    </row>
    <row r="64" spans="1:18" x14ac:dyDescent="0.2">
      <c r="A64" s="1068" t="s">
        <v>1163</v>
      </c>
      <c r="B64" s="1433"/>
      <c r="C64" s="1066"/>
      <c r="D64" s="1080"/>
      <c r="E64" s="1081">
        <f>E62/(1-E60)</f>
        <v>0</v>
      </c>
      <c r="F64" s="1081">
        <f>F62/(1-F60)</f>
        <v>0</v>
      </c>
      <c r="G64" s="1080"/>
      <c r="H64" s="1081">
        <f>H62/(1-H60)</f>
        <v>0</v>
      </c>
      <c r="I64" s="1081">
        <f>I62/(1-I60)</f>
        <v>0</v>
      </c>
      <c r="J64" s="1080"/>
      <c r="K64" s="1081">
        <f>K62/(1-K60)</f>
        <v>0</v>
      </c>
      <c r="L64" s="1081">
        <f>L62/(1-L60)</f>
        <v>0</v>
      </c>
      <c r="M64" s="1080"/>
      <c r="N64" s="1081">
        <f>N62/(1-N60)</f>
        <v>0</v>
      </c>
      <c r="O64" s="1081">
        <f>O62/(1-O60)</f>
        <v>0</v>
      </c>
      <c r="P64" s="1080"/>
      <c r="Q64" s="1081">
        <f>Q62/(1-Q60)</f>
        <v>0</v>
      </c>
      <c r="R64" s="1081">
        <f>R62/(1-R60)</f>
        <v>0</v>
      </c>
    </row>
    <row r="65" spans="1:18" x14ac:dyDescent="0.2">
      <c r="A65" s="1070" t="s">
        <v>1165</v>
      </c>
      <c r="B65" s="1433"/>
      <c r="C65" s="1066"/>
      <c r="D65" s="1082"/>
      <c r="E65" s="1083">
        <f>SUM(E64:E64)</f>
        <v>0</v>
      </c>
      <c r="F65" s="1083">
        <f>SUM(F64:F64)</f>
        <v>0</v>
      </c>
      <c r="G65" s="1082"/>
      <c r="H65" s="1083">
        <f>SUM(H64:H64)</f>
        <v>0</v>
      </c>
      <c r="I65" s="1083">
        <f>SUM(I64:I64)</f>
        <v>0</v>
      </c>
      <c r="J65" s="1082"/>
      <c r="K65" s="1083">
        <f>SUM(K64:K64)</f>
        <v>0</v>
      </c>
      <c r="L65" s="1083">
        <f>SUM(L64:L64)</f>
        <v>0</v>
      </c>
      <c r="M65" s="1082"/>
      <c r="N65" s="1083">
        <f>SUM(N64:N64)</f>
        <v>0</v>
      </c>
      <c r="O65" s="1083">
        <f>SUM(O64:O64)</f>
        <v>0</v>
      </c>
      <c r="P65" s="1082"/>
      <c r="Q65" s="1083">
        <f>SUM(Q64:Q64)</f>
        <v>0</v>
      </c>
      <c r="R65" s="1083">
        <f>SUM(R64:R64)</f>
        <v>0</v>
      </c>
    </row>
    <row r="66" spans="1:18" x14ac:dyDescent="0.2">
      <c r="A66" s="120"/>
      <c r="B66" s="1431"/>
      <c r="C66" s="1084"/>
      <c r="D66" s="1084"/>
      <c r="E66" s="1084"/>
      <c r="F66" s="1084"/>
      <c r="G66" s="120"/>
      <c r="H66" s="120"/>
      <c r="I66" s="120"/>
      <c r="J66" s="120"/>
      <c r="K66" s="120"/>
      <c r="L66" s="120"/>
      <c r="M66" s="120"/>
      <c r="N66" s="120"/>
      <c r="O66" s="120"/>
      <c r="P66" s="120"/>
      <c r="Q66" s="120"/>
      <c r="R66" s="120"/>
    </row>
    <row r="67" spans="1:18" ht="13.5" thickBot="1" x14ac:dyDescent="0.25">
      <c r="A67" s="120"/>
      <c r="B67" s="1431"/>
      <c r="C67" s="1084"/>
      <c r="D67" s="1084"/>
      <c r="E67" s="1084"/>
      <c r="F67" s="1084"/>
      <c r="G67" s="120"/>
      <c r="H67" s="120"/>
    </row>
    <row r="68" spans="1:18" ht="15.75" thickBot="1" x14ac:dyDescent="0.25">
      <c r="A68" s="1091" t="s">
        <v>1166</v>
      </c>
      <c r="B68" s="1085"/>
      <c r="C68" s="1086"/>
      <c r="D68" s="1087">
        <v>2014</v>
      </c>
      <c r="E68" s="1088">
        <v>2015</v>
      </c>
      <c r="F68" s="1088">
        <v>2016</v>
      </c>
      <c r="G68" s="1088">
        <v>2017</v>
      </c>
      <c r="H68" s="1089">
        <v>2018</v>
      </c>
      <c r="J68" s="1090"/>
      <c r="K68" s="69"/>
      <c r="L68" s="69"/>
      <c r="M68" s="69"/>
      <c r="N68" s="69"/>
      <c r="O68" s="69"/>
    </row>
    <row r="69" spans="1:18" x14ac:dyDescent="0.2">
      <c r="A69" s="1085"/>
      <c r="B69" s="1096" t="s">
        <v>1167</v>
      </c>
      <c r="C69" s="1104">
        <v>25</v>
      </c>
      <c r="D69" s="1074"/>
      <c r="E69" s="1074"/>
      <c r="F69" s="475"/>
      <c r="G69" s="1074"/>
      <c r="H69" s="475"/>
      <c r="J69" s="475"/>
      <c r="K69" s="475"/>
      <c r="L69" s="475"/>
      <c r="M69" s="475"/>
      <c r="N69" s="69"/>
      <c r="O69" s="69"/>
    </row>
    <row r="70" spans="1:18" x14ac:dyDescent="0.2">
      <c r="A70" s="1085" t="s">
        <v>1168</v>
      </c>
      <c r="B70" s="1085"/>
      <c r="C70" s="1073"/>
      <c r="D70" s="1075"/>
      <c r="E70" s="1075">
        <f>D72</f>
        <v>0</v>
      </c>
      <c r="F70" s="1075">
        <f>E72</f>
        <v>0</v>
      </c>
      <c r="G70" s="1075">
        <f>F72</f>
        <v>0</v>
      </c>
      <c r="H70" s="1075">
        <f>G72</f>
        <v>0</v>
      </c>
      <c r="J70" s="475"/>
      <c r="K70" s="475"/>
      <c r="L70" s="475"/>
      <c r="M70" s="475"/>
      <c r="N70" s="69"/>
      <c r="O70" s="69"/>
    </row>
    <row r="71" spans="1:18" x14ac:dyDescent="0.2">
      <c r="A71" s="1085" t="s">
        <v>1169</v>
      </c>
      <c r="B71" s="1085"/>
      <c r="C71" s="1097"/>
      <c r="D71" s="1093">
        <f>'App.2-FA Proposed REG Invest.'!C90</f>
        <v>0</v>
      </c>
      <c r="E71" s="1093">
        <f>'App.2-FA Proposed REG Invest.'!D90</f>
        <v>0</v>
      </c>
      <c r="F71" s="1093">
        <f>'App.2-FA Proposed REG Invest.'!E90</f>
        <v>0</v>
      </c>
      <c r="G71" s="1093">
        <f>'App.2-FA Proposed REG Invest.'!F90</f>
        <v>0</v>
      </c>
      <c r="H71" s="1093">
        <f>'App.2-FA Proposed REG Invest.'!G90</f>
        <v>0</v>
      </c>
      <c r="J71" s="475"/>
      <c r="K71" s="475"/>
      <c r="L71" s="475"/>
      <c r="M71" s="1098"/>
      <c r="N71" s="69"/>
      <c r="O71" s="69"/>
    </row>
    <row r="72" spans="1:18" x14ac:dyDescent="0.2">
      <c r="A72" s="1085" t="s">
        <v>1170</v>
      </c>
      <c r="B72" s="1085"/>
      <c r="C72" s="1073"/>
      <c r="D72" s="1075">
        <f>SUM(D70:D71)</f>
        <v>0</v>
      </c>
      <c r="E72" s="1075">
        <f>SUM(E70:E71)</f>
        <v>0</v>
      </c>
      <c r="F72" s="1075">
        <f>SUM(F70:F71)</f>
        <v>0</v>
      </c>
      <c r="G72" s="1075">
        <f>SUM(G70:G71)</f>
        <v>0</v>
      </c>
      <c r="H72" s="1075">
        <f>SUM(H70:H71)</f>
        <v>0</v>
      </c>
      <c r="J72" s="69"/>
      <c r="K72" s="69"/>
      <c r="L72" s="69"/>
      <c r="M72" s="69"/>
      <c r="N72" s="69"/>
      <c r="O72" s="69"/>
    </row>
    <row r="73" spans="1:18" x14ac:dyDescent="0.2">
      <c r="A73" s="1085"/>
      <c r="B73" s="1085"/>
      <c r="C73" s="1073"/>
      <c r="D73" s="1073"/>
      <c r="E73" s="1074"/>
      <c r="F73" s="475"/>
      <c r="G73" s="1074"/>
      <c r="H73" s="475"/>
      <c r="J73" s="475"/>
      <c r="K73" s="69"/>
      <c r="L73" s="69"/>
      <c r="M73" s="69"/>
      <c r="N73" s="69"/>
      <c r="O73" s="69"/>
    </row>
    <row r="74" spans="1:18" x14ac:dyDescent="0.2">
      <c r="A74" s="1085" t="s">
        <v>1171</v>
      </c>
      <c r="B74" s="1085"/>
      <c r="C74" s="1073"/>
      <c r="D74" s="1075"/>
      <c r="E74" s="1075">
        <f>D77</f>
        <v>0</v>
      </c>
      <c r="F74" s="1075">
        <f>E77</f>
        <v>0</v>
      </c>
      <c r="G74" s="1075">
        <f>F77</f>
        <v>0</v>
      </c>
      <c r="H74" s="1075">
        <f>G77</f>
        <v>0</v>
      </c>
      <c r="J74" s="475"/>
      <c r="K74" s="69"/>
      <c r="L74" s="69"/>
      <c r="M74" s="69"/>
      <c r="N74" s="69"/>
      <c r="O74" s="69"/>
    </row>
    <row r="75" spans="1:18" x14ac:dyDescent="0.2">
      <c r="A75" s="1085" t="s">
        <v>1172</v>
      </c>
      <c r="B75" s="1085"/>
      <c r="C75" s="1073"/>
      <c r="D75" s="1099"/>
      <c r="E75" s="1073">
        <f>E70/$C$69</f>
        <v>0</v>
      </c>
      <c r="F75" s="1073">
        <f>F70/$C$69</f>
        <v>0</v>
      </c>
      <c r="G75" s="1073">
        <f>G70/$C$69</f>
        <v>0</v>
      </c>
      <c r="H75" s="1073">
        <f>H70/$C$69</f>
        <v>0</v>
      </c>
      <c r="J75" s="475"/>
      <c r="K75" s="69"/>
      <c r="L75" s="69"/>
      <c r="M75" s="69"/>
      <c r="N75" s="69"/>
      <c r="O75" s="69"/>
    </row>
    <row r="76" spans="1:18" x14ac:dyDescent="0.2">
      <c r="A76" s="1085" t="s">
        <v>1173</v>
      </c>
      <c r="B76" s="120"/>
      <c r="C76" s="120"/>
      <c r="D76" s="1074">
        <f>D71/C69/2</f>
        <v>0</v>
      </c>
      <c r="E76" s="1074">
        <f>E71/C69/2</f>
        <v>0</v>
      </c>
      <c r="F76" s="1074">
        <f>F71/C69/2</f>
        <v>0</v>
      </c>
      <c r="G76" s="1074">
        <f>G71/C69/2</f>
        <v>0</v>
      </c>
      <c r="H76" s="1074">
        <f>H71/C69/2</f>
        <v>0</v>
      </c>
      <c r="J76" s="475"/>
      <c r="K76" s="69"/>
      <c r="L76" s="69"/>
      <c r="M76" s="69"/>
      <c r="N76" s="69"/>
      <c r="O76" s="69"/>
    </row>
    <row r="77" spans="1:18" x14ac:dyDescent="0.2">
      <c r="A77" s="1085" t="s">
        <v>1174</v>
      </c>
      <c r="B77" s="1085"/>
      <c r="C77" s="1073"/>
      <c r="D77" s="1075">
        <f>SUM(D74+D76)</f>
        <v>0</v>
      </c>
      <c r="E77" s="1075">
        <f>SUM(E74:E76)</f>
        <v>0</v>
      </c>
      <c r="F77" s="1075">
        <f>SUM(F74:F76)</f>
        <v>0</v>
      </c>
      <c r="G77" s="1075">
        <f>SUM(G74:G76)</f>
        <v>0</v>
      </c>
      <c r="H77" s="1075">
        <f>SUM(H74:H76)</f>
        <v>0</v>
      </c>
      <c r="J77" s="475"/>
      <c r="K77" s="69"/>
      <c r="L77" s="69"/>
      <c r="M77" s="69"/>
      <c r="N77" s="69"/>
      <c r="O77" s="69"/>
    </row>
    <row r="78" spans="1:18" x14ac:dyDescent="0.2">
      <c r="A78" s="1085"/>
      <c r="B78" s="1085"/>
      <c r="C78" s="1025"/>
      <c r="D78" s="1044"/>
      <c r="E78" s="1074"/>
      <c r="F78" s="1074"/>
      <c r="G78" s="1074"/>
      <c r="H78" s="1074"/>
      <c r="J78" s="475"/>
      <c r="K78" s="69"/>
      <c r="L78" s="1098"/>
      <c r="M78" s="475"/>
      <c r="N78" s="69"/>
      <c r="O78" s="69"/>
    </row>
    <row r="79" spans="1:18" x14ac:dyDescent="0.2">
      <c r="A79" s="1085" t="s">
        <v>1175</v>
      </c>
      <c r="B79" s="1085"/>
      <c r="C79" s="1073"/>
      <c r="D79" s="1074">
        <f>D70-D74</f>
        <v>0</v>
      </c>
      <c r="E79" s="1074">
        <f>D80</f>
        <v>0</v>
      </c>
      <c r="F79" s="1074">
        <f>E80</f>
        <v>0</v>
      </c>
      <c r="G79" s="1074">
        <f>F80</f>
        <v>0</v>
      </c>
      <c r="H79" s="1074">
        <f>G80</f>
        <v>0</v>
      </c>
      <c r="J79" s="475"/>
      <c r="K79" s="69"/>
      <c r="L79" s="475"/>
      <c r="M79" s="69"/>
      <c r="N79" s="69"/>
      <c r="O79" s="69"/>
    </row>
    <row r="80" spans="1:18" x14ac:dyDescent="0.2">
      <c r="A80" s="1085" t="s">
        <v>1176</v>
      </c>
      <c r="B80" s="1085"/>
      <c r="C80" s="1073"/>
      <c r="D80" s="1075">
        <f>D72-D77</f>
        <v>0</v>
      </c>
      <c r="E80" s="1075">
        <f>E72-E77</f>
        <v>0</v>
      </c>
      <c r="F80" s="1075">
        <f>F72-F77</f>
        <v>0</v>
      </c>
      <c r="G80" s="1075">
        <f>G72-G77</f>
        <v>0</v>
      </c>
      <c r="H80" s="1075">
        <f>H72-H77</f>
        <v>0</v>
      </c>
      <c r="J80" s="475"/>
      <c r="K80" s="69"/>
      <c r="L80" s="69"/>
      <c r="M80" s="69"/>
      <c r="N80" s="69"/>
      <c r="O80" s="69"/>
    </row>
    <row r="81" spans="1:15" ht="13.5" thickBot="1" x14ac:dyDescent="0.25">
      <c r="A81" s="1092" t="s">
        <v>1177</v>
      </c>
      <c r="B81" s="1085"/>
      <c r="C81" s="1073"/>
      <c r="D81" s="1100">
        <f>SUM(D79:D80)/2</f>
        <v>0</v>
      </c>
      <c r="E81" s="1100">
        <f>SUM(E79:E80)/2</f>
        <v>0</v>
      </c>
      <c r="F81" s="1100">
        <f>SUM(F79:F80)/2</f>
        <v>0</v>
      </c>
      <c r="G81" s="1100">
        <f>SUM(G79:G80)/2</f>
        <v>0</v>
      </c>
      <c r="H81" s="1100">
        <f>SUM(H79:H80)/2</f>
        <v>0</v>
      </c>
      <c r="J81" s="475"/>
      <c r="K81" s="69"/>
      <c r="L81" s="69"/>
      <c r="M81" s="69"/>
      <c r="N81" s="69"/>
      <c r="O81" s="69"/>
    </row>
    <row r="82" spans="1:15" x14ac:dyDescent="0.2">
      <c r="A82" s="1085"/>
      <c r="B82" s="1085"/>
      <c r="C82" s="1073"/>
      <c r="D82" s="1074"/>
      <c r="E82" s="1074"/>
      <c r="F82" s="475"/>
      <c r="G82" s="1074"/>
      <c r="H82" s="475"/>
      <c r="J82" s="475"/>
      <c r="K82" s="69"/>
      <c r="L82" s="69"/>
      <c r="M82" s="69"/>
      <c r="N82" s="69"/>
      <c r="O82" s="69"/>
    </row>
    <row r="83" spans="1:15" ht="13.5" thickBot="1" x14ac:dyDescent="0.25">
      <c r="A83" s="1091" t="s">
        <v>1178</v>
      </c>
      <c r="B83" s="1092"/>
      <c r="C83" s="1074"/>
      <c r="D83" s="1074"/>
      <c r="E83" s="1074"/>
      <c r="F83" s="475"/>
      <c r="G83" s="1074"/>
      <c r="H83" s="475"/>
      <c r="J83" s="475"/>
      <c r="K83" s="69"/>
      <c r="L83" s="69"/>
      <c r="M83" s="69"/>
      <c r="N83" s="69"/>
      <c r="O83" s="69"/>
    </row>
    <row r="84" spans="1:15" ht="13.5" thickBot="1" x14ac:dyDescent="0.25">
      <c r="A84" s="1092"/>
      <c r="B84" s="475"/>
      <c r="C84" s="1092"/>
      <c r="D84" s="1087">
        <v>2014</v>
      </c>
      <c r="E84" s="1088">
        <v>2015</v>
      </c>
      <c r="F84" s="1088">
        <v>2016</v>
      </c>
      <c r="G84" s="1088">
        <v>2017</v>
      </c>
      <c r="H84" s="1089">
        <v>2018</v>
      </c>
      <c r="J84" s="475"/>
      <c r="K84" s="69"/>
      <c r="L84" s="69"/>
      <c r="M84" s="69"/>
      <c r="N84" s="69"/>
      <c r="O84" s="69"/>
    </row>
    <row r="85" spans="1:15" x14ac:dyDescent="0.2">
      <c r="A85" s="1085"/>
      <c r="B85" s="475"/>
      <c r="C85" s="1085"/>
      <c r="D85" s="1074"/>
      <c r="E85" s="1074"/>
      <c r="F85" s="1074"/>
      <c r="G85" s="1074"/>
      <c r="H85" s="1074"/>
      <c r="J85" s="475"/>
      <c r="K85" s="69"/>
      <c r="L85" s="69"/>
      <c r="M85" s="69"/>
      <c r="N85" s="69"/>
      <c r="O85" s="69"/>
    </row>
    <row r="86" spans="1:15" x14ac:dyDescent="0.2">
      <c r="A86" s="1085" t="s">
        <v>1179</v>
      </c>
      <c r="B86" s="475"/>
      <c r="C86" s="1085"/>
      <c r="D86" s="1075"/>
      <c r="E86" s="1075">
        <f>D94</f>
        <v>0</v>
      </c>
      <c r="F86" s="1075">
        <f>E94</f>
        <v>0</v>
      </c>
      <c r="G86" s="1075">
        <f>F94</f>
        <v>0</v>
      </c>
      <c r="H86" s="1075">
        <f>G94</f>
        <v>0</v>
      </c>
      <c r="J86" s="475"/>
      <c r="K86" s="69"/>
      <c r="L86" s="69"/>
      <c r="M86" s="69"/>
      <c r="N86" s="69"/>
      <c r="O86" s="69"/>
    </row>
    <row r="87" spans="1:15" x14ac:dyDescent="0.2">
      <c r="A87" s="1085" t="s">
        <v>1180</v>
      </c>
      <c r="B87" s="475"/>
      <c r="C87" s="1085"/>
      <c r="D87" s="1074">
        <f>D71</f>
        <v>0</v>
      </c>
      <c r="E87" s="1074">
        <f>E71</f>
        <v>0</v>
      </c>
      <c r="F87" s="1074">
        <f>F71</f>
        <v>0</v>
      </c>
      <c r="G87" s="1074">
        <f>G71</f>
        <v>0</v>
      </c>
      <c r="H87" s="1074">
        <f>H71</f>
        <v>0</v>
      </c>
      <c r="J87" s="475"/>
      <c r="K87" s="69"/>
      <c r="L87" s="1098"/>
      <c r="M87" s="475"/>
      <c r="N87" s="69"/>
      <c r="O87" s="69"/>
    </row>
    <row r="88" spans="1:15" x14ac:dyDescent="0.2">
      <c r="A88" s="1085" t="s">
        <v>1181</v>
      </c>
      <c r="B88" s="475"/>
      <c r="C88" s="1085"/>
      <c r="D88" s="1075">
        <f>SUM(D86:D87)</f>
        <v>0</v>
      </c>
      <c r="E88" s="1075">
        <f>SUM(E86:E87)</f>
        <v>0</v>
      </c>
      <c r="F88" s="1075">
        <f>SUM(F86:F87)</f>
        <v>0</v>
      </c>
      <c r="G88" s="1075">
        <f>SUM(G86:G87)</f>
        <v>0</v>
      </c>
      <c r="H88" s="1075">
        <f>SUM(H86:H87)</f>
        <v>0</v>
      </c>
      <c r="J88" s="475"/>
      <c r="K88" s="69"/>
      <c r="L88" s="475"/>
      <c r="M88" s="69"/>
      <c r="N88" s="69"/>
      <c r="O88" s="69"/>
    </row>
    <row r="89" spans="1:15" x14ac:dyDescent="0.2">
      <c r="A89" s="1085" t="s">
        <v>1182</v>
      </c>
      <c r="B89" s="475"/>
      <c r="C89" s="1085"/>
      <c r="D89" s="1074">
        <f>D87/2</f>
        <v>0</v>
      </c>
      <c r="E89" s="1074">
        <f>E87/2</f>
        <v>0</v>
      </c>
      <c r="F89" s="1074">
        <f>F87/2</f>
        <v>0</v>
      </c>
      <c r="G89" s="1074">
        <f>G87/2</f>
        <v>0</v>
      </c>
      <c r="H89" s="1074">
        <f>H87/2</f>
        <v>0</v>
      </c>
      <c r="J89" s="475"/>
      <c r="K89" s="69"/>
      <c r="L89" s="69"/>
      <c r="M89" s="69"/>
      <c r="N89" s="69"/>
      <c r="O89" s="69"/>
    </row>
    <row r="90" spans="1:15" x14ac:dyDescent="0.2">
      <c r="A90" s="1085" t="s">
        <v>1183</v>
      </c>
      <c r="B90" s="475"/>
      <c r="C90" s="1085"/>
      <c r="D90" s="1075">
        <f>D88-D89</f>
        <v>0</v>
      </c>
      <c r="E90" s="1075">
        <f>E88-E89</f>
        <v>0</v>
      </c>
      <c r="F90" s="1075">
        <f>F88-F89</f>
        <v>0</v>
      </c>
      <c r="G90" s="1075">
        <f>G88-G89</f>
        <v>0</v>
      </c>
      <c r="H90" s="1075">
        <f>H88-H89</f>
        <v>0</v>
      </c>
      <c r="J90" s="69"/>
      <c r="K90" s="69"/>
      <c r="L90" s="69"/>
      <c r="M90" s="69"/>
      <c r="N90" s="69"/>
      <c r="O90" s="69"/>
    </row>
    <row r="91" spans="1:15" x14ac:dyDescent="0.2">
      <c r="A91" s="1085" t="s">
        <v>1184</v>
      </c>
      <c r="B91" s="475"/>
      <c r="C91" s="1102">
        <v>47</v>
      </c>
      <c r="D91" s="1102">
        <f>C91</f>
        <v>47</v>
      </c>
      <c r="E91" s="1102">
        <f>C91</f>
        <v>47</v>
      </c>
      <c r="F91" s="1102">
        <f>C91</f>
        <v>47</v>
      </c>
      <c r="G91" s="1102">
        <f>C91</f>
        <v>47</v>
      </c>
      <c r="H91" s="1102">
        <f>C91</f>
        <v>47</v>
      </c>
      <c r="J91" s="69"/>
      <c r="K91" s="69"/>
      <c r="L91" s="69"/>
      <c r="M91" s="69"/>
      <c r="N91" s="69"/>
      <c r="O91" s="69"/>
    </row>
    <row r="92" spans="1:15" x14ac:dyDescent="0.2">
      <c r="A92" s="1085" t="s">
        <v>1185</v>
      </c>
      <c r="B92" s="475"/>
      <c r="C92" s="1103">
        <v>0.08</v>
      </c>
      <c r="D92" s="1103">
        <f>C92</f>
        <v>0.08</v>
      </c>
      <c r="E92" s="1103">
        <f>C92</f>
        <v>0.08</v>
      </c>
      <c r="F92" s="1103">
        <f>C92</f>
        <v>0.08</v>
      </c>
      <c r="G92" s="1103">
        <f>C92</f>
        <v>0.08</v>
      </c>
      <c r="H92" s="1103">
        <f>C92</f>
        <v>0.08</v>
      </c>
      <c r="J92" s="475"/>
      <c r="K92" s="69"/>
      <c r="L92" s="69"/>
      <c r="M92" s="69"/>
      <c r="N92" s="69"/>
      <c r="O92" s="69"/>
    </row>
    <row r="93" spans="1:15" x14ac:dyDescent="0.2">
      <c r="A93" s="1085" t="s">
        <v>1186</v>
      </c>
      <c r="B93" s="475"/>
      <c r="C93" s="1085"/>
      <c r="D93" s="1075">
        <f>D90*D$92</f>
        <v>0</v>
      </c>
      <c r="E93" s="1075">
        <f t="shared" ref="E93:H93" si="0">E90*E$92</f>
        <v>0</v>
      </c>
      <c r="F93" s="1075">
        <f t="shared" si="0"/>
        <v>0</v>
      </c>
      <c r="G93" s="1075">
        <f t="shared" si="0"/>
        <v>0</v>
      </c>
      <c r="H93" s="1075">
        <f t="shared" si="0"/>
        <v>0</v>
      </c>
      <c r="J93" s="475"/>
      <c r="K93" s="69"/>
      <c r="L93" s="69"/>
      <c r="M93" s="69"/>
      <c r="N93" s="69"/>
      <c r="O93" s="69"/>
    </row>
    <row r="94" spans="1:15" ht="13.5" thickBot="1" x14ac:dyDescent="0.25">
      <c r="A94" s="1092" t="s">
        <v>1187</v>
      </c>
      <c r="B94" s="475"/>
      <c r="C94" s="1085"/>
      <c r="D94" s="1100">
        <f>D88-D93</f>
        <v>0</v>
      </c>
      <c r="E94" s="1100">
        <f>E88-E93</f>
        <v>0</v>
      </c>
      <c r="F94" s="1100">
        <f>F88-F93</f>
        <v>0</v>
      </c>
      <c r="G94" s="1100">
        <f>G88-G93</f>
        <v>0</v>
      </c>
      <c r="H94" s="1100">
        <f>H88-H93</f>
        <v>0</v>
      </c>
      <c r="J94" s="475"/>
      <c r="K94" s="69"/>
      <c r="L94" s="69"/>
      <c r="M94" s="69"/>
      <c r="N94" s="69"/>
      <c r="O94" s="69"/>
    </row>
    <row r="95" spans="1:15" x14ac:dyDescent="0.2">
      <c r="A95" s="1085"/>
      <c r="B95" s="1085"/>
      <c r="C95" s="1074"/>
      <c r="D95" s="1074"/>
      <c r="E95" s="1074"/>
      <c r="F95" s="475"/>
      <c r="G95" s="1074"/>
      <c r="H95" s="475"/>
      <c r="J95" s="475"/>
      <c r="K95" s="69"/>
      <c r="L95" s="69"/>
      <c r="M95" s="69"/>
      <c r="N95" s="69"/>
      <c r="O95" s="69"/>
    </row>
    <row r="96" spans="1:15" x14ac:dyDescent="0.2">
      <c r="J96" s="475"/>
      <c r="K96" s="69"/>
      <c r="L96" s="69"/>
      <c r="M96" s="69"/>
      <c r="N96" s="69"/>
      <c r="O96" s="69"/>
    </row>
    <row r="97" spans="4:15" x14ac:dyDescent="0.2">
      <c r="J97" s="475"/>
      <c r="K97" s="69"/>
      <c r="L97" s="69"/>
      <c r="M97" s="69"/>
      <c r="N97" s="69"/>
      <c r="O97" s="69"/>
    </row>
    <row r="98" spans="4:15" x14ac:dyDescent="0.2">
      <c r="J98" s="475"/>
      <c r="K98" s="69"/>
      <c r="L98" s="69"/>
      <c r="M98" s="69"/>
      <c r="N98" s="69"/>
      <c r="O98" s="69"/>
    </row>
    <row r="99" spans="4:15" x14ac:dyDescent="0.2">
      <c r="J99" s="475"/>
      <c r="K99" s="69"/>
      <c r="L99" s="1098"/>
      <c r="M99" s="475"/>
      <c r="N99" s="69"/>
      <c r="O99" s="69"/>
    </row>
    <row r="100" spans="4:15" x14ac:dyDescent="0.2">
      <c r="J100" s="475"/>
      <c r="K100" s="69"/>
      <c r="L100" s="475"/>
      <c r="M100" s="69"/>
      <c r="N100" s="69"/>
      <c r="O100" s="69"/>
    </row>
    <row r="101" spans="4:15" x14ac:dyDescent="0.2">
      <c r="D101" s="475"/>
      <c r="J101" s="475"/>
      <c r="K101" s="69"/>
      <c r="L101" s="69"/>
      <c r="M101" s="69"/>
      <c r="N101" s="69"/>
      <c r="O101" s="69"/>
    </row>
    <row r="104" spans="4:15" x14ac:dyDescent="0.2">
      <c r="J104" s="475"/>
    </row>
    <row r="105" spans="4:15" x14ac:dyDescent="0.2">
      <c r="J105" s="475"/>
    </row>
    <row r="106" spans="4:15" x14ac:dyDescent="0.2">
      <c r="J106" s="475"/>
    </row>
    <row r="107" spans="4:15" x14ac:dyDescent="0.2">
      <c r="J107" s="475"/>
    </row>
    <row r="108" spans="4:15" x14ac:dyDescent="0.2">
      <c r="J108" s="475"/>
    </row>
    <row r="109" spans="4:15" x14ac:dyDescent="0.2">
      <c r="J109" s="475"/>
    </row>
    <row r="110" spans="4:15" x14ac:dyDescent="0.2">
      <c r="J110" s="475"/>
    </row>
    <row r="111" spans="4:15" x14ac:dyDescent="0.2">
      <c r="J111" s="475"/>
      <c r="L111" s="1015"/>
      <c r="M111" s="475"/>
    </row>
    <row r="112" spans="4:15" x14ac:dyDescent="0.2">
      <c r="J112" s="475"/>
      <c r="L112" s="475"/>
    </row>
    <row r="113" spans="10:10" x14ac:dyDescent="0.2">
      <c r="J113" s="475"/>
    </row>
  </sheetData>
  <mergeCells count="18">
    <mergeCell ref="A9:F9"/>
    <mergeCell ref="A10:F10"/>
    <mergeCell ref="A12:F12"/>
    <mergeCell ref="A13:F13"/>
    <mergeCell ref="A14:F14"/>
    <mergeCell ref="P17:R17"/>
    <mergeCell ref="D17:F17"/>
    <mergeCell ref="E52:F52"/>
    <mergeCell ref="H52:I52"/>
    <mergeCell ref="K52:L52"/>
    <mergeCell ref="N52:O52"/>
    <mergeCell ref="Q52:R52"/>
    <mergeCell ref="A47:L47"/>
    <mergeCell ref="A49:M49"/>
    <mergeCell ref="A50:B50"/>
    <mergeCell ref="G17:I17"/>
    <mergeCell ref="J17:L17"/>
    <mergeCell ref="M17:O17"/>
  </mergeCells>
  <dataValidations disablePrompts="1" count="1">
    <dataValidation allowBlank="1" showInputMessage="1" showErrorMessage="1" promptTitle="Date Format" prompt="E.g:  &quot;August 1, 2011&quot;" sqref="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dataValidation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O23"/>
  <sheetViews>
    <sheetView showGridLines="0" zoomScaleNormal="100" workbookViewId="0">
      <selection activeCell="I2" sqref="I2"/>
    </sheetView>
  </sheetViews>
  <sheetFormatPr defaultColWidth="8.85546875" defaultRowHeight="15" x14ac:dyDescent="0.25"/>
  <cols>
    <col min="1" max="16384" width="8.85546875" style="668"/>
  </cols>
  <sheetData>
    <row r="1" spans="1:15" s="265" customFormat="1" x14ac:dyDescent="0.25">
      <c r="A1" s="216"/>
      <c r="B1" s="216"/>
      <c r="C1" s="216"/>
      <c r="D1" s="216"/>
      <c r="E1" s="216"/>
      <c r="F1" s="216"/>
      <c r="G1" s="216"/>
      <c r="I1" s="14" t="s">
        <v>419</v>
      </c>
      <c r="K1" s="766" t="str">
        <f>EBNUMBER</f>
        <v>EB-2014-0113</v>
      </c>
    </row>
    <row r="2" spans="1:15" s="265" customFormat="1" x14ac:dyDescent="0.25">
      <c r="A2" s="216"/>
      <c r="B2" s="216"/>
      <c r="C2" s="216"/>
      <c r="D2" s="216"/>
      <c r="E2" s="216"/>
      <c r="F2" s="216"/>
      <c r="G2" s="216"/>
      <c r="I2" s="14" t="s">
        <v>420</v>
      </c>
      <c r="K2" s="209">
        <v>2</v>
      </c>
    </row>
    <row r="3" spans="1:15" s="265" customFormat="1" x14ac:dyDescent="0.25">
      <c r="A3" s="216"/>
      <c r="B3" s="216"/>
      <c r="C3" s="216"/>
      <c r="D3" s="216"/>
      <c r="E3" s="216"/>
      <c r="F3" s="216"/>
      <c r="G3" s="216"/>
      <c r="I3" s="14" t="s">
        <v>421</v>
      </c>
      <c r="K3" s="209">
        <v>2</v>
      </c>
    </row>
    <row r="4" spans="1:15" s="265" customFormat="1" x14ac:dyDescent="0.25">
      <c r="A4" s="216"/>
      <c r="B4" s="216"/>
      <c r="C4" s="216"/>
      <c r="D4" s="216"/>
      <c r="E4" s="216"/>
      <c r="F4" s="216"/>
      <c r="G4" s="216"/>
      <c r="I4" s="14" t="s">
        <v>422</v>
      </c>
      <c r="K4" s="209">
        <v>2</v>
      </c>
    </row>
    <row r="5" spans="1:15" s="265" customFormat="1" x14ac:dyDescent="0.25">
      <c r="A5" s="216"/>
      <c r="B5" s="216"/>
      <c r="C5" s="216"/>
      <c r="D5" s="216"/>
      <c r="E5" s="216"/>
      <c r="F5" s="216"/>
      <c r="G5" s="216"/>
      <c r="I5" s="14" t="s">
        <v>423</v>
      </c>
      <c r="K5" s="210"/>
    </row>
    <row r="6" spans="1:15" s="265" customFormat="1" x14ac:dyDescent="0.25">
      <c r="A6" s="216"/>
      <c r="B6" s="216"/>
      <c r="C6" s="216"/>
      <c r="D6" s="216"/>
      <c r="E6" s="216"/>
      <c r="F6" s="216"/>
      <c r="G6" s="216"/>
      <c r="I6" s="14"/>
      <c r="K6" s="208"/>
    </row>
    <row r="7" spans="1:15" s="265" customFormat="1" x14ac:dyDescent="0.25">
      <c r="A7" s="216"/>
      <c r="B7" s="216"/>
      <c r="C7" s="216"/>
      <c r="D7" s="216"/>
      <c r="E7" s="216"/>
      <c r="F7" s="216"/>
      <c r="G7" s="216"/>
      <c r="I7" s="14" t="s">
        <v>424</v>
      </c>
      <c r="K7" s="1466">
        <v>42119</v>
      </c>
    </row>
    <row r="8" spans="1:15" s="265" customFormat="1" x14ac:dyDescent="0.25">
      <c r="A8" s="236"/>
      <c r="B8" s="236"/>
      <c r="C8" s="236"/>
      <c r="D8" s="236"/>
      <c r="E8" s="236"/>
      <c r="F8" s="236"/>
      <c r="G8" s="236"/>
      <c r="H8" s="236"/>
      <c r="I8" s="236"/>
      <c r="J8" s="809"/>
      <c r="K8" s="809"/>
      <c r="L8" s="809"/>
      <c r="M8" s="809"/>
      <c r="N8" s="809"/>
      <c r="O8" s="809"/>
    </row>
    <row r="9" spans="1:15" s="265" customFormat="1" ht="18" x14ac:dyDescent="0.25">
      <c r="A9" s="1856" t="s">
        <v>178</v>
      </c>
      <c r="B9" s="1856"/>
      <c r="C9" s="1856"/>
      <c r="D9" s="1856"/>
      <c r="E9" s="1856"/>
      <c r="F9" s="1856"/>
      <c r="G9" s="1856"/>
      <c r="H9" s="1856"/>
      <c r="I9" s="1856"/>
      <c r="J9" s="1856"/>
      <c r="K9" s="1856"/>
      <c r="L9" s="809"/>
      <c r="M9" s="809"/>
      <c r="N9" s="809"/>
      <c r="O9" s="809"/>
    </row>
    <row r="10" spans="1:15" s="265" customFormat="1" ht="18" x14ac:dyDescent="0.25">
      <c r="A10" s="1856" t="s">
        <v>1948</v>
      </c>
      <c r="B10" s="1856"/>
      <c r="C10" s="1856"/>
      <c r="D10" s="1856"/>
      <c r="E10" s="1856"/>
      <c r="F10" s="1856"/>
      <c r="G10" s="1856"/>
      <c r="H10" s="1856"/>
      <c r="I10" s="1856"/>
      <c r="J10" s="1856"/>
      <c r="K10" s="1856"/>
      <c r="L10" s="809"/>
      <c r="M10" s="809"/>
      <c r="N10" s="809"/>
      <c r="O10" s="809"/>
    </row>
    <row r="11" spans="1:15" s="265" customFormat="1" ht="18" x14ac:dyDescent="0.25">
      <c r="A11" s="1856" t="s">
        <v>785</v>
      </c>
      <c r="B11" s="1856"/>
      <c r="C11" s="1856"/>
      <c r="D11" s="1856"/>
      <c r="E11" s="1856"/>
      <c r="F11" s="1856"/>
      <c r="G11" s="1856"/>
      <c r="H11" s="1856"/>
      <c r="I11" s="1856"/>
      <c r="J11" s="1856"/>
      <c r="K11" s="1856"/>
      <c r="L11" s="809"/>
      <c r="M11" s="809"/>
      <c r="N11" s="809"/>
      <c r="O11" s="809"/>
    </row>
    <row r="12" spans="1:15" ht="15.75" thickBot="1" x14ac:dyDescent="0.3">
      <c r="A12" s="808"/>
      <c r="B12" s="808"/>
      <c r="C12" s="808"/>
      <c r="D12" s="808"/>
      <c r="E12" s="808"/>
      <c r="F12" s="808"/>
      <c r="G12" s="808"/>
      <c r="H12" s="808"/>
      <c r="I12" s="808"/>
      <c r="J12" s="808"/>
      <c r="K12" s="808"/>
      <c r="L12" s="808"/>
      <c r="M12" s="808"/>
      <c r="N12" s="808"/>
      <c r="O12" s="808"/>
    </row>
    <row r="13" spans="1:15" ht="15.75" thickBot="1" x14ac:dyDescent="0.3">
      <c r="A13" s="2010" t="s">
        <v>654</v>
      </c>
      <c r="B13" s="2012" t="s">
        <v>779</v>
      </c>
      <c r="C13" s="2013"/>
      <c r="D13" s="2013"/>
      <c r="E13" s="2013"/>
      <c r="F13" s="2013"/>
      <c r="G13" s="2014" t="s">
        <v>780</v>
      </c>
      <c r="H13" s="2013"/>
      <c r="I13" s="2013"/>
      <c r="J13" s="2013"/>
      <c r="K13" s="2015"/>
      <c r="L13" s="808"/>
      <c r="M13" s="808"/>
      <c r="N13" s="808"/>
      <c r="O13" s="808"/>
    </row>
    <row r="14" spans="1:15" x14ac:dyDescent="0.25">
      <c r="A14" s="2011"/>
      <c r="B14" s="987">
        <v>2008</v>
      </c>
      <c r="C14" s="988">
        <v>2009</v>
      </c>
      <c r="D14" s="989">
        <v>2010</v>
      </c>
      <c r="E14" s="989">
        <v>2011</v>
      </c>
      <c r="F14" s="990">
        <v>2012</v>
      </c>
      <c r="G14" s="991">
        <v>2008</v>
      </c>
      <c r="H14" s="987">
        <v>2009</v>
      </c>
      <c r="I14" s="989">
        <v>2010</v>
      </c>
      <c r="J14" s="989">
        <v>2011</v>
      </c>
      <c r="K14" s="989">
        <v>2012</v>
      </c>
      <c r="L14" s="808"/>
      <c r="M14" s="808"/>
      <c r="N14" s="808"/>
      <c r="O14" s="808"/>
    </row>
    <row r="15" spans="1:15" x14ac:dyDescent="0.25">
      <c r="A15" s="992" t="s">
        <v>781</v>
      </c>
      <c r="B15" s="993">
        <v>0.8</v>
      </c>
      <c r="C15" s="993">
        <v>0.28000000000000003</v>
      </c>
      <c r="D15" s="994">
        <v>0.34</v>
      </c>
      <c r="E15" s="994">
        <v>1.72</v>
      </c>
      <c r="F15" s="995">
        <v>0.22</v>
      </c>
      <c r="G15" s="996">
        <v>0.4501</v>
      </c>
      <c r="H15" s="993">
        <v>0.1263</v>
      </c>
      <c r="I15" s="994">
        <v>0.34329999999999999</v>
      </c>
      <c r="J15" s="994">
        <v>0.9869</v>
      </c>
      <c r="K15" s="994">
        <v>0.2172</v>
      </c>
      <c r="L15" s="808"/>
      <c r="M15" s="808"/>
      <c r="N15" s="808"/>
      <c r="O15" s="808"/>
    </row>
    <row r="16" spans="1:15" ht="15.75" thickBot="1" x14ac:dyDescent="0.3">
      <c r="A16" s="997" t="s">
        <v>782</v>
      </c>
      <c r="B16" s="998">
        <v>2.0099999999999998</v>
      </c>
      <c r="C16" s="998">
        <v>0.65</v>
      </c>
      <c r="D16" s="999">
        <v>0.56999999999999995</v>
      </c>
      <c r="E16" s="999">
        <v>1.69</v>
      </c>
      <c r="F16" s="1000">
        <v>1.05</v>
      </c>
      <c r="G16" s="1001">
        <v>0.3886</v>
      </c>
      <c r="H16" s="998">
        <v>0.39150000000000001</v>
      </c>
      <c r="I16" s="999">
        <v>0.57489999999999997</v>
      </c>
      <c r="J16" s="999">
        <v>1.0035000000000001</v>
      </c>
      <c r="K16" s="999">
        <v>1.0474000000000001</v>
      </c>
      <c r="L16" s="808"/>
      <c r="M16" s="808"/>
      <c r="N16" s="808"/>
      <c r="O16" s="808"/>
    </row>
    <row r="17" spans="1:15" x14ac:dyDescent="0.25">
      <c r="A17"/>
      <c r="B17"/>
      <c r="C17"/>
      <c r="D17"/>
      <c r="E17"/>
      <c r="F17"/>
      <c r="G17"/>
      <c r="H17"/>
      <c r="I17"/>
      <c r="J17"/>
      <c r="K17"/>
      <c r="L17" s="808"/>
      <c r="M17" s="808"/>
      <c r="N17" s="808"/>
      <c r="O17" s="808"/>
    </row>
    <row r="18" spans="1:15" ht="15.75" thickBot="1" x14ac:dyDescent="0.3">
      <c r="A18" s="2019" t="s">
        <v>1115</v>
      </c>
      <c r="B18" s="2019"/>
      <c r="C18" s="2019"/>
      <c r="D18" s="2019"/>
      <c r="E18" s="2019"/>
      <c r="F18" s="2019"/>
      <c r="G18" s="2019"/>
      <c r="H18" s="2019"/>
      <c r="I18" s="2019"/>
      <c r="J18" s="2019"/>
      <c r="K18" s="2019"/>
      <c r="L18" s="808"/>
      <c r="M18" s="808"/>
      <c r="N18" s="808"/>
      <c r="O18" s="808"/>
    </row>
    <row r="19" spans="1:15" ht="16.5" thickTop="1" thickBot="1" x14ac:dyDescent="0.3">
      <c r="A19" s="1002" t="s">
        <v>781</v>
      </c>
      <c r="B19" s="2016"/>
      <c r="C19" s="2016"/>
      <c r="D19" s="2016"/>
      <c r="E19" s="2016"/>
      <c r="F19" s="1003">
        <f>IF(ISERROR(AVERAGE(B15:F15)), "", AVERAGE(B15:F15))</f>
        <v>0.67200000000000004</v>
      </c>
      <c r="G19" s="2017"/>
      <c r="H19" s="2016"/>
      <c r="I19" s="2016"/>
      <c r="J19" s="2016"/>
      <c r="K19" s="1003">
        <f>IF(ISERROR(AVERAGE(G15:K15)), "", AVERAGE(G15:K15))</f>
        <v>0.42476000000000003</v>
      </c>
      <c r="L19" s="808"/>
      <c r="M19" s="808"/>
      <c r="N19" s="808"/>
      <c r="O19" s="808"/>
    </row>
    <row r="20" spans="1:15" ht="15.75" thickBot="1" x14ac:dyDescent="0.3">
      <c r="A20" s="1004" t="s">
        <v>782</v>
      </c>
      <c r="B20" s="2020"/>
      <c r="C20" s="2020"/>
      <c r="D20" s="2020"/>
      <c r="E20" s="2020"/>
      <c r="F20" s="1003">
        <f>IF(ISERROR(AVERAGE(B16:F16)), "", AVERAGE(B16:F16))</f>
        <v>1.194</v>
      </c>
      <c r="G20" s="2021"/>
      <c r="H20" s="2020"/>
      <c r="I20" s="2020"/>
      <c r="J20" s="2020"/>
      <c r="K20" s="1003">
        <f>IF(ISERROR(AVERAGE(G16:K16)), "", AVERAGE(G16:K16))</f>
        <v>0.68118000000000012</v>
      </c>
    </row>
    <row r="21" spans="1:15" x14ac:dyDescent="0.25">
      <c r="A21"/>
      <c r="B21"/>
      <c r="C21"/>
      <c r="D21"/>
      <c r="E21"/>
      <c r="F21"/>
      <c r="G21"/>
      <c r="H21"/>
      <c r="I21"/>
      <c r="J21"/>
      <c r="K21"/>
    </row>
    <row r="22" spans="1:15" x14ac:dyDescent="0.25">
      <c r="A22" s="2018" t="s">
        <v>783</v>
      </c>
      <c r="B22" s="2018"/>
      <c r="C22" s="2018"/>
      <c r="D22" s="2018"/>
      <c r="E22" s="2018"/>
      <c r="F22" s="2018"/>
      <c r="G22" s="2018"/>
      <c r="H22" s="2018"/>
      <c r="I22" s="2018"/>
      <c r="J22" s="2018"/>
      <c r="K22" s="2018"/>
    </row>
    <row r="23" spans="1:15" x14ac:dyDescent="0.25">
      <c r="A23" s="2018" t="s">
        <v>784</v>
      </c>
      <c r="B23" s="2018"/>
      <c r="C23" s="2018"/>
      <c r="D23" s="2018"/>
      <c r="E23" s="2018"/>
      <c r="F23" s="2018"/>
      <c r="G23" s="2018"/>
      <c r="H23" s="2018"/>
      <c r="I23" s="2018"/>
      <c r="J23" s="2018"/>
      <c r="K23" s="2018"/>
    </row>
  </sheetData>
  <mergeCells count="13">
    <mergeCell ref="B19:E19"/>
    <mergeCell ref="G19:J19"/>
    <mergeCell ref="A22:K22"/>
    <mergeCell ref="A23:K23"/>
    <mergeCell ref="A18:K18"/>
    <mergeCell ref="B20:E20"/>
    <mergeCell ref="G20:J20"/>
    <mergeCell ref="A9:K9"/>
    <mergeCell ref="A10:K10"/>
    <mergeCell ref="A11:K11"/>
    <mergeCell ref="A13:A14"/>
    <mergeCell ref="B13:F13"/>
    <mergeCell ref="G13:K13"/>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 right="0.7" top="0.75" bottom="0.75" header="0.3" footer="0.3"/>
  <pageSetup scale="9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M64"/>
  <sheetViews>
    <sheetView showGridLines="0" topLeftCell="A8" zoomScaleNormal="100" workbookViewId="0">
      <selection activeCell="A36" sqref="A36"/>
    </sheetView>
  </sheetViews>
  <sheetFormatPr defaultRowHeight="12.75" x14ac:dyDescent="0.2"/>
  <cols>
    <col min="1" max="1" width="4.7109375" customWidth="1"/>
    <col min="2" max="2" width="11.28515625" customWidth="1"/>
    <col min="3" max="3" width="50.85546875" bestFit="1" customWidth="1"/>
    <col min="4" max="11" width="13.7109375" customWidth="1"/>
    <col min="12" max="12" width="22" customWidth="1"/>
  </cols>
  <sheetData>
    <row r="1" spans="2:12" x14ac:dyDescent="0.2">
      <c r="I1" s="14"/>
      <c r="J1" s="215" t="s">
        <v>419</v>
      </c>
      <c r="K1" s="766" t="str">
        <f>EBNUMBER</f>
        <v>EB-2014-0113</v>
      </c>
    </row>
    <row r="2" spans="2:12" x14ac:dyDescent="0.2">
      <c r="I2" s="14"/>
      <c r="J2" s="215" t="s">
        <v>420</v>
      </c>
      <c r="K2" s="209">
        <v>3</v>
      </c>
    </row>
    <row r="3" spans="2:12" x14ac:dyDescent="0.2">
      <c r="I3" s="14"/>
      <c r="J3" s="215" t="s">
        <v>421</v>
      </c>
      <c r="K3" s="209">
        <v>1</v>
      </c>
    </row>
    <row r="4" spans="2:12" x14ac:dyDescent="0.2">
      <c r="I4" s="14"/>
      <c r="J4" s="215" t="s">
        <v>422</v>
      </c>
      <c r="K4" s="209">
        <v>6</v>
      </c>
    </row>
    <row r="5" spans="2:12" x14ac:dyDescent="0.2">
      <c r="I5" s="14"/>
      <c r="J5" s="215" t="s">
        <v>423</v>
      </c>
      <c r="K5" s="210" t="s">
        <v>2142</v>
      </c>
    </row>
    <row r="6" spans="2:12" x14ac:dyDescent="0.2">
      <c r="I6" s="14"/>
      <c r="J6" s="215"/>
      <c r="K6" s="208"/>
    </row>
    <row r="7" spans="2:12" x14ac:dyDescent="0.2">
      <c r="I7" s="14"/>
      <c r="J7" s="215" t="s">
        <v>424</v>
      </c>
      <c r="K7" s="1466">
        <v>42119</v>
      </c>
    </row>
    <row r="8" spans="2:12" x14ac:dyDescent="0.2">
      <c r="J8" s="214"/>
    </row>
    <row r="9" spans="2:12" ht="18" x14ac:dyDescent="0.25">
      <c r="B9" s="1746" t="s">
        <v>620</v>
      </c>
      <c r="C9" s="1746"/>
      <c r="D9" s="1746"/>
      <c r="E9" s="1746"/>
      <c r="F9" s="1746"/>
      <c r="G9" s="1746"/>
      <c r="H9" s="1746"/>
      <c r="I9" s="1746"/>
      <c r="J9" s="1746"/>
      <c r="K9" s="1746"/>
    </row>
    <row r="10" spans="2:12" ht="18" x14ac:dyDescent="0.25">
      <c r="B10" s="1746" t="s">
        <v>53</v>
      </c>
      <c r="C10" s="1746"/>
      <c r="D10" s="1746"/>
      <c r="E10" s="1746"/>
      <c r="F10" s="1746"/>
      <c r="G10" s="1746"/>
      <c r="H10" s="1746"/>
      <c r="I10" s="1746"/>
      <c r="J10" s="1746"/>
      <c r="K10" s="1746"/>
    </row>
    <row r="11" spans="2:12" ht="13.5" thickBot="1" x14ac:dyDescent="0.25"/>
    <row r="12" spans="2:12" x14ac:dyDescent="0.2">
      <c r="B12" s="36" t="s">
        <v>52</v>
      </c>
      <c r="C12" s="37" t="s">
        <v>142</v>
      </c>
      <c r="D12" s="1517">
        <v>2011</v>
      </c>
      <c r="E12" s="1449" t="str">
        <f>I13-3 &amp; " Actual"</f>
        <v>2011 Actual</v>
      </c>
      <c r="F12" s="1449" t="s">
        <v>1988</v>
      </c>
      <c r="G12" s="1449" t="s">
        <v>1989</v>
      </c>
      <c r="H12" s="1449" t="str">
        <f>I13-1 &amp; " Actual"&amp; CHAR(178)</f>
        <v>2013 Actual²</v>
      </c>
      <c r="I12" s="1448" t="str">
        <f>"Bridge Year" &amp; CHAR(179)</f>
        <v>Bridge Year³</v>
      </c>
      <c r="J12" s="1448" t="str">
        <f>"Bridge Year" &amp; CHAR(179)</f>
        <v>Bridge Year³</v>
      </c>
      <c r="K12" s="168" t="s">
        <v>432</v>
      </c>
    </row>
    <row r="13" spans="2:12" x14ac:dyDescent="0.2">
      <c r="B13" s="162"/>
      <c r="C13" s="163"/>
      <c r="D13" s="127" t="s">
        <v>2059</v>
      </c>
      <c r="E13" s="127"/>
      <c r="F13" s="127"/>
      <c r="G13" s="127"/>
      <c r="H13" s="169"/>
      <c r="I13" s="169">
        <f>J13</f>
        <v>2014</v>
      </c>
      <c r="J13" s="169">
        <f>BridgeYear</f>
        <v>2014</v>
      </c>
      <c r="K13" s="170">
        <v>2015</v>
      </c>
    </row>
    <row r="14" spans="2:12" x14ac:dyDescent="0.2">
      <c r="B14" s="162"/>
      <c r="C14" s="354" t="s">
        <v>160</v>
      </c>
      <c r="D14" s="194" t="s">
        <v>161</v>
      </c>
      <c r="E14" s="194" t="s">
        <v>161</v>
      </c>
      <c r="F14" s="194" t="s">
        <v>162</v>
      </c>
      <c r="G14" s="194" t="s">
        <v>162</v>
      </c>
      <c r="H14" s="194" t="s">
        <v>162</v>
      </c>
      <c r="I14" s="194" t="s">
        <v>162</v>
      </c>
      <c r="J14" s="341" t="s">
        <v>162</v>
      </c>
      <c r="K14" s="342" t="s">
        <v>162</v>
      </c>
    </row>
    <row r="15" spans="2:12" x14ac:dyDescent="0.2">
      <c r="B15" s="128"/>
      <c r="C15" s="7"/>
      <c r="D15" s="204"/>
      <c r="E15" s="204"/>
      <c r="F15" s="204"/>
      <c r="G15" s="204"/>
      <c r="H15" s="204"/>
      <c r="I15" s="204"/>
      <c r="J15" s="343"/>
      <c r="K15" s="344"/>
    </row>
    <row r="16" spans="2:12" x14ac:dyDescent="0.2">
      <c r="B16" s="1450">
        <v>4080</v>
      </c>
      <c r="C16" s="371" t="s">
        <v>2058</v>
      </c>
      <c r="D16" s="204">
        <v>33130</v>
      </c>
      <c r="E16" s="204">
        <v>48039</v>
      </c>
      <c r="F16" s="204">
        <f>+E16</f>
        <v>48039</v>
      </c>
      <c r="G16" s="204">
        <v>57834</v>
      </c>
      <c r="H16" s="204">
        <v>58337</v>
      </c>
      <c r="I16" s="204"/>
      <c r="J16" s="343">
        <v>50000</v>
      </c>
      <c r="K16" s="344">
        <v>37410</v>
      </c>
      <c r="L16" s="1454">
        <f t="shared" ref="L16:L25" si="0">+K16-F16</f>
        <v>-10629</v>
      </c>
    </row>
    <row r="17" spans="2:13" x14ac:dyDescent="0.2">
      <c r="B17" s="1450">
        <v>4082</v>
      </c>
      <c r="C17" s="371" t="s">
        <v>57</v>
      </c>
      <c r="D17" s="204">
        <v>37386</v>
      </c>
      <c r="E17" s="204">
        <v>31980.1</v>
      </c>
      <c r="F17" s="204">
        <v>31980.1</v>
      </c>
      <c r="G17" s="204">
        <v>27269</v>
      </c>
      <c r="H17" s="204">
        <v>25111</v>
      </c>
      <c r="I17" s="204"/>
      <c r="J17" s="343">
        <v>29252</v>
      </c>
      <c r="K17" s="344">
        <v>29245</v>
      </c>
      <c r="L17" s="1454">
        <f t="shared" si="0"/>
        <v>-2735.0999999999985</v>
      </c>
    </row>
    <row r="18" spans="2:13" x14ac:dyDescent="0.2">
      <c r="B18" s="1450">
        <v>4084</v>
      </c>
      <c r="C18" s="371" t="s">
        <v>1983</v>
      </c>
      <c r="D18" s="204">
        <v>967</v>
      </c>
      <c r="E18" s="204">
        <v>898.25</v>
      </c>
      <c r="F18" s="204">
        <v>898.25</v>
      </c>
      <c r="G18" s="204">
        <v>696</v>
      </c>
      <c r="H18" s="204">
        <v>631</v>
      </c>
      <c r="I18" s="204"/>
      <c r="J18" s="343">
        <v>746</v>
      </c>
      <c r="K18" s="344">
        <v>746</v>
      </c>
      <c r="L18" s="1454">
        <f t="shared" si="0"/>
        <v>-152.25</v>
      </c>
    </row>
    <row r="19" spans="2:13" x14ac:dyDescent="0.2">
      <c r="B19" s="1450">
        <v>4210</v>
      </c>
      <c r="C19" s="371" t="s">
        <v>1982</v>
      </c>
      <c r="D19" s="204">
        <v>305058</v>
      </c>
      <c r="E19" s="204">
        <v>312993.95</v>
      </c>
      <c r="F19" s="204">
        <v>312993.95</v>
      </c>
      <c r="G19" s="204">
        <v>77313</v>
      </c>
      <c r="H19" s="204">
        <v>34074</v>
      </c>
      <c r="I19" s="204"/>
      <c r="J19" s="343">
        <v>30000</v>
      </c>
      <c r="K19" s="344">
        <v>29994</v>
      </c>
      <c r="L19" s="1454">
        <f t="shared" si="0"/>
        <v>-282999.95</v>
      </c>
    </row>
    <row r="20" spans="2:13" x14ac:dyDescent="0.2">
      <c r="B20" s="1450">
        <v>4220</v>
      </c>
      <c r="C20" s="371" t="s">
        <v>1984</v>
      </c>
      <c r="D20" s="204">
        <v>69935</v>
      </c>
      <c r="E20" s="204">
        <v>69935.16</v>
      </c>
      <c r="F20" s="204">
        <v>69935.16</v>
      </c>
      <c r="G20" s="204">
        <v>70135</v>
      </c>
      <c r="H20" s="204">
        <v>69935</v>
      </c>
      <c r="I20" s="204"/>
      <c r="J20" s="343">
        <v>65000</v>
      </c>
      <c r="K20" s="344">
        <v>65000</v>
      </c>
      <c r="L20" s="1454">
        <f t="shared" si="0"/>
        <v>-4935.1600000000035</v>
      </c>
    </row>
    <row r="21" spans="2:13" x14ac:dyDescent="0.2">
      <c r="B21" s="1450">
        <v>4225</v>
      </c>
      <c r="C21" s="371" t="s">
        <v>56</v>
      </c>
      <c r="D21" s="204">
        <v>138817</v>
      </c>
      <c r="E21" s="204">
        <v>122873.87</v>
      </c>
      <c r="F21" s="204">
        <v>122873.87</v>
      </c>
      <c r="G21" s="204">
        <v>118049</v>
      </c>
      <c r="H21" s="204">
        <v>130857</v>
      </c>
      <c r="I21" s="204"/>
      <c r="J21" s="343">
        <v>120000</v>
      </c>
      <c r="K21" s="344">
        <v>120000</v>
      </c>
      <c r="L21" s="1454">
        <f t="shared" si="0"/>
        <v>-2873.8699999999953</v>
      </c>
    </row>
    <row r="22" spans="2:13" x14ac:dyDescent="0.2">
      <c r="B22" s="1450">
        <v>4235</v>
      </c>
      <c r="C22" s="371" t="s">
        <v>55</v>
      </c>
      <c r="D22" s="204">
        <v>163834</v>
      </c>
      <c r="E22" s="204">
        <v>147745</v>
      </c>
      <c r="F22" s="204">
        <v>147745</v>
      </c>
      <c r="G22" s="204">
        <v>165278</v>
      </c>
      <c r="H22" s="204">
        <v>168396</v>
      </c>
      <c r="I22" s="204"/>
      <c r="J22" s="343">
        <v>149000</v>
      </c>
      <c r="K22" s="344">
        <v>149000</v>
      </c>
      <c r="L22" s="1454">
        <f t="shared" si="0"/>
        <v>1255</v>
      </c>
    </row>
    <row r="23" spans="2:13" x14ac:dyDescent="0.2">
      <c r="B23" s="1450">
        <v>4355</v>
      </c>
      <c r="C23" s="371" t="s">
        <v>1985</v>
      </c>
      <c r="D23" s="204"/>
      <c r="E23" s="204">
        <v>0</v>
      </c>
      <c r="F23" s="204">
        <v>0</v>
      </c>
      <c r="G23" s="204"/>
      <c r="H23" s="204"/>
      <c r="I23" s="204"/>
      <c r="J23" s="343"/>
      <c r="K23" s="344"/>
      <c r="L23" s="1454">
        <f t="shared" si="0"/>
        <v>0</v>
      </c>
    </row>
    <row r="24" spans="2:13" x14ac:dyDescent="0.2">
      <c r="B24" s="1450">
        <v>4375</v>
      </c>
      <c r="C24" s="371" t="s">
        <v>1986</v>
      </c>
      <c r="D24" s="204">
        <v>58374</v>
      </c>
      <c r="E24" s="204">
        <v>343085.33</v>
      </c>
      <c r="F24" s="204">
        <v>343085.33</v>
      </c>
      <c r="G24" s="204">
        <v>1064456</v>
      </c>
      <c r="H24" s="204">
        <v>1458239</v>
      </c>
      <c r="I24" s="204"/>
      <c r="J24" s="1504">
        <f>385000-43000</f>
        <v>342000</v>
      </c>
      <c r="K24" s="344">
        <f>294000+30000</f>
        <v>324000</v>
      </c>
      <c r="L24" s="1454">
        <f t="shared" si="0"/>
        <v>-19085.330000000016</v>
      </c>
    </row>
    <row r="25" spans="2:13" x14ac:dyDescent="0.2">
      <c r="B25" s="1450">
        <v>4390</v>
      </c>
      <c r="C25" s="371" t="s">
        <v>1987</v>
      </c>
      <c r="D25" s="204">
        <v>41000</v>
      </c>
      <c r="E25" s="204">
        <v>41000</v>
      </c>
      <c r="F25" s="204">
        <v>41000</v>
      </c>
      <c r="G25" s="204">
        <v>71848</v>
      </c>
      <c r="H25" s="204">
        <v>129922</v>
      </c>
      <c r="I25" s="204"/>
      <c r="J25" s="343">
        <v>60000</v>
      </c>
      <c r="K25" s="344">
        <v>0</v>
      </c>
      <c r="L25" s="1454">
        <f t="shared" si="0"/>
        <v>-41000</v>
      </c>
      <c r="M25" s="120" t="s">
        <v>2024</v>
      </c>
    </row>
    <row r="26" spans="2:13" x14ac:dyDescent="0.2">
      <c r="B26" s="1450"/>
      <c r="C26" s="371"/>
      <c r="D26" s="204"/>
      <c r="E26" s="204"/>
      <c r="F26" s="204"/>
      <c r="G26" s="204"/>
      <c r="H26" s="204"/>
      <c r="I26" s="204"/>
      <c r="J26" s="343"/>
      <c r="K26" s="344"/>
    </row>
    <row r="27" spans="2:13" ht="7.5" customHeight="1" thickBot="1" x14ac:dyDescent="0.25">
      <c r="B27" s="2025"/>
      <c r="C27" s="2026"/>
      <c r="D27" s="2026"/>
      <c r="E27" s="2026"/>
      <c r="F27" s="2026"/>
      <c r="G27" s="2026"/>
      <c r="H27" s="2026"/>
      <c r="I27" s="2026"/>
      <c r="J27" s="2027"/>
      <c r="K27" s="2028"/>
    </row>
    <row r="28" spans="2:13" x14ac:dyDescent="0.2">
      <c r="B28" s="2029" t="s">
        <v>55</v>
      </c>
      <c r="C28" s="2030"/>
      <c r="D28" s="1712">
        <f>+D22</f>
        <v>163834</v>
      </c>
      <c r="E28" s="1712">
        <f>+E22</f>
        <v>147745</v>
      </c>
      <c r="F28" s="1712">
        <f t="shared" ref="F28:K28" si="1">+F22</f>
        <v>147745</v>
      </c>
      <c r="G28" s="1712">
        <f t="shared" si="1"/>
        <v>165278</v>
      </c>
      <c r="H28" s="1712">
        <f t="shared" si="1"/>
        <v>168396</v>
      </c>
      <c r="I28" s="1712">
        <f t="shared" si="1"/>
        <v>0</v>
      </c>
      <c r="J28" s="1712">
        <f t="shared" si="1"/>
        <v>149000</v>
      </c>
      <c r="K28" s="1713">
        <f t="shared" si="1"/>
        <v>149000</v>
      </c>
      <c r="L28" s="1454">
        <f>SUM(L16:L26)</f>
        <v>-363155.66</v>
      </c>
    </row>
    <row r="29" spans="2:13" x14ac:dyDescent="0.2">
      <c r="B29" s="2023" t="s">
        <v>56</v>
      </c>
      <c r="C29" s="2024"/>
      <c r="D29" s="9">
        <f>+D21</f>
        <v>138817</v>
      </c>
      <c r="E29" s="9">
        <f>+E21</f>
        <v>122873.87</v>
      </c>
      <c r="F29" s="9">
        <f t="shared" ref="F29:K29" si="2">+F21</f>
        <v>122873.87</v>
      </c>
      <c r="G29" s="9">
        <f t="shared" si="2"/>
        <v>118049</v>
      </c>
      <c r="H29" s="9">
        <f t="shared" si="2"/>
        <v>130857</v>
      </c>
      <c r="I29" s="9">
        <f t="shared" si="2"/>
        <v>0</v>
      </c>
      <c r="J29" s="9">
        <f t="shared" si="2"/>
        <v>120000</v>
      </c>
      <c r="K29" s="39">
        <f t="shared" si="2"/>
        <v>120000</v>
      </c>
    </row>
    <row r="30" spans="2:13" x14ac:dyDescent="0.2">
      <c r="B30" s="2023" t="s">
        <v>320</v>
      </c>
      <c r="C30" s="2024"/>
      <c r="D30" s="1451">
        <f t="shared" ref="D30:K30" si="3">SUM(D16:D25)-D29-D28</f>
        <v>545850</v>
      </c>
      <c r="E30" s="1451">
        <f t="shared" si="3"/>
        <v>847931.79000000015</v>
      </c>
      <c r="F30" s="1451">
        <f t="shared" si="3"/>
        <v>847931.79000000015</v>
      </c>
      <c r="G30" s="1451">
        <f t="shared" si="3"/>
        <v>1369551</v>
      </c>
      <c r="H30" s="1451">
        <f t="shared" si="3"/>
        <v>1776249</v>
      </c>
      <c r="I30" s="1451">
        <f t="shared" si="3"/>
        <v>0</v>
      </c>
      <c r="J30" s="1451">
        <f t="shared" si="3"/>
        <v>576998</v>
      </c>
      <c r="K30" s="1464">
        <f t="shared" si="3"/>
        <v>486395</v>
      </c>
    </row>
    <row r="31" spans="2:13" ht="13.5" thickBot="1" x14ac:dyDescent="0.25">
      <c r="B31" s="2031" t="s">
        <v>321</v>
      </c>
      <c r="C31" s="2032"/>
      <c r="D31" s="204">
        <v>-39559</v>
      </c>
      <c r="E31" s="204">
        <v>-200024.61</v>
      </c>
      <c r="F31" s="204">
        <v>-200024.61</v>
      </c>
      <c r="G31" s="204">
        <v>-938565.82</v>
      </c>
      <c r="H31" s="204">
        <v>-1124370</v>
      </c>
      <c r="I31" s="204"/>
      <c r="J31" s="204">
        <v>-292256</v>
      </c>
      <c r="K31" s="344">
        <v>-299351</v>
      </c>
      <c r="L31" s="1454">
        <f>+K31-F31</f>
        <v>-99326.390000000014</v>
      </c>
    </row>
    <row r="32" spans="2:13" ht="14.25" thickTop="1" thickBot="1" x14ac:dyDescent="0.25">
      <c r="B32" s="2033" t="s">
        <v>413</v>
      </c>
      <c r="C32" s="2034"/>
      <c r="D32" s="40">
        <f t="shared" ref="D32" si="4">SUM(D28:D31)</f>
        <v>808942</v>
      </c>
      <c r="E32" s="40">
        <f t="shared" ref="E32:K32" si="5">SUM(E28:E31)</f>
        <v>918526.05000000016</v>
      </c>
      <c r="F32" s="40">
        <f t="shared" si="5"/>
        <v>918526.05000000016</v>
      </c>
      <c r="G32" s="40">
        <f t="shared" si="5"/>
        <v>714312.18</v>
      </c>
      <c r="H32" s="40">
        <f t="shared" si="5"/>
        <v>951132</v>
      </c>
      <c r="I32" s="40">
        <f t="shared" si="5"/>
        <v>0</v>
      </c>
      <c r="J32" s="40">
        <f t="shared" si="5"/>
        <v>553742</v>
      </c>
      <c r="K32" s="41">
        <f t="shared" si="5"/>
        <v>456044</v>
      </c>
    </row>
    <row r="34" spans="2:11" x14ac:dyDescent="0.2">
      <c r="B34" s="38" t="s">
        <v>346</v>
      </c>
      <c r="C34" s="14"/>
      <c r="D34" s="14"/>
      <c r="E34" s="38" t="s">
        <v>167</v>
      </c>
    </row>
    <row r="35" spans="2:11" x14ac:dyDescent="0.2">
      <c r="B35" s="1722" t="s">
        <v>166</v>
      </c>
      <c r="C35" s="1722"/>
      <c r="D35" s="1510"/>
      <c r="E35" s="60">
        <v>4235</v>
      </c>
    </row>
    <row r="36" spans="2:11" x14ac:dyDescent="0.2">
      <c r="B36" s="1722" t="s">
        <v>168</v>
      </c>
      <c r="C36" s="1722"/>
      <c r="D36" s="1510"/>
      <c r="E36" s="60">
        <v>4225</v>
      </c>
    </row>
    <row r="37" spans="2:11" x14ac:dyDescent="0.2">
      <c r="B37" s="1722" t="s">
        <v>169</v>
      </c>
      <c r="C37" s="1722"/>
      <c r="D37" s="1510"/>
      <c r="E37" s="1722" t="s">
        <v>262</v>
      </c>
      <c r="F37" s="1722"/>
      <c r="G37" s="1722"/>
      <c r="H37" s="1722"/>
      <c r="I37" s="1722"/>
      <c r="J37" s="1722"/>
      <c r="K37" s="1722"/>
    </row>
    <row r="38" spans="2:11" x14ac:dyDescent="0.2">
      <c r="B38" s="1722" t="s">
        <v>170</v>
      </c>
      <c r="C38" s="1722"/>
      <c r="D38" s="1510"/>
      <c r="E38" s="1749" t="s">
        <v>122</v>
      </c>
      <c r="F38" s="1749"/>
      <c r="G38" s="1749"/>
      <c r="H38" s="1749"/>
      <c r="I38" s="1749"/>
      <c r="J38" s="1749"/>
      <c r="K38" s="1749"/>
    </row>
    <row r="39" spans="2:11" x14ac:dyDescent="0.2">
      <c r="E39" s="1749"/>
      <c r="F39" s="1749"/>
      <c r="G39" s="1749"/>
      <c r="H39" s="1749"/>
      <c r="I39" s="1749"/>
      <c r="J39" s="1749"/>
      <c r="K39" s="1749"/>
    </row>
    <row r="41" spans="2:11" x14ac:dyDescent="0.2">
      <c r="B41" s="14" t="s">
        <v>322</v>
      </c>
      <c r="C41" s="120"/>
      <c r="D41" s="120"/>
      <c r="E41" s="121"/>
      <c r="F41" s="121"/>
      <c r="G41" s="121"/>
      <c r="H41" s="585"/>
      <c r="I41" s="121"/>
      <c r="J41" s="121"/>
      <c r="K41" s="121"/>
    </row>
    <row r="42" spans="2:11" x14ac:dyDescent="0.2">
      <c r="B42" s="2022"/>
      <c r="C42" s="2022"/>
      <c r="D42" s="2022"/>
      <c r="E42" s="2022"/>
      <c r="F42" s="2022"/>
      <c r="G42" s="2022"/>
      <c r="H42" s="2022"/>
      <c r="I42" s="2022"/>
      <c r="J42" s="2022"/>
      <c r="K42" s="2022"/>
    </row>
    <row r="43" spans="2:11" ht="12.75" customHeight="1" x14ac:dyDescent="0.2">
      <c r="B43" s="122" t="s">
        <v>323</v>
      </c>
      <c r="C43" s="123"/>
      <c r="D43" s="123"/>
      <c r="E43" s="123"/>
      <c r="F43" s="123"/>
      <c r="G43" s="123"/>
      <c r="H43" s="123"/>
      <c r="I43" s="123"/>
      <c r="J43" s="123"/>
      <c r="K43" s="123"/>
    </row>
    <row r="44" spans="2:11" x14ac:dyDescent="0.2">
      <c r="B44" s="123"/>
      <c r="C44" s="123"/>
      <c r="D44" s="123"/>
      <c r="E44" s="123"/>
      <c r="F44" s="123"/>
      <c r="G44" s="123"/>
      <c r="H44" s="123"/>
      <c r="I44" s="123"/>
      <c r="J44" s="123"/>
      <c r="K44" s="123"/>
    </row>
    <row r="45" spans="2:11" x14ac:dyDescent="0.2">
      <c r="B45" s="2039" t="s">
        <v>324</v>
      </c>
      <c r="C45" s="2039"/>
      <c r="D45" s="2039"/>
      <c r="E45" s="2039"/>
      <c r="F45" s="2039"/>
      <c r="G45" s="2039"/>
      <c r="H45" s="2039"/>
      <c r="I45" s="2039"/>
      <c r="J45" s="2039"/>
      <c r="K45" s="2039"/>
    </row>
    <row r="46" spans="2:11" x14ac:dyDescent="0.2">
      <c r="B46" s="2039"/>
      <c r="C46" s="2039"/>
      <c r="D46" s="2039"/>
      <c r="E46" s="2039"/>
      <c r="F46" s="2039"/>
      <c r="G46" s="2039"/>
      <c r="H46" s="2039"/>
      <c r="I46" s="2039"/>
      <c r="J46" s="2039"/>
      <c r="K46" s="2039"/>
    </row>
    <row r="48" spans="2:11" ht="13.5" thickBot="1" x14ac:dyDescent="0.25">
      <c r="B48" s="14" t="s">
        <v>173</v>
      </c>
    </row>
    <row r="49" spans="2:11" x14ac:dyDescent="0.2">
      <c r="B49" s="61"/>
      <c r="C49" s="62"/>
      <c r="D49" s="62"/>
      <c r="E49" s="1447" t="str">
        <f>E12</f>
        <v>2011 Actual</v>
      </c>
      <c r="F49" s="1447" t="str">
        <f t="shared" ref="F49:K49" si="6">F12</f>
        <v>2011 Actual</v>
      </c>
      <c r="G49" s="1447" t="str">
        <f t="shared" si="6"/>
        <v>2012 Actual</v>
      </c>
      <c r="H49" s="1447" t="str">
        <f t="shared" si="6"/>
        <v>2013 Actual²</v>
      </c>
      <c r="I49" s="1447" t="str">
        <f t="shared" si="6"/>
        <v>Bridge Year³</v>
      </c>
      <c r="J49" s="1447" t="str">
        <f t="shared" si="6"/>
        <v>Bridge Year³</v>
      </c>
      <c r="K49" s="142" t="str">
        <f t="shared" si="6"/>
        <v>Test Year</v>
      </c>
    </row>
    <row r="50" spans="2:11" x14ac:dyDescent="0.2">
      <c r="B50" s="1429"/>
      <c r="C50" s="1430"/>
      <c r="D50" s="1430"/>
      <c r="E50" s="146"/>
      <c r="F50" s="146"/>
      <c r="G50" s="146"/>
      <c r="H50" s="146"/>
      <c r="I50" s="146">
        <f>I13</f>
        <v>2014</v>
      </c>
      <c r="J50" s="146">
        <f>J13</f>
        <v>2014</v>
      </c>
      <c r="K50" s="147">
        <f>K13</f>
        <v>2015</v>
      </c>
    </row>
    <row r="51" spans="2:11" x14ac:dyDescent="0.2">
      <c r="B51" s="2040" t="s">
        <v>160</v>
      </c>
      <c r="C51" s="2041"/>
      <c r="D51" s="1518"/>
      <c r="E51" s="164" t="str">
        <f>IF(E14=0, "", E14)</f>
        <v>CGAAP</v>
      </c>
      <c r="F51" s="164" t="str">
        <f t="shared" ref="F51:K51" si="7">IF(F14=0, "", F14)</f>
        <v>MIFRS</v>
      </c>
      <c r="G51" s="164" t="str">
        <f t="shared" si="7"/>
        <v>MIFRS</v>
      </c>
      <c r="H51" s="164" t="str">
        <f t="shared" si="7"/>
        <v>MIFRS</v>
      </c>
      <c r="I51" s="164" t="str">
        <f t="shared" si="7"/>
        <v>MIFRS</v>
      </c>
      <c r="J51" s="164" t="str">
        <f t="shared" si="7"/>
        <v>MIFRS</v>
      </c>
      <c r="K51" s="1452" t="str">
        <f t="shared" si="7"/>
        <v>MIFRS</v>
      </c>
    </row>
    <row r="52" spans="2:11" x14ac:dyDescent="0.2">
      <c r="B52" s="2037" t="s">
        <v>171</v>
      </c>
      <c r="C52" s="2038"/>
      <c r="D52" s="1511"/>
      <c r="E52" s="204">
        <v>0</v>
      </c>
      <c r="F52" s="204"/>
      <c r="G52" s="204"/>
      <c r="H52" s="204"/>
      <c r="I52" s="204"/>
      <c r="J52" s="204"/>
      <c r="K52" s="344"/>
    </row>
    <row r="53" spans="2:11" x14ac:dyDescent="0.2">
      <c r="B53" s="2044" t="s">
        <v>172</v>
      </c>
      <c r="C53" s="2045"/>
      <c r="D53" s="1513"/>
      <c r="E53" s="204">
        <f>71370.93-E54</f>
        <v>6859.2199999999939</v>
      </c>
      <c r="F53" s="204">
        <f>+E53</f>
        <v>6859.2199999999939</v>
      </c>
      <c r="G53" s="204">
        <f>83112-G54</f>
        <v>5155.3500000000058</v>
      </c>
      <c r="H53" s="204">
        <f>47483-H54</f>
        <v>4423.1699999999983</v>
      </c>
      <c r="I53" s="204">
        <v>4000</v>
      </c>
      <c r="J53" s="346">
        <v>4000</v>
      </c>
      <c r="K53" s="344">
        <f>+J53</f>
        <v>4000</v>
      </c>
    </row>
    <row r="54" spans="2:11" x14ac:dyDescent="0.2">
      <c r="B54" s="2046" t="s">
        <v>2025</v>
      </c>
      <c r="C54" s="2047"/>
      <c r="D54" s="1514"/>
      <c r="E54" s="347">
        <v>64511.71</v>
      </c>
      <c r="F54" s="347">
        <f>+E54</f>
        <v>64511.71</v>
      </c>
      <c r="G54" s="347">
        <v>77956.649999999994</v>
      </c>
      <c r="H54" s="347">
        <v>43059.83</v>
      </c>
      <c r="I54" s="347">
        <v>31000</v>
      </c>
      <c r="J54" s="348">
        <f>+I54</f>
        <v>31000</v>
      </c>
      <c r="K54" s="349">
        <f>+J54</f>
        <v>31000</v>
      </c>
    </row>
    <row r="55" spans="2:11" ht="14.25" x14ac:dyDescent="0.2">
      <c r="B55" s="2048" t="s">
        <v>143</v>
      </c>
      <c r="C55" s="2049"/>
      <c r="D55" s="1515"/>
      <c r="E55" s="204">
        <v>0</v>
      </c>
      <c r="F55" s="204">
        <f>+E55</f>
        <v>0</v>
      </c>
      <c r="G55" s="204">
        <v>0</v>
      </c>
      <c r="H55" s="204">
        <v>0</v>
      </c>
      <c r="I55" s="204"/>
      <c r="J55" s="346">
        <f>+I55</f>
        <v>0</v>
      </c>
      <c r="K55" s="344"/>
    </row>
    <row r="56" spans="2:11" ht="13.5" thickBot="1" x14ac:dyDescent="0.25">
      <c r="B56" s="2050"/>
      <c r="C56" s="2051"/>
      <c r="D56" s="1516"/>
      <c r="E56" s="350"/>
      <c r="F56" s="350"/>
      <c r="G56" s="350"/>
      <c r="H56" s="350"/>
      <c r="I56" s="350"/>
      <c r="J56" s="351"/>
      <c r="K56" s="352"/>
    </row>
    <row r="57" spans="2:11" ht="14.25" thickTop="1" thickBot="1" x14ac:dyDescent="0.25">
      <c r="B57" s="2042" t="s">
        <v>413</v>
      </c>
      <c r="C57" s="2043"/>
      <c r="D57" s="1512"/>
      <c r="E57" s="40">
        <f t="shared" ref="E57:K57" si="8">SUM(E52:E56)</f>
        <v>71370.929999999993</v>
      </c>
      <c r="F57" s="40">
        <f t="shared" si="8"/>
        <v>71370.929999999993</v>
      </c>
      <c r="G57" s="40">
        <f t="shared" si="8"/>
        <v>83112</v>
      </c>
      <c r="H57" s="40">
        <f t="shared" si="8"/>
        <v>47483</v>
      </c>
      <c r="I57" s="40">
        <f t="shared" si="8"/>
        <v>35000</v>
      </c>
      <c r="J57" s="40">
        <f t="shared" si="8"/>
        <v>35000</v>
      </c>
      <c r="K57" s="63">
        <f t="shared" si="8"/>
        <v>35000</v>
      </c>
    </row>
    <row r="60" spans="2:11" x14ac:dyDescent="0.2">
      <c r="B60" s="106" t="s">
        <v>15</v>
      </c>
    </row>
    <row r="61" spans="2:11" x14ac:dyDescent="0.2">
      <c r="B61" s="353">
        <v>1</v>
      </c>
      <c r="C61" s="120" t="s">
        <v>1936</v>
      </c>
      <c r="D61" s="120"/>
    </row>
    <row r="62" spans="2:11" ht="30.75" customHeight="1" x14ac:dyDescent="0.2">
      <c r="B62" s="353">
        <v>2</v>
      </c>
      <c r="C62" s="2035" t="s">
        <v>651</v>
      </c>
      <c r="D62" s="2035"/>
      <c r="E62" s="2036"/>
      <c r="F62" s="2036"/>
      <c r="G62" s="2036"/>
      <c r="H62" s="2036"/>
      <c r="I62" s="2036"/>
      <c r="J62" s="2036"/>
      <c r="K62" s="2036"/>
    </row>
    <row r="63" spans="2:11" ht="30.75" customHeight="1" x14ac:dyDescent="0.2">
      <c r="B63" s="353">
        <v>3</v>
      </c>
      <c r="C63" s="2035" t="s">
        <v>652</v>
      </c>
      <c r="D63" s="2035"/>
      <c r="E63" s="2036"/>
      <c r="F63" s="2036"/>
      <c r="G63" s="2036"/>
      <c r="H63" s="2036"/>
      <c r="I63" s="2036"/>
      <c r="J63" s="2036"/>
      <c r="K63" s="2036"/>
    </row>
    <row r="64" spans="2:11" ht="31.5" customHeight="1" x14ac:dyDescent="0.2">
      <c r="B64" s="353">
        <v>4</v>
      </c>
      <c r="C64" s="2035" t="s">
        <v>1045</v>
      </c>
      <c r="D64" s="2035"/>
      <c r="E64" s="2036"/>
      <c r="F64" s="2036"/>
      <c r="G64" s="2036"/>
      <c r="H64" s="2036"/>
      <c r="I64" s="2036"/>
      <c r="J64" s="2036"/>
      <c r="K64" s="2036"/>
    </row>
  </sheetData>
  <mergeCells count="26">
    <mergeCell ref="C64:K64"/>
    <mergeCell ref="C62:K62"/>
    <mergeCell ref="C63:K63"/>
    <mergeCell ref="B52:C52"/>
    <mergeCell ref="B45:K46"/>
    <mergeCell ref="B51:C51"/>
    <mergeCell ref="B57:C57"/>
    <mergeCell ref="B53:C53"/>
    <mergeCell ref="B54:C54"/>
    <mergeCell ref="B55:C55"/>
    <mergeCell ref="B56:C56"/>
    <mergeCell ref="B42:K42"/>
    <mergeCell ref="B29:C29"/>
    <mergeCell ref="B30:C30"/>
    <mergeCell ref="B9:K9"/>
    <mergeCell ref="B10:K10"/>
    <mergeCell ref="B27:K27"/>
    <mergeCell ref="B28:C28"/>
    <mergeCell ref="E37:K37"/>
    <mergeCell ref="E38:K39"/>
    <mergeCell ref="B31:C31"/>
    <mergeCell ref="B32:C32"/>
    <mergeCell ref="B35:C35"/>
    <mergeCell ref="B36:C36"/>
    <mergeCell ref="B37:C37"/>
    <mergeCell ref="B38:C38"/>
  </mergeCells>
  <phoneticPr fontId="11" type="noConversion"/>
  <dataValidations disablePrompts="1" count="1">
    <dataValidation type="list" allowBlank="1" showInputMessage="1" showErrorMessage="1" sqref="D14:K14">
      <formula1>"CGAAP, MIFRS, USGAAP, ASPE"</formula1>
    </dataValidation>
  </dataValidations>
  <pageMargins left="0.75" right="0.75" top="1" bottom="1" header="0.5" footer="0.5"/>
  <pageSetup scale="5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N91"/>
  <sheetViews>
    <sheetView showGridLines="0" topLeftCell="A52" zoomScaleNormal="100" workbookViewId="0">
      <selection activeCell="A37" sqref="A37:F37"/>
    </sheetView>
  </sheetViews>
  <sheetFormatPr defaultColWidth="9.140625" defaultRowHeight="15" x14ac:dyDescent="0.25"/>
  <cols>
    <col min="1" max="1" width="25.42578125" style="692" customWidth="1"/>
    <col min="2" max="2" width="18.140625" style="692" customWidth="1"/>
    <col min="3" max="6" width="16.7109375" style="692" customWidth="1"/>
    <col min="7" max="7" width="9.140625" style="692"/>
    <col min="8" max="8" width="18.140625" style="692" hidden="1" customWidth="1"/>
    <col min="9" max="12" width="0" style="692" hidden="1" customWidth="1"/>
    <col min="13" max="16384" width="9.140625" style="692"/>
  </cols>
  <sheetData>
    <row r="1" spans="1:14" customFormat="1" ht="12.75" customHeight="1" x14ac:dyDescent="0.25">
      <c r="E1" s="278" t="s">
        <v>419</v>
      </c>
      <c r="F1" s="766" t="str">
        <f>EBNUMBER</f>
        <v>EB-2014-0113</v>
      </c>
      <c r="G1" s="692"/>
      <c r="H1" s="208" t="str">
        <f>'LDC Info'!$E$16</f>
        <v>EB-2014-0113</v>
      </c>
    </row>
    <row r="2" spans="1:14" customFormat="1" ht="12.75" customHeight="1" x14ac:dyDescent="0.25">
      <c r="E2" s="278" t="s">
        <v>420</v>
      </c>
      <c r="F2" s="209">
        <v>3</v>
      </c>
      <c r="G2" s="692"/>
      <c r="H2" s="209"/>
    </row>
    <row r="3" spans="1:14" customFormat="1" ht="12.75" customHeight="1" x14ac:dyDescent="0.25">
      <c r="E3" s="278" t="s">
        <v>421</v>
      </c>
      <c r="F3" s="209">
        <v>2</v>
      </c>
      <c r="G3" s="692"/>
      <c r="H3" s="209"/>
    </row>
    <row r="4" spans="1:14" customFormat="1" ht="12.75" customHeight="1" x14ac:dyDescent="0.25">
      <c r="E4" s="278" t="s">
        <v>422</v>
      </c>
      <c r="F4" s="209">
        <v>2</v>
      </c>
      <c r="G4" s="692"/>
      <c r="H4" s="209"/>
    </row>
    <row r="5" spans="1:14" customFormat="1" ht="12.75" customHeight="1" x14ac:dyDescent="0.25">
      <c r="E5" s="278" t="s">
        <v>423</v>
      </c>
      <c r="F5" s="210"/>
      <c r="G5" s="692"/>
      <c r="H5" s="210"/>
    </row>
    <row r="6" spans="1:14" customFormat="1" ht="12.75" customHeight="1" x14ac:dyDescent="0.25">
      <c r="E6" s="278"/>
      <c r="F6" s="208"/>
      <c r="G6" s="692"/>
      <c r="H6" s="208"/>
    </row>
    <row r="7" spans="1:14" customFormat="1" ht="12.75" customHeight="1" x14ac:dyDescent="0.25">
      <c r="E7" s="278" t="s">
        <v>424</v>
      </c>
      <c r="F7" s="1466">
        <v>42119</v>
      </c>
      <c r="G7" s="692"/>
      <c r="H7" s="210"/>
    </row>
    <row r="8" spans="1:14" customFormat="1" ht="12.75" x14ac:dyDescent="0.2">
      <c r="G8" s="669"/>
    </row>
    <row r="9" spans="1:14" customFormat="1" ht="18" x14ac:dyDescent="0.25">
      <c r="A9" s="1746" t="s">
        <v>231</v>
      </c>
      <c r="B9" s="1746"/>
      <c r="C9" s="1746"/>
      <c r="D9" s="1746"/>
      <c r="E9" s="1746"/>
      <c r="F9" s="1746"/>
      <c r="G9" s="203"/>
      <c r="H9" s="203"/>
    </row>
    <row r="10" spans="1:14" customFormat="1" ht="18" x14ac:dyDescent="0.25">
      <c r="A10" s="1746" t="s">
        <v>725</v>
      </c>
      <c r="B10" s="1746"/>
      <c r="C10" s="1746"/>
      <c r="D10" s="1746"/>
      <c r="E10" s="1746"/>
      <c r="F10" s="1746"/>
      <c r="G10" s="203"/>
      <c r="H10" s="203"/>
    </row>
    <row r="12" spans="1:14" x14ac:dyDescent="0.25">
      <c r="A12" s="750" t="s">
        <v>772</v>
      </c>
      <c r="B12" s="750"/>
      <c r="C12" s="750"/>
      <c r="D12" s="750"/>
      <c r="E12" s="750"/>
      <c r="F12" s="750"/>
      <c r="N12" s="1465" t="s">
        <v>2026</v>
      </c>
    </row>
    <row r="13" spans="1:14" x14ac:dyDescent="0.25">
      <c r="A13" s="750"/>
      <c r="B13" s="750"/>
      <c r="C13" s="750"/>
      <c r="D13" s="750"/>
      <c r="E13" s="750"/>
      <c r="F13" s="750"/>
    </row>
    <row r="14" spans="1:14" ht="39" customHeight="1" x14ac:dyDescent="0.25">
      <c r="A14" s="2057" t="s">
        <v>770</v>
      </c>
      <c r="B14" s="2058"/>
      <c r="C14" s="2058"/>
      <c r="D14" s="2058"/>
      <c r="E14" s="2058"/>
      <c r="F14" s="2058"/>
    </row>
    <row r="15" spans="1:14" x14ac:dyDescent="0.25">
      <c r="A15" s="750"/>
      <c r="B15" s="750"/>
      <c r="C15" s="750"/>
      <c r="D15" s="750"/>
      <c r="E15" s="750"/>
      <c r="F15" s="750"/>
    </row>
    <row r="16" spans="1:14" ht="52.5" customHeight="1" x14ac:dyDescent="0.25">
      <c r="A16" s="2057" t="s">
        <v>771</v>
      </c>
      <c r="B16" s="2058"/>
      <c r="C16" s="2058"/>
      <c r="D16" s="2058"/>
      <c r="E16" s="2058"/>
      <c r="F16" s="2058"/>
    </row>
    <row r="17" spans="1:12" x14ac:dyDescent="0.25">
      <c r="A17" s="761"/>
      <c r="B17" s="751"/>
      <c r="C17" s="751"/>
      <c r="D17" s="751"/>
      <c r="E17" s="751"/>
      <c r="F17" s="751"/>
    </row>
    <row r="18" spans="1:12" ht="27.75" customHeight="1" x14ac:dyDescent="0.25">
      <c r="A18" s="2057" t="s">
        <v>748</v>
      </c>
      <c r="B18" s="2058"/>
      <c r="C18" s="2058"/>
      <c r="D18" s="2058"/>
      <c r="E18" s="2058"/>
      <c r="F18" s="2058"/>
    </row>
    <row r="19" spans="1:12" ht="15.75" thickBot="1" x14ac:dyDescent="0.3">
      <c r="A19" s="761"/>
      <c r="B19" s="751"/>
      <c r="C19" s="751"/>
      <c r="D19" s="751"/>
      <c r="E19" s="751"/>
      <c r="F19" s="751"/>
    </row>
    <row r="20" spans="1:12" x14ac:dyDescent="0.25">
      <c r="A20" s="2059" t="s">
        <v>726</v>
      </c>
      <c r="B20" s="2060"/>
      <c r="C20" s="2060"/>
      <c r="D20" s="2060"/>
      <c r="E20" s="2060"/>
      <c r="F20" s="2061"/>
    </row>
    <row r="21" spans="1:12" x14ac:dyDescent="0.25">
      <c r="A21" s="2066">
        <v>14920000</v>
      </c>
      <c r="B21" s="2067"/>
      <c r="C21" s="2067"/>
      <c r="D21" s="2067"/>
      <c r="E21" s="2067"/>
      <c r="F21" s="2068"/>
    </row>
    <row r="22" spans="1:12" x14ac:dyDescent="0.25">
      <c r="A22" s="717"/>
      <c r="B22" s="718">
        <v>2011</v>
      </c>
      <c r="C22" s="718">
        <v>2012</v>
      </c>
      <c r="D22" s="718">
        <v>2013</v>
      </c>
      <c r="E22" s="718">
        <v>2014</v>
      </c>
      <c r="F22" s="719" t="s">
        <v>413</v>
      </c>
      <c r="I22" s="692">
        <f>B22</f>
        <v>2011</v>
      </c>
      <c r="J22" s="692">
        <f>C22</f>
        <v>2012</v>
      </c>
      <c r="K22" s="692">
        <f>D22</f>
        <v>2013</v>
      </c>
      <c r="L22" s="692">
        <f>E22</f>
        <v>2014</v>
      </c>
    </row>
    <row r="23" spans="1:12" x14ac:dyDescent="0.25">
      <c r="A23" s="720" t="s">
        <v>727</v>
      </c>
      <c r="B23" s="726">
        <f>B29/$F$33</f>
        <v>8.3536193029490613E-2</v>
      </c>
      <c r="C23" s="726">
        <f t="shared" ref="C23:E26" si="0">C29/$F$33</f>
        <v>8.3109919571045576E-2</v>
      </c>
      <c r="D23" s="726">
        <f t="shared" si="0"/>
        <v>8.3109919571045576E-2</v>
      </c>
      <c r="E23" s="727">
        <f t="shared" si="0"/>
        <v>7.7747989276139406E-2</v>
      </c>
      <c r="F23" s="728">
        <f>SUM(B23:E23)</f>
        <v>0.32750402144772117</v>
      </c>
      <c r="H23" s="692" t="str">
        <f>A23</f>
        <v>2011 CDM Programs</v>
      </c>
      <c r="I23" s="693">
        <f>50%</f>
        <v>0.5</v>
      </c>
      <c r="J23" s="694">
        <v>1</v>
      </c>
      <c r="K23" s="695">
        <v>1</v>
      </c>
      <c r="L23" s="695">
        <v>1</v>
      </c>
    </row>
    <row r="24" spans="1:12" x14ac:dyDescent="0.25">
      <c r="A24" s="720" t="s">
        <v>728</v>
      </c>
      <c r="B24" s="721"/>
      <c r="C24" s="726">
        <f t="shared" si="0"/>
        <v>0.11819490616621985</v>
      </c>
      <c r="D24" s="726">
        <f t="shared" si="0"/>
        <v>0.11796246648793565</v>
      </c>
      <c r="E24" s="727">
        <f t="shared" si="0"/>
        <v>0.11662198391420911</v>
      </c>
      <c r="F24" s="728">
        <f t="shared" ref="F24:F26" si="1">SUM(B24:E24)</f>
        <v>0.35277935656836457</v>
      </c>
      <c r="H24" s="692" t="str">
        <f>A24</f>
        <v>2012 CDM Programs</v>
      </c>
      <c r="J24" s="694">
        <v>0.5</v>
      </c>
      <c r="K24" s="695">
        <v>1</v>
      </c>
      <c r="L24" s="695">
        <v>1</v>
      </c>
    </row>
    <row r="25" spans="1:12" x14ac:dyDescent="0.25">
      <c r="A25" s="720" t="s">
        <v>729</v>
      </c>
      <c r="B25" s="721"/>
      <c r="C25" s="721"/>
      <c r="D25" s="726">
        <f t="shared" si="0"/>
        <v>0.1065722073279714</v>
      </c>
      <c r="E25" s="727">
        <f t="shared" si="0"/>
        <v>0.1065722073279714</v>
      </c>
      <c r="F25" s="728">
        <f t="shared" si="1"/>
        <v>0.2131444146559428</v>
      </c>
      <c r="H25" s="692" t="str">
        <f>A25</f>
        <v>2013 CDM Programs</v>
      </c>
      <c r="K25" s="695">
        <v>0.5</v>
      </c>
      <c r="L25" s="695">
        <v>1</v>
      </c>
    </row>
    <row r="26" spans="1:12" ht="15.75" thickBot="1" x14ac:dyDescent="0.3">
      <c r="A26" s="722" t="s">
        <v>730</v>
      </c>
      <c r="B26" s="723"/>
      <c r="C26" s="723"/>
      <c r="D26" s="723"/>
      <c r="E26" s="729">
        <f t="shared" si="0"/>
        <v>0.1065722073279714</v>
      </c>
      <c r="F26" s="730">
        <f t="shared" si="1"/>
        <v>0.1065722073279714</v>
      </c>
      <c r="H26" s="692" t="str">
        <f>A26</f>
        <v>2014 CDM Programs</v>
      </c>
      <c r="L26" s="695">
        <v>0.5</v>
      </c>
    </row>
    <row r="27" spans="1:12" ht="15.75" thickTop="1" x14ac:dyDescent="0.25">
      <c r="A27" s="696" t="s">
        <v>731</v>
      </c>
      <c r="B27" s="697">
        <f>SUM(B23:B26)</f>
        <v>8.3536193029490613E-2</v>
      </c>
      <c r="C27" s="697">
        <f t="shared" ref="C27:E27" si="2">SUM(C23:C26)</f>
        <v>0.20130482573726544</v>
      </c>
      <c r="D27" s="697">
        <f t="shared" si="2"/>
        <v>0.3076445933869526</v>
      </c>
      <c r="E27" s="698">
        <f t="shared" si="2"/>
        <v>0.40751438784629129</v>
      </c>
      <c r="F27" s="699">
        <f>SUM(B27:E27)</f>
        <v>1</v>
      </c>
    </row>
    <row r="28" spans="1:12" x14ac:dyDescent="0.25">
      <c r="A28" s="2069" t="s">
        <v>114</v>
      </c>
      <c r="B28" s="2070"/>
      <c r="C28" s="2070"/>
      <c r="D28" s="2070"/>
      <c r="E28" s="2070"/>
      <c r="F28" s="2071"/>
    </row>
    <row r="29" spans="1:12" x14ac:dyDescent="0.25">
      <c r="A29" s="720" t="s">
        <v>727</v>
      </c>
      <c r="B29" s="731">
        <v>1246360</v>
      </c>
      <c r="C29" s="731">
        <v>1240000</v>
      </c>
      <c r="D29" s="731">
        <v>1240000</v>
      </c>
      <c r="E29" s="732">
        <v>1160000</v>
      </c>
      <c r="F29" s="733">
        <f>SUM(B29:E29)</f>
        <v>4886360</v>
      </c>
    </row>
    <row r="30" spans="1:12" x14ac:dyDescent="0.25">
      <c r="A30" s="720" t="s">
        <v>728</v>
      </c>
      <c r="B30" s="734"/>
      <c r="C30" s="747">
        <v>1763468</v>
      </c>
      <c r="D30" s="747">
        <v>1760000</v>
      </c>
      <c r="E30" s="748">
        <v>1740000</v>
      </c>
      <c r="F30" s="733">
        <f t="shared" ref="F30:F32" si="3">SUM(B30:E30)</f>
        <v>5263468</v>
      </c>
    </row>
    <row r="31" spans="1:12" x14ac:dyDescent="0.25">
      <c r="A31" s="720" t="s">
        <v>729</v>
      </c>
      <c r="B31" s="734"/>
      <c r="C31" s="734"/>
      <c r="D31" s="734">
        <f>(A21-SUM(F29:F30))/3</f>
        <v>1590057.3333333333</v>
      </c>
      <c r="E31" s="735">
        <f>D31</f>
        <v>1590057.3333333333</v>
      </c>
      <c r="F31" s="733">
        <f t="shared" si="3"/>
        <v>3180114.6666666665</v>
      </c>
    </row>
    <row r="32" spans="1:12" ht="15.75" thickBot="1" x14ac:dyDescent="0.3">
      <c r="A32" s="722" t="s">
        <v>730</v>
      </c>
      <c r="B32" s="736"/>
      <c r="C32" s="736"/>
      <c r="D32" s="736"/>
      <c r="E32" s="737">
        <f>D31</f>
        <v>1590057.3333333333</v>
      </c>
      <c r="F32" s="738">
        <f t="shared" si="3"/>
        <v>1590057.3333333333</v>
      </c>
    </row>
    <row r="33" spans="1:6" ht="16.5" thickTop="1" thickBot="1" x14ac:dyDescent="0.3">
      <c r="A33" s="700" t="s">
        <v>731</v>
      </c>
      <c r="B33" s="701">
        <f>SUM(B29:B32)</f>
        <v>1246360</v>
      </c>
      <c r="C33" s="701">
        <f t="shared" ref="C33:E33" si="4">SUM(C29:C32)</f>
        <v>3003468</v>
      </c>
      <c r="D33" s="701">
        <f t="shared" si="4"/>
        <v>4590057.333333333</v>
      </c>
      <c r="E33" s="702">
        <f t="shared" si="4"/>
        <v>6080114.666666666</v>
      </c>
      <c r="F33" s="703">
        <f>A21</f>
        <v>14920000</v>
      </c>
    </row>
    <row r="34" spans="1:6" x14ac:dyDescent="0.25">
      <c r="A34" s="704"/>
      <c r="B34" s="705"/>
      <c r="C34" s="705"/>
      <c r="D34" s="705"/>
      <c r="E34" s="705"/>
      <c r="F34" s="705"/>
    </row>
    <row r="35" spans="1:6" x14ac:dyDescent="0.25">
      <c r="A35" s="750"/>
      <c r="B35" s="750"/>
      <c r="C35" s="750"/>
      <c r="D35" s="750"/>
      <c r="E35" s="706" t="s">
        <v>732</v>
      </c>
      <c r="F35" s="707">
        <f>SUM(F29:F32)</f>
        <v>14920000</v>
      </c>
    </row>
    <row r="36" spans="1:6" ht="61.5" customHeight="1" x14ac:dyDescent="0.25">
      <c r="A36" s="2073" t="s">
        <v>757</v>
      </c>
      <c r="B36" s="2072"/>
      <c r="C36" s="2072"/>
      <c r="D36" s="2072"/>
      <c r="E36" s="2072"/>
      <c r="F36" s="2072"/>
    </row>
    <row r="37" spans="1:6" ht="61.5" customHeight="1" x14ac:dyDescent="0.25">
      <c r="A37" s="2078" t="s">
        <v>1049</v>
      </c>
      <c r="B37" s="2079"/>
      <c r="C37" s="2079"/>
      <c r="D37" s="2079"/>
      <c r="E37" s="2079"/>
      <c r="F37" s="2079"/>
    </row>
    <row r="38" spans="1:6" ht="15.75" thickBot="1" x14ac:dyDescent="0.3">
      <c r="A38" s="739"/>
      <c r="B38" s="740"/>
      <c r="C38" s="740"/>
      <c r="D38" s="740"/>
      <c r="E38" s="740"/>
      <c r="F38" s="740"/>
    </row>
    <row r="39" spans="1:6" x14ac:dyDescent="0.25">
      <c r="A39" s="2059" t="s">
        <v>733</v>
      </c>
      <c r="B39" s="2060"/>
      <c r="C39" s="2060"/>
      <c r="D39" s="2060"/>
      <c r="E39" s="2060"/>
      <c r="F39" s="2061"/>
    </row>
    <row r="40" spans="1:6" x14ac:dyDescent="0.25">
      <c r="A40" s="962"/>
      <c r="B40" s="960"/>
      <c r="C40" s="960"/>
      <c r="D40" s="960"/>
      <c r="E40" s="960"/>
      <c r="F40" s="961"/>
    </row>
    <row r="41" spans="1:6" x14ac:dyDescent="0.25">
      <c r="A41" s="2080" t="s">
        <v>1050</v>
      </c>
      <c r="B41" s="2081"/>
      <c r="C41" s="2081"/>
      <c r="D41" s="2081"/>
      <c r="E41" s="2081"/>
      <c r="F41" s="963" t="s">
        <v>1051</v>
      </c>
    </row>
    <row r="42" spans="1:6" x14ac:dyDescent="0.25">
      <c r="A42" s="962"/>
      <c r="B42" s="960"/>
      <c r="C42" s="960"/>
      <c r="D42" s="960"/>
      <c r="E42" s="960"/>
      <c r="F42" s="961"/>
    </row>
    <row r="43" spans="1:6" ht="32.25" customHeight="1" x14ac:dyDescent="0.25">
      <c r="A43" s="752"/>
      <c r="B43" s="753"/>
      <c r="C43" s="743" t="s">
        <v>749</v>
      </c>
      <c r="D43" s="743" t="s">
        <v>750</v>
      </c>
      <c r="E43" s="743" t="s">
        <v>110</v>
      </c>
      <c r="F43" s="744" t="s">
        <v>751</v>
      </c>
    </row>
    <row r="44" spans="1:6" x14ac:dyDescent="0.25">
      <c r="A44" s="2062" t="s">
        <v>752</v>
      </c>
      <c r="B44" s="2063"/>
      <c r="C44" s="741" t="s">
        <v>114</v>
      </c>
      <c r="D44" s="741" t="s">
        <v>114</v>
      </c>
      <c r="E44" s="741" t="s">
        <v>114</v>
      </c>
      <c r="F44" s="742" t="s">
        <v>753</v>
      </c>
    </row>
    <row r="45" spans="1:6" x14ac:dyDescent="0.25">
      <c r="A45" s="754" t="s">
        <v>754</v>
      </c>
      <c r="B45" s="755"/>
      <c r="C45" s="1481">
        <v>6360379.7191038402</v>
      </c>
      <c r="D45" s="1481">
        <v>3959235.0504838801</v>
      </c>
      <c r="E45" s="708"/>
      <c r="F45" s="709"/>
    </row>
    <row r="46" spans="1:6" x14ac:dyDescent="0.25">
      <c r="A46" s="754" t="s">
        <v>755</v>
      </c>
      <c r="B46" s="755"/>
      <c r="C46" s="746"/>
      <c r="D46" s="1482">
        <v>1160000</v>
      </c>
      <c r="E46" s="708"/>
      <c r="F46" s="709"/>
    </row>
    <row r="47" spans="1:6" ht="15.75" thickBot="1" x14ac:dyDescent="0.3">
      <c r="A47" s="756" t="s">
        <v>756</v>
      </c>
      <c r="B47" s="757"/>
      <c r="C47" s="745"/>
      <c r="D47" s="1483">
        <v>1740000</v>
      </c>
      <c r="E47" s="708"/>
      <c r="F47" s="709"/>
    </row>
    <row r="48" spans="1:6" ht="29.25" customHeight="1" thickTop="1" thickBot="1" x14ac:dyDescent="0.3">
      <c r="A48" s="2064" t="s">
        <v>1954</v>
      </c>
      <c r="B48" s="2065"/>
      <c r="C48" s="1484">
        <f>SUM(C45:C47)</f>
        <v>6360379.7191038402</v>
      </c>
      <c r="D48" s="1484">
        <f>SUM(D45:D47)</f>
        <v>6859235.0504838806</v>
      </c>
      <c r="E48" s="1484">
        <f>C48-D48</f>
        <v>-498855.33138004038</v>
      </c>
      <c r="F48" s="762">
        <f>IF(D48=0,0,IF(F41="net",0,E48/D48))</f>
        <v>0</v>
      </c>
    </row>
    <row r="49" spans="1:6" ht="13.5" customHeight="1" x14ac:dyDescent="0.25">
      <c r="A49" s="710"/>
      <c r="B49" s="710"/>
      <c r="C49" s="758"/>
      <c r="D49" s="758"/>
      <c r="E49" s="721"/>
      <c r="F49" s="724"/>
    </row>
    <row r="50" spans="1:6" ht="44.25" customHeight="1" x14ac:dyDescent="0.25">
      <c r="A50" s="2073" t="s">
        <v>759</v>
      </c>
      <c r="B50" s="2072"/>
      <c r="C50" s="2072"/>
      <c r="D50" s="2072"/>
      <c r="E50" s="2072"/>
      <c r="F50" s="2072"/>
    </row>
    <row r="51" spans="1:6" ht="47.25" customHeight="1" x14ac:dyDescent="0.25">
      <c r="A51" s="2073" t="s">
        <v>760</v>
      </c>
      <c r="B51" s="2072"/>
      <c r="C51" s="2072"/>
      <c r="D51" s="2072"/>
      <c r="E51" s="2072"/>
      <c r="F51" s="2072"/>
    </row>
    <row r="52" spans="1:6" ht="14.25" customHeight="1" thickBot="1" x14ac:dyDescent="0.3">
      <c r="A52" s="710"/>
      <c r="B52" s="711"/>
      <c r="C52" s="758"/>
      <c r="D52" s="758"/>
      <c r="E52" s="758"/>
      <c r="F52" s="724"/>
    </row>
    <row r="53" spans="1:6" ht="15.75" customHeight="1" x14ac:dyDescent="0.25">
      <c r="A53" s="2074" t="s">
        <v>734</v>
      </c>
      <c r="B53" s="2075"/>
      <c r="C53" s="2075"/>
      <c r="D53" s="2075"/>
      <c r="E53" s="2075"/>
      <c r="F53" s="2076"/>
    </row>
    <row r="54" spans="1:6" ht="16.5" customHeight="1" x14ac:dyDescent="0.25">
      <c r="A54" s="712"/>
      <c r="B54" s="931">
        <v>2011</v>
      </c>
      <c r="C54" s="931">
        <v>2012</v>
      </c>
      <c r="D54" s="931">
        <v>2013</v>
      </c>
      <c r="E54" s="931">
        <v>2014</v>
      </c>
      <c r="F54" s="725"/>
    </row>
    <row r="55" spans="1:6" ht="62.25" customHeight="1" x14ac:dyDescent="0.25">
      <c r="A55" s="764" t="s">
        <v>735</v>
      </c>
      <c r="B55" s="749">
        <v>0</v>
      </c>
      <c r="C55" s="749">
        <v>0</v>
      </c>
      <c r="D55" s="749">
        <v>1</v>
      </c>
      <c r="E55" s="749">
        <v>0.5</v>
      </c>
      <c r="F55" s="763" t="s">
        <v>736</v>
      </c>
    </row>
    <row r="56" spans="1:6" ht="138.75" customHeight="1" thickBot="1" x14ac:dyDescent="0.3">
      <c r="A56" s="765" t="s">
        <v>737</v>
      </c>
      <c r="B56" s="713" t="s">
        <v>758</v>
      </c>
      <c r="C56" s="713" t="s">
        <v>738</v>
      </c>
      <c r="D56" s="713" t="s">
        <v>739</v>
      </c>
      <c r="E56" s="713" t="s">
        <v>740</v>
      </c>
      <c r="F56" s="762"/>
    </row>
    <row r="57" spans="1:6" ht="15.75" customHeight="1" x14ac:dyDescent="0.25">
      <c r="A57" s="710"/>
      <c r="B57" s="715"/>
      <c r="C57" s="715"/>
      <c r="D57" s="715"/>
      <c r="E57" s="715"/>
      <c r="F57" s="724"/>
    </row>
    <row r="58" spans="1:6" ht="15.75" customHeight="1" x14ac:dyDescent="0.25">
      <c r="A58" s="714"/>
      <c r="B58" s="715"/>
      <c r="C58" s="715"/>
      <c r="D58" s="715"/>
      <c r="E58" s="715"/>
      <c r="F58" s="724"/>
    </row>
    <row r="59" spans="1:6" ht="75.75" customHeight="1" x14ac:dyDescent="0.25">
      <c r="A59" s="2077" t="s">
        <v>766</v>
      </c>
      <c r="B59" s="2077"/>
      <c r="C59" s="2077"/>
      <c r="D59" s="2077"/>
      <c r="E59" s="2077"/>
      <c r="F59" s="2077"/>
    </row>
    <row r="60" spans="1:6" x14ac:dyDescent="0.25">
      <c r="A60" s="750"/>
      <c r="B60" s="750"/>
      <c r="C60" s="750"/>
      <c r="D60" s="750"/>
      <c r="E60" s="750"/>
      <c r="F60" s="750"/>
    </row>
    <row r="61" spans="1:6" x14ac:dyDescent="0.25">
      <c r="A61" s="964" t="s">
        <v>1052</v>
      </c>
      <c r="B61" s="750"/>
      <c r="C61" s="750"/>
      <c r="D61" s="750"/>
      <c r="E61" s="750"/>
      <c r="F61" s="750"/>
    </row>
    <row r="62" spans="1:6" x14ac:dyDescent="0.25">
      <c r="A62" s="750"/>
      <c r="B62" s="750"/>
      <c r="C62" s="750"/>
      <c r="D62" s="750"/>
      <c r="E62" s="750"/>
      <c r="F62" s="750"/>
    </row>
    <row r="63" spans="1:6" ht="47.25" customHeight="1" x14ac:dyDescent="0.25">
      <c r="A63" s="2072" t="s">
        <v>767</v>
      </c>
      <c r="B63" s="2072"/>
      <c r="C63" s="2072"/>
      <c r="D63" s="2072"/>
      <c r="E63" s="2072"/>
      <c r="F63" s="2072"/>
    </row>
    <row r="64" spans="1:6" x14ac:dyDescent="0.25">
      <c r="A64" s="750"/>
      <c r="B64" s="750"/>
      <c r="C64" s="750"/>
      <c r="D64" s="750"/>
      <c r="E64" s="750"/>
      <c r="F64" s="750"/>
    </row>
    <row r="65" spans="1:6" ht="46.5" customHeight="1" x14ac:dyDescent="0.25">
      <c r="A65" s="2072" t="s">
        <v>768</v>
      </c>
      <c r="B65" s="2072"/>
      <c r="C65" s="2072"/>
      <c r="D65" s="2072"/>
      <c r="E65" s="2072"/>
      <c r="F65" s="2072"/>
    </row>
    <row r="66" spans="1:6" x14ac:dyDescent="0.25">
      <c r="A66" s="750"/>
      <c r="B66" s="750"/>
      <c r="C66" s="750"/>
      <c r="D66" s="750"/>
      <c r="E66" s="750"/>
      <c r="F66" s="750"/>
    </row>
    <row r="67" spans="1:6" ht="30" customHeight="1" x14ac:dyDescent="0.25">
      <c r="A67" s="2072" t="s">
        <v>769</v>
      </c>
      <c r="B67" s="2072"/>
      <c r="C67" s="2072"/>
      <c r="D67" s="2072"/>
      <c r="E67" s="2072"/>
      <c r="F67" s="2072"/>
    </row>
    <row r="68" spans="1:6" ht="13.5" customHeight="1" thickBot="1" x14ac:dyDescent="0.3">
      <c r="A68" s="710"/>
      <c r="B68" s="711"/>
      <c r="C68" s="758"/>
      <c r="D68" s="758"/>
      <c r="E68" s="758"/>
      <c r="F68" s="724"/>
    </row>
    <row r="69" spans="1:6" x14ac:dyDescent="0.25">
      <c r="A69" s="759"/>
      <c r="B69" s="904">
        <v>2011</v>
      </c>
      <c r="C69" s="904">
        <v>2012</v>
      </c>
      <c r="D69" s="904">
        <v>2013</v>
      </c>
      <c r="E69" s="904">
        <v>2014</v>
      </c>
      <c r="F69" s="932" t="s">
        <v>741</v>
      </c>
    </row>
    <row r="70" spans="1:6" x14ac:dyDescent="0.25">
      <c r="A70" s="720"/>
      <c r="B70" s="2052" t="s">
        <v>114</v>
      </c>
      <c r="C70" s="2052"/>
      <c r="D70" s="2052"/>
      <c r="E70" s="2052"/>
      <c r="F70" s="2053"/>
    </row>
    <row r="71" spans="1:6" ht="45" x14ac:dyDescent="0.25">
      <c r="A71" s="760" t="s">
        <v>742</v>
      </c>
      <c r="B71" s="933">
        <f>E29</f>
        <v>1160000</v>
      </c>
      <c r="C71" s="933">
        <f>E30</f>
        <v>1740000</v>
      </c>
      <c r="D71" s="933">
        <f>E31</f>
        <v>1590057.3333333333</v>
      </c>
      <c r="E71" s="933">
        <f>E32</f>
        <v>1590057.3333333333</v>
      </c>
      <c r="F71" s="934">
        <f>SUM(B71:E71)</f>
        <v>6080114.666666666</v>
      </c>
    </row>
    <row r="72" spans="1:6" x14ac:dyDescent="0.25">
      <c r="A72" s="720"/>
      <c r="B72" s="935"/>
      <c r="C72" s="935"/>
      <c r="D72" s="935"/>
      <c r="E72" s="935"/>
      <c r="F72" s="936"/>
    </row>
    <row r="73" spans="1:6" ht="45" x14ac:dyDescent="0.25">
      <c r="A73" s="760" t="s">
        <v>761</v>
      </c>
      <c r="B73" s="937">
        <f>B71*(1+F48)*B55</f>
        <v>0</v>
      </c>
      <c r="C73" s="937">
        <f>C71*(1+F48)*C55</f>
        <v>0</v>
      </c>
      <c r="D73" s="937">
        <f>D71*(1+F48)*D55</f>
        <v>1590057.3333333333</v>
      </c>
      <c r="E73" s="937">
        <f>E71*(1+F48)*E55</f>
        <v>795028.66666666663</v>
      </c>
      <c r="F73" s="938">
        <f>SUM(B73:E73)</f>
        <v>2385086</v>
      </c>
    </row>
    <row r="74" spans="1:6" x14ac:dyDescent="0.25">
      <c r="A74" s="760"/>
      <c r="B74" s="937"/>
      <c r="C74" s="937"/>
      <c r="D74" s="937"/>
      <c r="E74" s="937"/>
      <c r="F74" s="938"/>
    </row>
    <row r="75" spans="1:6" x14ac:dyDescent="0.25">
      <c r="A75" s="760" t="s">
        <v>762</v>
      </c>
      <c r="B75" s="939">
        <v>4.7899999999999998E-2</v>
      </c>
      <c r="C75" s="937" t="s">
        <v>763</v>
      </c>
      <c r="D75" s="940"/>
      <c r="E75" s="937"/>
      <c r="F75" s="938"/>
    </row>
    <row r="76" spans="1:6" ht="45" x14ac:dyDescent="0.25">
      <c r="A76" s="760" t="s">
        <v>764</v>
      </c>
      <c r="B76" s="937">
        <f>B73*(1+$B75)</f>
        <v>0</v>
      </c>
      <c r="C76" s="937">
        <f t="shared" ref="C76:E76" si="5">C73*(1+$B75)</f>
        <v>0</v>
      </c>
      <c r="D76" s="937">
        <f t="shared" si="5"/>
        <v>1666221.0796000001</v>
      </c>
      <c r="E76" s="937">
        <f t="shared" si="5"/>
        <v>833110.53980000003</v>
      </c>
      <c r="F76" s="938">
        <f>SUM(B76:E76)</f>
        <v>2499331.6194000002</v>
      </c>
    </row>
    <row r="77" spans="1:6" ht="31.5" customHeight="1" thickBot="1" x14ac:dyDescent="0.3">
      <c r="A77" s="2054" t="s">
        <v>765</v>
      </c>
      <c r="B77" s="2055"/>
      <c r="C77" s="2055"/>
      <c r="D77" s="2055"/>
      <c r="E77" s="2055"/>
      <c r="F77" s="2056"/>
    </row>
    <row r="78" spans="1:6" x14ac:dyDescent="0.25">
      <c r="A78" s="750"/>
      <c r="B78" s="750"/>
      <c r="C78" s="750"/>
      <c r="D78" s="750"/>
      <c r="E78" s="750"/>
      <c r="F78" s="750"/>
    </row>
    <row r="79" spans="1:6" x14ac:dyDescent="0.25">
      <c r="A79" s="716"/>
      <c r="B79" s="750"/>
      <c r="C79" s="750"/>
      <c r="D79" s="750"/>
      <c r="E79" s="750"/>
      <c r="F79" s="750"/>
    </row>
    <row r="80" spans="1:6" x14ac:dyDescent="0.25">
      <c r="A80" s="750"/>
      <c r="B80" s="750"/>
      <c r="C80" s="750"/>
      <c r="D80" s="750"/>
      <c r="E80" s="750"/>
      <c r="F80" s="750"/>
    </row>
    <row r="81" spans="1:6" x14ac:dyDescent="0.25">
      <c r="A81" s="750"/>
      <c r="B81" s="750"/>
      <c r="C81" s="750"/>
      <c r="D81" s="750"/>
      <c r="E81" s="750"/>
      <c r="F81" s="750"/>
    </row>
    <row r="82" spans="1:6" x14ac:dyDescent="0.25">
      <c r="A82" s="750"/>
      <c r="B82" s="750"/>
      <c r="C82" s="750"/>
      <c r="D82" s="750"/>
      <c r="E82" s="750"/>
      <c r="F82" s="750"/>
    </row>
    <row r="83" spans="1:6" x14ac:dyDescent="0.25">
      <c r="A83" s="750"/>
      <c r="B83" s="750"/>
      <c r="C83" s="750"/>
      <c r="D83" s="750"/>
      <c r="E83" s="750"/>
      <c r="F83" s="750"/>
    </row>
    <row r="84" spans="1:6" x14ac:dyDescent="0.25">
      <c r="A84" s="750"/>
      <c r="B84" s="750"/>
      <c r="C84" s="750"/>
      <c r="D84" s="750"/>
      <c r="E84" s="750"/>
      <c r="F84" s="750"/>
    </row>
    <row r="85" spans="1:6" x14ac:dyDescent="0.25">
      <c r="A85" s="750"/>
      <c r="B85" s="750"/>
      <c r="C85" s="750"/>
      <c r="D85" s="750"/>
      <c r="E85" s="750"/>
      <c r="F85" s="750"/>
    </row>
    <row r="86" spans="1:6" x14ac:dyDescent="0.25">
      <c r="A86" s="750"/>
      <c r="B86" s="750"/>
      <c r="C86" s="750"/>
      <c r="D86" s="750"/>
      <c r="E86" s="750"/>
      <c r="F86" s="750"/>
    </row>
    <row r="87" spans="1:6" x14ac:dyDescent="0.25">
      <c r="A87" s="750"/>
      <c r="B87" s="750"/>
      <c r="C87" s="750"/>
      <c r="D87" s="750"/>
      <c r="E87" s="750"/>
      <c r="F87" s="750"/>
    </row>
    <row r="88" spans="1:6" x14ac:dyDescent="0.25">
      <c r="A88" s="750"/>
      <c r="B88" s="750"/>
      <c r="C88" s="750"/>
      <c r="D88" s="750"/>
      <c r="E88" s="750"/>
      <c r="F88" s="750"/>
    </row>
    <row r="89" spans="1:6" x14ac:dyDescent="0.25">
      <c r="A89" s="750"/>
      <c r="B89" s="750"/>
      <c r="C89" s="750"/>
      <c r="D89" s="750"/>
      <c r="E89" s="750"/>
      <c r="F89" s="750"/>
    </row>
    <row r="90" spans="1:6" x14ac:dyDescent="0.25">
      <c r="A90" s="750"/>
      <c r="B90" s="750"/>
      <c r="C90" s="750"/>
      <c r="D90" s="750"/>
      <c r="E90" s="750"/>
      <c r="F90" s="750"/>
    </row>
    <row r="91" spans="1:6" x14ac:dyDescent="0.25">
      <c r="A91" s="750"/>
      <c r="B91" s="750"/>
      <c r="C91" s="750"/>
      <c r="D91" s="750"/>
      <c r="E91" s="750"/>
      <c r="F91" s="750"/>
    </row>
  </sheetData>
  <mergeCells count="23">
    <mergeCell ref="A10:F10"/>
    <mergeCell ref="A9:F9"/>
    <mergeCell ref="A16:F16"/>
    <mergeCell ref="A18:F18"/>
    <mergeCell ref="A59:F59"/>
    <mergeCell ref="A37:F37"/>
    <mergeCell ref="A41:E41"/>
    <mergeCell ref="B70:F70"/>
    <mergeCell ref="A77:F77"/>
    <mergeCell ref="A14:F14"/>
    <mergeCell ref="A39:F39"/>
    <mergeCell ref="A44:B44"/>
    <mergeCell ref="A48:B48"/>
    <mergeCell ref="A20:F20"/>
    <mergeCell ref="A21:F21"/>
    <mergeCell ref="A28:F28"/>
    <mergeCell ref="A63:F63"/>
    <mergeCell ref="A65:F65"/>
    <mergeCell ref="A67:F67"/>
    <mergeCell ref="A36:F36"/>
    <mergeCell ref="A53:F53"/>
    <mergeCell ref="A50:F50"/>
    <mergeCell ref="A51:F51"/>
  </mergeCells>
  <dataValidations disablePrompts="1" count="2">
    <dataValidation type="list" allowBlank="1" showInputMessage="1" showErrorMessage="1" sqref="B55:E55">
      <formula1>"0, 0.5, 1"</formula1>
    </dataValidation>
    <dataValidation type="list" allowBlank="1" showInputMessage="1" showErrorMessage="1" sqref="F41">
      <formula1>"net,gross"</formula1>
    </dataValidation>
  </dataValidations>
  <pageMargins left="0.70866141732283472" right="0.70866141732283472" top="0.74803149606299213" bottom="0.74803149606299213" header="0.31496062992125984" footer="0.31496062992125984"/>
  <pageSetup scale="74" fitToHeight="0" orientation="portrait" r:id="rId1"/>
  <rowBreaks count="1" manualBreakCount="1">
    <brk id="4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1:P134"/>
  <sheetViews>
    <sheetView showGridLines="0" topLeftCell="A8" zoomScaleNormal="100" workbookViewId="0">
      <selection activeCell="K30" sqref="K30"/>
    </sheetView>
  </sheetViews>
  <sheetFormatPr defaultRowHeight="12.75" x14ac:dyDescent="0.2"/>
  <cols>
    <col min="1" max="1" width="1.7109375" customWidth="1"/>
    <col min="2" max="2" width="29" customWidth="1"/>
    <col min="3" max="3" width="17.28515625" customWidth="1"/>
    <col min="4" max="4" width="15" customWidth="1"/>
    <col min="5" max="5" width="13.28515625" bestFit="1" customWidth="1"/>
    <col min="6" max="6" width="12.7109375" bestFit="1" customWidth="1"/>
    <col min="7" max="8" width="12.7109375" customWidth="1"/>
    <col min="9" max="9" width="13.28515625" bestFit="1" customWidth="1"/>
    <col min="10" max="10" width="11.140625" bestFit="1" customWidth="1"/>
    <col min="11" max="11" width="13.28515625" bestFit="1" customWidth="1"/>
    <col min="12" max="12" width="12.7109375" bestFit="1" customWidth="1"/>
    <col min="13" max="13" width="11.5703125" bestFit="1" customWidth="1"/>
    <col min="15" max="15" width="11.28515625" bestFit="1" customWidth="1"/>
    <col min="16" max="16" width="12.85546875" bestFit="1" customWidth="1"/>
  </cols>
  <sheetData>
    <row r="1" spans="2:16" x14ac:dyDescent="0.2">
      <c r="L1" s="278" t="s">
        <v>419</v>
      </c>
      <c r="M1" s="208" t="str">
        <f>EBNUMBER</f>
        <v>EB-2014-0113</v>
      </c>
    </row>
    <row r="2" spans="2:16" x14ac:dyDescent="0.2">
      <c r="L2" s="278" t="s">
        <v>420</v>
      </c>
      <c r="M2" s="209">
        <v>4</v>
      </c>
    </row>
    <row r="3" spans="2:16" x14ac:dyDescent="0.2">
      <c r="L3" s="278" t="s">
        <v>421</v>
      </c>
      <c r="M3" s="209">
        <v>2</v>
      </c>
    </row>
    <row r="4" spans="2:16" x14ac:dyDescent="0.2">
      <c r="L4" s="278" t="s">
        <v>422</v>
      </c>
      <c r="M4" s="209">
        <v>2</v>
      </c>
    </row>
    <row r="5" spans="2:16" x14ac:dyDescent="0.2">
      <c r="L5" s="278" t="s">
        <v>423</v>
      </c>
      <c r="M5" s="210"/>
    </row>
    <row r="6" spans="2:16" x14ac:dyDescent="0.2">
      <c r="L6" s="278"/>
      <c r="M6" s="208"/>
    </row>
    <row r="7" spans="2:16" x14ac:dyDescent="0.2">
      <c r="L7" s="278" t="s">
        <v>424</v>
      </c>
      <c r="M7" s="1466">
        <v>42119</v>
      </c>
    </row>
    <row r="9" spans="2:16" ht="18" x14ac:dyDescent="0.2">
      <c r="B9" s="1747" t="s">
        <v>1952</v>
      </c>
      <c r="C9" s="1747"/>
      <c r="D9" s="1747"/>
      <c r="E9" s="1747"/>
      <c r="F9" s="1747"/>
      <c r="G9" s="1747"/>
      <c r="H9" s="1747"/>
    </row>
    <row r="10" spans="2:16" ht="18" x14ac:dyDescent="0.2">
      <c r="B10" s="1747" t="s">
        <v>123</v>
      </c>
      <c r="C10" s="1747"/>
      <c r="D10" s="1747"/>
      <c r="E10" s="1747"/>
      <c r="F10" s="1747"/>
      <c r="G10" s="1747"/>
      <c r="H10" s="1747"/>
    </row>
    <row r="11" spans="2:16" x14ac:dyDescent="0.2">
      <c r="G11" s="120"/>
      <c r="H11" s="120"/>
    </row>
    <row r="12" spans="2:16" ht="13.5" thickBot="1" x14ac:dyDescent="0.25">
      <c r="I12" s="13"/>
      <c r="J12" s="13"/>
    </row>
    <row r="13" spans="2:16" ht="39" thickBot="1" x14ac:dyDescent="0.25">
      <c r="B13" s="400"/>
      <c r="C13" s="373" t="str">
        <f>"Last Rebasing Year (" &amp; RebaseYear &amp; " Board-Approved)"</f>
        <v>Last Rebasing Year (2011 Board-Approved)</v>
      </c>
      <c r="D13" s="373" t="str">
        <f>"Last Rebasing Year (" &amp; RebaseYear &amp; " Actuals)"</f>
        <v>Last Rebasing Year (2011 Actuals)</v>
      </c>
      <c r="E13" s="373" t="str">
        <f>BridgeYear -2 &amp; " Actuals"</f>
        <v>2012 Actuals</v>
      </c>
      <c r="F13" s="373" t="str">
        <f>BridgeYear -1 &amp; " Actuals"</f>
        <v>2013 Actuals</v>
      </c>
      <c r="G13" s="373" t="str">
        <f>BridgeYear &amp; " Bridge Year"</f>
        <v>2014 Bridge Year</v>
      </c>
      <c r="H13" s="374" t="str">
        <f>TestYear &amp; " Test Year"</f>
        <v>2015 Test Year</v>
      </c>
      <c r="I13" s="2082"/>
      <c r="J13" s="2082"/>
      <c r="K13" s="378"/>
      <c r="L13" s="378"/>
    </row>
    <row r="14" spans="2:16" ht="13.5" thickBot="1" x14ac:dyDescent="0.25">
      <c r="B14" s="544" t="s">
        <v>160</v>
      </c>
      <c r="C14" s="542"/>
      <c r="D14" s="542"/>
      <c r="E14" s="542"/>
      <c r="F14" s="542"/>
      <c r="G14" s="542"/>
      <c r="H14" s="543"/>
      <c r="I14" s="391"/>
      <c r="J14" s="391"/>
      <c r="K14" s="378"/>
      <c r="L14" s="378"/>
    </row>
    <row r="15" spans="2:16" x14ac:dyDescent="0.2">
      <c r="B15" s="397" t="s">
        <v>174</v>
      </c>
      <c r="C15" s="609">
        <v>493406</v>
      </c>
      <c r="D15" s="609">
        <v>558853</v>
      </c>
      <c r="E15" s="609">
        <v>958213</v>
      </c>
      <c r="F15" s="609">
        <v>868543</v>
      </c>
      <c r="G15" s="609">
        <v>925270</v>
      </c>
      <c r="H15" s="610">
        <v>977701</v>
      </c>
      <c r="I15" s="392"/>
      <c r="J15" s="392"/>
      <c r="K15" s="378"/>
      <c r="L15" s="378"/>
      <c r="M15" s="378"/>
      <c r="N15" s="378"/>
      <c r="O15" s="378"/>
      <c r="P15" s="378"/>
    </row>
    <row r="16" spans="2:16" x14ac:dyDescent="0.2">
      <c r="B16" s="386" t="s">
        <v>175</v>
      </c>
      <c r="C16" s="607">
        <v>423276</v>
      </c>
      <c r="D16" s="607">
        <v>364438</v>
      </c>
      <c r="E16" s="607">
        <v>324575</v>
      </c>
      <c r="F16" s="607">
        <v>274855</v>
      </c>
      <c r="G16" s="607">
        <v>333832</v>
      </c>
      <c r="H16" s="608">
        <v>340842</v>
      </c>
      <c r="I16" s="392"/>
      <c r="J16" s="392"/>
      <c r="K16" s="378"/>
      <c r="L16" s="378"/>
      <c r="M16" s="378"/>
      <c r="N16" s="378"/>
      <c r="O16" s="378"/>
      <c r="P16" s="378"/>
    </row>
    <row r="17" spans="2:16" x14ac:dyDescent="0.2">
      <c r="B17" s="387" t="s">
        <v>621</v>
      </c>
      <c r="C17" s="605">
        <f>SUM(C15:C16)</f>
        <v>916682</v>
      </c>
      <c r="D17" s="605">
        <f t="shared" ref="D17:H17" si="0">SUM(D15:D16)</f>
        <v>923291</v>
      </c>
      <c r="E17" s="605">
        <f t="shared" si="0"/>
        <v>1282788</v>
      </c>
      <c r="F17" s="605">
        <f t="shared" si="0"/>
        <v>1143398</v>
      </c>
      <c r="G17" s="605">
        <f t="shared" si="0"/>
        <v>1259102</v>
      </c>
      <c r="H17" s="606">
        <f t="shared" si="0"/>
        <v>1318543</v>
      </c>
      <c r="I17" s="393"/>
      <c r="J17" s="393"/>
      <c r="K17" s="378"/>
      <c r="L17" s="378"/>
      <c r="M17" s="378"/>
      <c r="N17" s="378"/>
      <c r="O17" s="378"/>
      <c r="P17" s="378"/>
    </row>
    <row r="18" spans="2:16" x14ac:dyDescent="0.2">
      <c r="B18" s="386" t="s">
        <v>622</v>
      </c>
      <c r="C18" s="404"/>
      <c r="D18" s="404"/>
      <c r="E18" s="379">
        <f>IF(ISERROR((E17-D17)/D17), "", (E17-D17)/D17)</f>
        <v>0.38936478315070761</v>
      </c>
      <c r="F18" s="379">
        <f t="shared" ref="F18:H18" si="1">IF(ISERROR((F17-E17)/E17), "", (F17-E17)/E17)</f>
        <v>-0.10866175860703406</v>
      </c>
      <c r="G18" s="379">
        <f t="shared" si="1"/>
        <v>0.10119311036052188</v>
      </c>
      <c r="H18" s="396">
        <f t="shared" si="1"/>
        <v>4.7209042635147906E-2</v>
      </c>
      <c r="I18" s="394"/>
      <c r="J18" s="394"/>
      <c r="K18" s="378"/>
      <c r="L18" s="378"/>
      <c r="M18" s="378"/>
      <c r="N18" s="378"/>
      <c r="O18" s="378"/>
      <c r="P18" s="378"/>
    </row>
    <row r="19" spans="2:16" ht="24" x14ac:dyDescent="0.2">
      <c r="B19" s="386" t="s">
        <v>623</v>
      </c>
      <c r="C19" s="380"/>
      <c r="D19" s="381"/>
      <c r="E19" s="381"/>
      <c r="F19" s="381"/>
      <c r="G19" s="382"/>
      <c r="H19" s="396">
        <f>IF(ISERROR((H17-D17)/D17), "", (H17-D17)/D17)</f>
        <v>0.42809038537145927</v>
      </c>
      <c r="I19" s="394"/>
      <c r="J19" s="394"/>
      <c r="K19" s="1472"/>
      <c r="L19" s="378"/>
      <c r="M19" s="378"/>
      <c r="N19" s="378"/>
      <c r="O19" s="378"/>
      <c r="P19" s="378"/>
    </row>
    <row r="20" spans="2:16" x14ac:dyDescent="0.2">
      <c r="B20" s="386" t="s">
        <v>157</v>
      </c>
      <c r="C20" s="607">
        <v>1133130</v>
      </c>
      <c r="D20" s="607">
        <f>1260892-278391</f>
        <v>982501</v>
      </c>
      <c r="E20" s="607">
        <f>1352821-313646</f>
        <v>1039175</v>
      </c>
      <c r="F20" s="607">
        <f>1176344-307300</f>
        <v>869044</v>
      </c>
      <c r="G20" s="607">
        <f>1248833-310000</f>
        <v>938833</v>
      </c>
      <c r="H20" s="608">
        <f>1275058-310000</f>
        <v>965058</v>
      </c>
      <c r="I20" s="392"/>
      <c r="J20" s="392"/>
      <c r="K20" s="378"/>
      <c r="L20" s="378"/>
      <c r="M20" s="378"/>
      <c r="N20" s="378"/>
      <c r="O20" s="378"/>
      <c r="P20" s="378"/>
    </row>
    <row r="21" spans="2:16" x14ac:dyDescent="0.2">
      <c r="B21" s="386" t="s">
        <v>176</v>
      </c>
      <c r="C21" s="607">
        <v>19513</v>
      </c>
      <c r="D21" s="607">
        <v>2684</v>
      </c>
      <c r="E21" s="607">
        <v>32390</v>
      </c>
      <c r="F21" s="607">
        <v>0</v>
      </c>
      <c r="G21" s="607">
        <v>0</v>
      </c>
      <c r="H21" s="608">
        <v>0</v>
      </c>
      <c r="I21" s="392"/>
      <c r="J21" s="392"/>
      <c r="K21" s="378"/>
      <c r="L21" s="378"/>
      <c r="M21" s="378"/>
      <c r="N21" s="378"/>
      <c r="O21" s="378"/>
      <c r="P21" s="378"/>
    </row>
    <row r="22" spans="2:16" x14ac:dyDescent="0.2">
      <c r="B22" s="386" t="s">
        <v>227</v>
      </c>
      <c r="C22" s="607">
        <v>1502109</v>
      </c>
      <c r="D22" s="607">
        <v>1832734</v>
      </c>
      <c r="E22" s="607">
        <v>2691486</v>
      </c>
      <c r="F22" s="607">
        <v>1998931</v>
      </c>
      <c r="G22" s="607">
        <v>2259284</v>
      </c>
      <c r="H22" s="608">
        <f>4634620-2283601</f>
        <v>2351019</v>
      </c>
      <c r="I22" s="392"/>
      <c r="J22" s="392"/>
      <c r="K22" s="429"/>
      <c r="L22" s="378"/>
    </row>
    <row r="23" spans="2:16" x14ac:dyDescent="0.2">
      <c r="B23" s="387" t="s">
        <v>621</v>
      </c>
      <c r="C23" s="605">
        <f>SUM(C20:C22)</f>
        <v>2654752</v>
      </c>
      <c r="D23" s="605">
        <f t="shared" ref="D23:H23" si="2">SUM(D20:D22)</f>
        <v>2817919</v>
      </c>
      <c r="E23" s="605">
        <f t="shared" si="2"/>
        <v>3763051</v>
      </c>
      <c r="F23" s="605">
        <f t="shared" si="2"/>
        <v>2867975</v>
      </c>
      <c r="G23" s="605">
        <f t="shared" si="2"/>
        <v>3198117</v>
      </c>
      <c r="H23" s="606">
        <f t="shared" si="2"/>
        <v>3316077</v>
      </c>
      <c r="I23" s="393"/>
      <c r="J23" s="393"/>
      <c r="K23" s="378"/>
      <c r="L23" s="378"/>
    </row>
    <row r="24" spans="2:16" x14ac:dyDescent="0.2">
      <c r="B24" s="386" t="s">
        <v>622</v>
      </c>
      <c r="C24" s="404"/>
      <c r="D24" s="404"/>
      <c r="E24" s="379">
        <f>IF(ISERROR((E23-D23)/D23), "", (E23-D23)/D23)</f>
        <v>0.33540069817478785</v>
      </c>
      <c r="F24" s="379">
        <f t="shared" ref="F24" si="3">IF(ISERROR((F23-E23)/E23), "", (F23-E23)/E23)</f>
        <v>-0.23785912016605673</v>
      </c>
      <c r="G24" s="379">
        <f t="shared" ref="G24" si="4">IF(ISERROR((G23-F23)/F23), "", (G23-F23)/F23)</f>
        <v>0.11511327678937229</v>
      </c>
      <c r="H24" s="396">
        <f t="shared" ref="H24" si="5">IF(ISERROR((H23-G23)/G23), "", (H23-G23)/G23)</f>
        <v>3.688420404881998E-2</v>
      </c>
      <c r="I24" s="394"/>
      <c r="J24" s="394"/>
      <c r="K24" s="378"/>
      <c r="L24" s="378"/>
    </row>
    <row r="25" spans="2:16" ht="24" x14ac:dyDescent="0.2">
      <c r="B25" s="386" t="s">
        <v>623</v>
      </c>
      <c r="C25" s="380"/>
      <c r="D25" s="381"/>
      <c r="E25" s="381"/>
      <c r="F25" s="381"/>
      <c r="G25" s="382"/>
      <c r="H25" s="396">
        <f>IF(ISERROR((H23-D23)/D23), "", (H23-D23)/D23)</f>
        <v>0.17678222830393633</v>
      </c>
      <c r="I25" s="394"/>
      <c r="J25" s="1443"/>
      <c r="K25" s="1444"/>
      <c r="L25" s="378"/>
    </row>
    <row r="26" spans="2:16" x14ac:dyDescent="0.2">
      <c r="B26" s="387" t="s">
        <v>413</v>
      </c>
      <c r="C26" s="605">
        <f>SUM(C23,C17)</f>
        <v>3571434</v>
      </c>
      <c r="D26" s="605">
        <f t="shared" ref="D26:H26" si="6">SUM(D23,D17)</f>
        <v>3741210</v>
      </c>
      <c r="E26" s="605">
        <f t="shared" si="6"/>
        <v>5045839</v>
      </c>
      <c r="F26" s="605">
        <f t="shared" si="6"/>
        <v>4011373</v>
      </c>
      <c r="G26" s="605">
        <f t="shared" si="6"/>
        <v>4457219</v>
      </c>
      <c r="H26" s="606">
        <f t="shared" si="6"/>
        <v>4634620</v>
      </c>
      <c r="I26" s="393"/>
      <c r="J26" s="393"/>
      <c r="K26" s="1490"/>
      <c r="L26" s="1490"/>
    </row>
    <row r="27" spans="2:16" ht="13.5" thickBot="1" x14ac:dyDescent="0.25">
      <c r="B27" s="388" t="s">
        <v>622</v>
      </c>
      <c r="C27" s="402"/>
      <c r="D27" s="403"/>
      <c r="E27" s="389">
        <f>IF(ISERROR((E26-D26)/D26), "", (E26-D26)/D26)</f>
        <v>0.34871846274333707</v>
      </c>
      <c r="F27" s="389">
        <f t="shared" ref="F27" si="7">IF(ISERROR((F26-E26)/E26), "", (F26-E26)/E26)</f>
        <v>-0.2050136756246087</v>
      </c>
      <c r="G27" s="389">
        <f t="shared" ref="G27" si="8">IF(ISERROR((G26-F26)/F26), "", (G26-F26)/F26)</f>
        <v>0.11114548559807327</v>
      </c>
      <c r="H27" s="390">
        <f>IF(ISERROR((H26-G26)/G26), "", (H26-G26)/G26)</f>
        <v>3.9800826479470718E-2</v>
      </c>
      <c r="I27" s="1488"/>
      <c r="J27" s="1488"/>
      <c r="K27" s="1491"/>
      <c r="L27" s="378"/>
    </row>
    <row r="28" spans="2:16" x14ac:dyDescent="0.2">
      <c r="B28" s="383"/>
      <c r="C28" s="384"/>
      <c r="D28" s="384"/>
      <c r="E28" s="385"/>
      <c r="F28" s="385"/>
      <c r="G28" s="385"/>
      <c r="H28" s="384"/>
      <c r="I28" s="395"/>
      <c r="J28" s="1489"/>
      <c r="K28" s="378"/>
      <c r="L28" s="378"/>
    </row>
    <row r="29" spans="2:16" ht="13.5" thickBot="1" x14ac:dyDescent="0.25">
      <c r="B29" s="383"/>
      <c r="C29" s="383"/>
      <c r="D29" s="383"/>
      <c r="E29" s="383"/>
      <c r="F29" s="383"/>
      <c r="G29" s="383"/>
      <c r="H29" s="383"/>
      <c r="I29" s="378"/>
      <c r="J29" s="378"/>
      <c r="K29" s="378"/>
      <c r="L29" s="378"/>
    </row>
    <row r="30" spans="2:16" ht="36" x14ac:dyDescent="0.2">
      <c r="B30" s="401"/>
      <c r="C30" s="398" t="str">
        <f>C13</f>
        <v>Last Rebasing Year (2011 Board-Approved)</v>
      </c>
      <c r="D30" s="398" t="str">
        <f t="shared" ref="D30:H30" si="9">D13</f>
        <v>Last Rebasing Year (2011 Actuals)</v>
      </c>
      <c r="E30" s="398" t="str">
        <f t="shared" si="9"/>
        <v>2012 Actuals</v>
      </c>
      <c r="F30" s="398" t="str">
        <f t="shared" si="9"/>
        <v>2013 Actuals</v>
      </c>
      <c r="G30" s="398" t="str">
        <f t="shared" si="9"/>
        <v>2014 Bridge Year</v>
      </c>
      <c r="H30" s="399" t="str">
        <f t="shared" si="9"/>
        <v>2015 Test Year</v>
      </c>
      <c r="I30" s="378"/>
      <c r="J30" s="378"/>
      <c r="K30" s="378"/>
      <c r="L30" s="378"/>
    </row>
    <row r="31" spans="2:16" x14ac:dyDescent="0.2">
      <c r="B31" s="386" t="s">
        <v>174</v>
      </c>
      <c r="C31" s="601">
        <f>C15</f>
        <v>493406</v>
      </c>
      <c r="D31" s="601">
        <f t="shared" ref="D31:H31" si="10">D15</f>
        <v>558853</v>
      </c>
      <c r="E31" s="601">
        <f t="shared" si="10"/>
        <v>958213</v>
      </c>
      <c r="F31" s="601">
        <f t="shared" si="10"/>
        <v>868543</v>
      </c>
      <c r="G31" s="601">
        <f t="shared" si="10"/>
        <v>925270</v>
      </c>
      <c r="H31" s="604">
        <f t="shared" si="10"/>
        <v>977701</v>
      </c>
      <c r="I31" s="378"/>
      <c r="J31" s="378"/>
      <c r="K31" s="378"/>
      <c r="L31" s="378"/>
    </row>
    <row r="32" spans="2:16" x14ac:dyDescent="0.2">
      <c r="B32" s="386" t="s">
        <v>175</v>
      </c>
      <c r="C32" s="601">
        <f>C16</f>
        <v>423276</v>
      </c>
      <c r="D32" s="601">
        <f t="shared" ref="D32:H32" si="11">D16</f>
        <v>364438</v>
      </c>
      <c r="E32" s="601">
        <f t="shared" si="11"/>
        <v>324575</v>
      </c>
      <c r="F32" s="601">
        <f t="shared" si="11"/>
        <v>274855</v>
      </c>
      <c r="G32" s="601">
        <f t="shared" si="11"/>
        <v>333832</v>
      </c>
      <c r="H32" s="604">
        <f t="shared" si="11"/>
        <v>340842</v>
      </c>
      <c r="I32" s="378"/>
      <c r="J32" s="378"/>
      <c r="K32" s="378"/>
      <c r="L32" s="378"/>
    </row>
    <row r="33" spans="2:13" x14ac:dyDescent="0.2">
      <c r="B33" s="386" t="s">
        <v>157</v>
      </c>
      <c r="C33" s="601">
        <f>C20</f>
        <v>1133130</v>
      </c>
      <c r="D33" s="601">
        <f t="shared" ref="D33:H33" si="12">D20</f>
        <v>982501</v>
      </c>
      <c r="E33" s="601">
        <f t="shared" si="12"/>
        <v>1039175</v>
      </c>
      <c r="F33" s="601">
        <f t="shared" si="12"/>
        <v>869044</v>
      </c>
      <c r="G33" s="601">
        <f t="shared" si="12"/>
        <v>938833</v>
      </c>
      <c r="H33" s="604">
        <f t="shared" si="12"/>
        <v>965058</v>
      </c>
      <c r="I33" s="378"/>
      <c r="J33" s="378"/>
      <c r="K33" s="378"/>
      <c r="L33" s="378"/>
    </row>
    <row r="34" spans="2:13" x14ac:dyDescent="0.2">
      <c r="B34" s="386" t="s">
        <v>176</v>
      </c>
      <c r="C34" s="601">
        <f>C21</f>
        <v>19513</v>
      </c>
      <c r="D34" s="601">
        <f t="shared" ref="D34:H34" si="13">D21</f>
        <v>2684</v>
      </c>
      <c r="E34" s="601">
        <f t="shared" si="13"/>
        <v>32390</v>
      </c>
      <c r="F34" s="601">
        <f t="shared" si="13"/>
        <v>0</v>
      </c>
      <c r="G34" s="601">
        <f t="shared" si="13"/>
        <v>0</v>
      </c>
      <c r="H34" s="604">
        <f t="shared" si="13"/>
        <v>0</v>
      </c>
      <c r="I34" s="378"/>
      <c r="J34" s="378"/>
      <c r="K34" s="378"/>
      <c r="L34" s="378"/>
    </row>
    <row r="35" spans="2:13" x14ac:dyDescent="0.2">
      <c r="B35" s="386" t="s">
        <v>227</v>
      </c>
      <c r="C35" s="601">
        <f>C22</f>
        <v>1502109</v>
      </c>
      <c r="D35" s="601">
        <f t="shared" ref="D35:H35" si="14">D22</f>
        <v>1832734</v>
      </c>
      <c r="E35" s="601">
        <f t="shared" si="14"/>
        <v>2691486</v>
      </c>
      <c r="F35" s="601">
        <f t="shared" si="14"/>
        <v>1998931</v>
      </c>
      <c r="G35" s="601">
        <f t="shared" si="14"/>
        <v>2259284</v>
      </c>
      <c r="H35" s="604">
        <f t="shared" si="14"/>
        <v>2351019</v>
      </c>
      <c r="I35" s="378"/>
      <c r="J35" s="378"/>
      <c r="K35" s="378"/>
      <c r="L35" s="378"/>
    </row>
    <row r="36" spans="2:13" ht="13.5" thickBot="1" x14ac:dyDescent="0.25">
      <c r="B36" s="1478" t="s">
        <v>413</v>
      </c>
      <c r="C36" s="1479">
        <f>SUM(C31:C35)</f>
        <v>3571434</v>
      </c>
      <c r="D36" s="1479">
        <f t="shared" ref="D36:H36" si="15">SUM(D31:D35)</f>
        <v>3741210</v>
      </c>
      <c r="E36" s="1479">
        <f t="shared" si="15"/>
        <v>5045839</v>
      </c>
      <c r="F36" s="1479">
        <f t="shared" si="15"/>
        <v>4011373</v>
      </c>
      <c r="G36" s="1479">
        <f t="shared" si="15"/>
        <v>4457219</v>
      </c>
      <c r="H36" s="1480">
        <f t="shared" si="15"/>
        <v>4634620</v>
      </c>
      <c r="I36" s="1490"/>
      <c r="J36" s="378"/>
      <c r="K36" s="378"/>
      <c r="L36" s="378"/>
    </row>
    <row r="37" spans="2:13" ht="13.5" thickBot="1" x14ac:dyDescent="0.25">
      <c r="B37" s="1473" t="s">
        <v>622</v>
      </c>
      <c r="C37" s="1474"/>
      <c r="D37" s="1475"/>
      <c r="E37" s="1476">
        <f>IF(ISERROR((E36-D36)/D36), "", (E36-D36)/D36)</f>
        <v>0.34871846274333707</v>
      </c>
      <c r="F37" s="1476">
        <f t="shared" ref="F37" si="16">IF(ISERROR((F36-E36)/E36), "", (F36-E36)/E36)</f>
        <v>-0.2050136756246087</v>
      </c>
      <c r="G37" s="1476">
        <f t="shared" ref="G37" si="17">IF(ISERROR((G36-F36)/F36), "", (G36-F36)/F36)</f>
        <v>0.11114548559807327</v>
      </c>
      <c r="H37" s="1477">
        <f t="shared" ref="H37" si="18">IF(ISERROR((H36-G36)/G36), "", (H36-G36)/G36)</f>
        <v>3.9800826479470718E-2</v>
      </c>
      <c r="I37" s="378"/>
      <c r="J37" s="378"/>
      <c r="K37" s="378"/>
      <c r="L37" s="378"/>
    </row>
    <row r="38" spans="2:13" x14ac:dyDescent="0.2">
      <c r="B38" s="378"/>
      <c r="C38" s="378"/>
      <c r="D38" s="378"/>
      <c r="E38" s="378"/>
      <c r="F38" s="378"/>
      <c r="G38" s="378"/>
      <c r="H38" s="378"/>
      <c r="I38" s="378"/>
      <c r="J38" s="378"/>
      <c r="K38" s="378"/>
      <c r="L38" s="378"/>
    </row>
    <row r="39" spans="2:13" ht="13.5" thickBot="1" x14ac:dyDescent="0.25">
      <c r="B39" s="378"/>
      <c r="C39" s="378"/>
      <c r="D39" s="378"/>
      <c r="E39" s="378"/>
      <c r="F39" s="378"/>
      <c r="G39" s="378"/>
      <c r="H39" s="378"/>
      <c r="I39" s="378"/>
      <c r="J39" s="378"/>
      <c r="K39" s="378"/>
      <c r="L39" s="378"/>
    </row>
    <row r="40" spans="2:13" ht="48.75" thickBot="1" x14ac:dyDescent="0.25">
      <c r="B40" s="405"/>
      <c r="C40" s="406" t="str">
        <f>C13</f>
        <v>Last Rebasing Year (2011 Board-Approved)</v>
      </c>
      <c r="D40" s="406" t="str">
        <f>D13</f>
        <v>Last Rebasing Year (2011 Actuals)</v>
      </c>
      <c r="E40" s="406" t="str">
        <f>"Variance " &amp; 'LDC Info'!E28 &amp; "  BA – " &amp; 'LDC Info'!E28 &amp; " Actuals"</f>
        <v>Variance 2011  BA – 2011 Actuals</v>
      </c>
      <c r="F40" s="406" t="str">
        <f>E13</f>
        <v>2012 Actuals</v>
      </c>
      <c r="G40" s="406" t="str">
        <f>"Variance " &amp; 'LDC Info'!E26 -2 &amp; " Actuals vs. " &amp;  'LDC Info'!E28 &amp; " Actuals"</f>
        <v>Variance 2012 Actuals vs. 2011 Actuals</v>
      </c>
      <c r="H40" s="406" t="str">
        <f>F13</f>
        <v>2013 Actuals</v>
      </c>
      <c r="I40" s="406" t="str">
        <f>"Variance " &amp; 'LDC Info'!E26 -1 &amp; " Actuals vs. " &amp;  'LDC Info'!E26-2 &amp; " Actuals"</f>
        <v>Variance 2013 Actuals vs. 2012 Actuals</v>
      </c>
      <c r="J40" s="406" t="str">
        <f>G13</f>
        <v>2014 Bridge Year</v>
      </c>
      <c r="K40" s="406" t="str">
        <f>"Variance " &amp; 'LDC Info'!E26 &amp; " Bridge vs. " &amp; 'LDC Info'!E26 -1 &amp; " Actuals"</f>
        <v>Variance 2014 Bridge vs. 2013 Actuals</v>
      </c>
      <c r="L40" s="406" t="str">
        <f>H13</f>
        <v>2015 Test Year</v>
      </c>
      <c r="M40" s="407" t="str">
        <f>"Variance " &amp; TestYear &amp; " Test vs. " &amp; BridgeYear &amp; " Bridge"</f>
        <v>Variance 2015 Test vs. 2014 Bridge</v>
      </c>
    </row>
    <row r="41" spans="2:13" x14ac:dyDescent="0.2">
      <c r="B41" s="426" t="s">
        <v>174</v>
      </c>
      <c r="C41" s="598">
        <f t="shared" ref="C41:D42" si="19">C15</f>
        <v>493406</v>
      </c>
      <c r="D41" s="598">
        <f t="shared" si="19"/>
        <v>558853</v>
      </c>
      <c r="E41" s="599">
        <f>C41-D41</f>
        <v>-65447</v>
      </c>
      <c r="F41" s="599">
        <f>E15</f>
        <v>958213</v>
      </c>
      <c r="G41" s="599">
        <f>F41-D41</f>
        <v>399360</v>
      </c>
      <c r="H41" s="599">
        <f>F15</f>
        <v>868543</v>
      </c>
      <c r="I41" s="599">
        <f>H41-F41</f>
        <v>-89670</v>
      </c>
      <c r="J41" s="599">
        <f>G15</f>
        <v>925270</v>
      </c>
      <c r="K41" s="599">
        <f>J41-H41</f>
        <v>56727</v>
      </c>
      <c r="L41" s="599">
        <f>H15</f>
        <v>977701</v>
      </c>
      <c r="M41" s="600">
        <f>L41-J41</f>
        <v>52431</v>
      </c>
    </row>
    <row r="42" spans="2:13" x14ac:dyDescent="0.2">
      <c r="B42" s="427" t="s">
        <v>624</v>
      </c>
      <c r="C42" s="601">
        <f t="shared" si="19"/>
        <v>423276</v>
      </c>
      <c r="D42" s="601">
        <f t="shared" si="19"/>
        <v>364438</v>
      </c>
      <c r="E42" s="602">
        <f t="shared" ref="E42:E45" si="20">C42-D42</f>
        <v>58838</v>
      </c>
      <c r="F42" s="602">
        <f>E16</f>
        <v>324575</v>
      </c>
      <c r="G42" s="602">
        <f t="shared" ref="G42:G45" si="21">F42-D42</f>
        <v>-39863</v>
      </c>
      <c r="H42" s="602">
        <f>F16</f>
        <v>274855</v>
      </c>
      <c r="I42" s="602">
        <f t="shared" ref="I42:M45" si="22">H42-F42</f>
        <v>-49720</v>
      </c>
      <c r="J42" s="602">
        <f>G16</f>
        <v>333832</v>
      </c>
      <c r="K42" s="602">
        <f t="shared" si="22"/>
        <v>58977</v>
      </c>
      <c r="L42" s="602">
        <f>H16</f>
        <v>340842</v>
      </c>
      <c r="M42" s="603">
        <f t="shared" si="22"/>
        <v>7010</v>
      </c>
    </row>
    <row r="43" spans="2:13" x14ac:dyDescent="0.2">
      <c r="B43" s="427" t="s">
        <v>625</v>
      </c>
      <c r="C43" s="601">
        <f t="shared" ref="C43:D45" si="23">C20</f>
        <v>1133130</v>
      </c>
      <c r="D43" s="601">
        <f t="shared" si="23"/>
        <v>982501</v>
      </c>
      <c r="E43" s="602">
        <f t="shared" si="20"/>
        <v>150629</v>
      </c>
      <c r="F43" s="602">
        <f>E20</f>
        <v>1039175</v>
      </c>
      <c r="G43" s="602">
        <f t="shared" si="21"/>
        <v>56674</v>
      </c>
      <c r="H43" s="602">
        <f>F20</f>
        <v>869044</v>
      </c>
      <c r="I43" s="602">
        <f t="shared" si="22"/>
        <v>-170131</v>
      </c>
      <c r="J43" s="602">
        <f>G20</f>
        <v>938833</v>
      </c>
      <c r="K43" s="602">
        <f t="shared" si="22"/>
        <v>69789</v>
      </c>
      <c r="L43" s="602">
        <f>H20</f>
        <v>965058</v>
      </c>
      <c r="M43" s="603">
        <f t="shared" si="22"/>
        <v>26225</v>
      </c>
    </row>
    <row r="44" spans="2:13" x14ac:dyDescent="0.2">
      <c r="B44" s="427" t="s">
        <v>626</v>
      </c>
      <c r="C44" s="601">
        <f t="shared" si="23"/>
        <v>19513</v>
      </c>
      <c r="D44" s="601">
        <f t="shared" si="23"/>
        <v>2684</v>
      </c>
      <c r="E44" s="602">
        <f t="shared" si="20"/>
        <v>16829</v>
      </c>
      <c r="F44" s="602">
        <f t="shared" ref="F44:F45" si="24">E21</f>
        <v>32390</v>
      </c>
      <c r="G44" s="602">
        <f t="shared" si="21"/>
        <v>29706</v>
      </c>
      <c r="H44" s="602">
        <f t="shared" ref="H44:H45" si="25">F21</f>
        <v>0</v>
      </c>
      <c r="I44" s="602">
        <f t="shared" si="22"/>
        <v>-32390</v>
      </c>
      <c r="J44" s="602">
        <f t="shared" ref="J44:J45" si="26">G21</f>
        <v>0</v>
      </c>
      <c r="K44" s="602">
        <f t="shared" si="22"/>
        <v>0</v>
      </c>
      <c r="L44" s="602">
        <f t="shared" ref="L44:L45" si="27">H21</f>
        <v>0</v>
      </c>
      <c r="M44" s="603">
        <f t="shared" si="22"/>
        <v>0</v>
      </c>
    </row>
    <row r="45" spans="2:13" x14ac:dyDescent="0.2">
      <c r="B45" s="427" t="s">
        <v>627</v>
      </c>
      <c r="C45" s="601">
        <f t="shared" si="23"/>
        <v>1502109</v>
      </c>
      <c r="D45" s="601">
        <f t="shared" si="23"/>
        <v>1832734</v>
      </c>
      <c r="E45" s="602">
        <f t="shared" si="20"/>
        <v>-330625</v>
      </c>
      <c r="F45" s="602">
        <f t="shared" si="24"/>
        <v>2691486</v>
      </c>
      <c r="G45" s="602">
        <f t="shared" si="21"/>
        <v>858752</v>
      </c>
      <c r="H45" s="602">
        <f t="shared" si="25"/>
        <v>1998931</v>
      </c>
      <c r="I45" s="602">
        <f t="shared" si="22"/>
        <v>-692555</v>
      </c>
      <c r="J45" s="602">
        <f t="shared" si="26"/>
        <v>2259284</v>
      </c>
      <c r="K45" s="602">
        <f t="shared" si="22"/>
        <v>260353</v>
      </c>
      <c r="L45" s="602">
        <f t="shared" si="27"/>
        <v>2351019</v>
      </c>
      <c r="M45" s="603">
        <f t="shared" si="22"/>
        <v>91735</v>
      </c>
    </row>
    <row r="46" spans="2:13" x14ac:dyDescent="0.2">
      <c r="B46" s="427" t="s">
        <v>1114</v>
      </c>
      <c r="C46" s="602">
        <f>SUM(C41:C45)</f>
        <v>3571434</v>
      </c>
      <c r="D46" s="602">
        <f t="shared" ref="D46:M46" si="28">SUM(D41:D45)</f>
        <v>3741210</v>
      </c>
      <c r="E46" s="602">
        <f t="shared" si="28"/>
        <v>-169776</v>
      </c>
      <c r="F46" s="602">
        <f t="shared" si="28"/>
        <v>5045839</v>
      </c>
      <c r="G46" s="602">
        <f t="shared" si="28"/>
        <v>1304629</v>
      </c>
      <c r="H46" s="602">
        <f t="shared" si="28"/>
        <v>4011373</v>
      </c>
      <c r="I46" s="602">
        <f t="shared" si="28"/>
        <v>-1034466</v>
      </c>
      <c r="J46" s="602">
        <f t="shared" si="28"/>
        <v>4457219</v>
      </c>
      <c r="K46" s="602">
        <f t="shared" si="28"/>
        <v>445846</v>
      </c>
      <c r="L46" s="602">
        <f t="shared" si="28"/>
        <v>4634620</v>
      </c>
      <c r="M46" s="603">
        <f t="shared" si="28"/>
        <v>177401</v>
      </c>
    </row>
    <row r="47" spans="2:13" ht="36" x14ac:dyDescent="0.2">
      <c r="B47" s="427" t="s">
        <v>1113</v>
      </c>
      <c r="C47" s="602"/>
      <c r="D47" s="602"/>
      <c r="E47" s="602"/>
      <c r="F47" s="602"/>
      <c r="G47" s="602"/>
      <c r="H47" s="602"/>
      <c r="I47" s="602"/>
      <c r="J47" s="602"/>
      <c r="K47" s="602"/>
      <c r="L47" s="602"/>
      <c r="M47" s="602"/>
    </row>
    <row r="48" spans="2:13" ht="24" x14ac:dyDescent="0.2">
      <c r="B48" s="427" t="s">
        <v>1014</v>
      </c>
      <c r="C48" s="602">
        <f>C46-C47</f>
        <v>3571434</v>
      </c>
      <c r="D48" s="602">
        <f t="shared" ref="D48:M48" si="29">D46-D47</f>
        <v>3741210</v>
      </c>
      <c r="E48" s="602">
        <f t="shared" si="29"/>
        <v>-169776</v>
      </c>
      <c r="F48" s="602">
        <f t="shared" si="29"/>
        <v>5045839</v>
      </c>
      <c r="G48" s="602">
        <f t="shared" si="29"/>
        <v>1304629</v>
      </c>
      <c r="H48" s="602">
        <f t="shared" si="29"/>
        <v>4011373</v>
      </c>
      <c r="I48" s="602">
        <f t="shared" si="29"/>
        <v>-1034466</v>
      </c>
      <c r="J48" s="602">
        <f t="shared" si="29"/>
        <v>4457219</v>
      </c>
      <c r="K48" s="602">
        <f t="shared" si="29"/>
        <v>445846</v>
      </c>
      <c r="L48" s="602">
        <f t="shared" si="29"/>
        <v>4634620</v>
      </c>
      <c r="M48" s="602">
        <f t="shared" si="29"/>
        <v>177401</v>
      </c>
    </row>
    <row r="49" spans="2:13" x14ac:dyDescent="0.2">
      <c r="B49" s="427" t="s">
        <v>628</v>
      </c>
      <c r="C49" s="415"/>
      <c r="D49" s="416"/>
      <c r="E49" s="416"/>
      <c r="F49" s="602">
        <f>F48-D48</f>
        <v>1304629</v>
      </c>
      <c r="G49" s="411"/>
      <c r="H49" s="602">
        <f>H48-F48</f>
        <v>-1034466</v>
      </c>
      <c r="I49" s="569"/>
      <c r="J49" s="602">
        <f>J48-H48</f>
        <v>445846</v>
      </c>
      <c r="K49" s="567"/>
      <c r="L49" s="602">
        <f>L48-J48</f>
        <v>177401</v>
      </c>
      <c r="M49" s="564"/>
    </row>
    <row r="50" spans="2:13" x14ac:dyDescent="0.2">
      <c r="B50" s="427" t="s">
        <v>629</v>
      </c>
      <c r="C50" s="417"/>
      <c r="D50" s="418"/>
      <c r="E50" s="418"/>
      <c r="F50" s="408">
        <f>IF(ISERROR(F49/D48), "", F49/D48)</f>
        <v>0.34871846274333707</v>
      </c>
      <c r="G50" s="412"/>
      <c r="H50" s="408">
        <f>IF(ISERROR(H49/F48), "", H49/F48)</f>
        <v>-0.2050136756246087</v>
      </c>
      <c r="I50" s="570"/>
      <c r="J50" s="408">
        <f>IF(ISERROR(J49/H48), "", J49/H48)</f>
        <v>0.11114548559807327</v>
      </c>
      <c r="K50" s="568"/>
      <c r="L50" s="408">
        <f>IF(ISERROR(L49/J48), "", L49/J48)</f>
        <v>3.9800826479470718E-2</v>
      </c>
      <c r="M50" s="565"/>
    </row>
    <row r="51" spans="2:13" ht="24" x14ac:dyDescent="0.2">
      <c r="B51" s="427" t="s">
        <v>630</v>
      </c>
      <c r="C51" s="421"/>
      <c r="D51" s="422"/>
      <c r="E51" s="422"/>
      <c r="F51" s="423"/>
      <c r="G51" s="424"/>
      <c r="H51" s="409">
        <f>IF(ISERROR((L48-H48)/H48), "", (L48-H48)/H48)</f>
        <v>0.15536999426380943</v>
      </c>
      <c r="I51" s="572"/>
      <c r="J51" s="423"/>
      <c r="K51" s="425"/>
      <c r="L51" s="423"/>
      <c r="M51" s="573"/>
    </row>
    <row r="52" spans="2:13" ht="24" x14ac:dyDescent="0.2">
      <c r="B52" s="427" t="s">
        <v>228</v>
      </c>
      <c r="C52" s="421"/>
      <c r="D52" s="422"/>
      <c r="E52" s="422"/>
      <c r="F52" s="425"/>
      <c r="G52" s="425"/>
      <c r="H52" s="574">
        <f>IF(ISERROR((L46-D46)/D46), "", (L46-D46)/D46)</f>
        <v>0.23880241953806389</v>
      </c>
      <c r="I52" s="425"/>
      <c r="J52" s="425"/>
      <c r="K52" s="425"/>
      <c r="L52" s="425"/>
      <c r="M52" s="575">
        <f>IF(ISERROR(AVERAGE(F50,H50,J50,L50)), "", AVERAGE(F50,H50,J50,L50))</f>
        <v>7.3662774799068076E-2</v>
      </c>
    </row>
    <row r="53" spans="2:13" ht="24" x14ac:dyDescent="0.2">
      <c r="B53" s="427" t="s">
        <v>670</v>
      </c>
      <c r="C53" s="421"/>
      <c r="D53" s="422"/>
      <c r="E53" s="422"/>
      <c r="F53" s="425"/>
      <c r="G53" s="425"/>
      <c r="H53" s="574" t="str">
        <f>IF(ISERROR((L49-D49)/D49), "", (L49-D49)/D49)</f>
        <v/>
      </c>
      <c r="I53" s="425"/>
      <c r="J53" s="425"/>
      <c r="K53" s="425"/>
      <c r="L53" s="425"/>
      <c r="M53" s="576">
        <f>IF((L48-D48)=0, "", (L48/D48)^(1/5)-1)</f>
        <v>4.3759422251596014E-2</v>
      </c>
    </row>
    <row r="54" spans="2:13" ht="24.75" thickBot="1" x14ac:dyDescent="0.25">
      <c r="B54" s="428" t="str">
        <f>"Compound Growth Rate                                                            (" &amp; F13 &amp; " vs. " &amp; 'LDC Info'!E28 &amp; " Actuals)"</f>
        <v>Compound Growth Rate                                                            (2013 Actuals vs. 2011 Actuals)</v>
      </c>
      <c r="C54" s="419"/>
      <c r="D54" s="420"/>
      <c r="E54" s="420"/>
      <c r="F54" s="414"/>
      <c r="G54" s="413"/>
      <c r="H54" s="410">
        <f>IF(ISERROR((H48/D48)^(1/(3)) - 1), "", (H48/D48)^(1/(3)) - 1)</f>
        <v>2.3513684238208432E-2</v>
      </c>
      <c r="I54" s="571"/>
      <c r="J54" s="414"/>
      <c r="K54" s="414"/>
      <c r="L54" s="414"/>
      <c r="M54" s="566"/>
    </row>
    <row r="55" spans="2:13" x14ac:dyDescent="0.2">
      <c r="B55" s="378"/>
      <c r="C55" s="378"/>
      <c r="D55" s="378"/>
      <c r="E55" s="378"/>
      <c r="F55" s="378"/>
      <c r="G55" s="378"/>
      <c r="H55" s="378"/>
      <c r="I55" s="378"/>
      <c r="J55" s="378"/>
      <c r="K55" s="378"/>
      <c r="L55" s="378"/>
    </row>
    <row r="56" spans="2:13" x14ac:dyDescent="0.2">
      <c r="B56" s="431" t="s">
        <v>177</v>
      </c>
      <c r="C56" s="378"/>
      <c r="D56" s="378"/>
      <c r="E56" s="378"/>
      <c r="F56" s="378"/>
      <c r="G56" s="378"/>
      <c r="H56" s="378"/>
      <c r="I56" s="378"/>
      <c r="J56" s="378"/>
      <c r="K56" s="378"/>
      <c r="L56" s="378"/>
    </row>
    <row r="57" spans="2:13" x14ac:dyDescent="0.2">
      <c r="B57" s="431"/>
      <c r="C57" s="378"/>
      <c r="D57" s="378"/>
      <c r="E57" s="378"/>
      <c r="F57" s="378"/>
      <c r="G57" s="378"/>
      <c r="H57" s="378"/>
      <c r="I57" s="378"/>
      <c r="J57" s="378"/>
      <c r="K57" s="378"/>
      <c r="L57" s="378"/>
    </row>
    <row r="58" spans="2:13" x14ac:dyDescent="0.2">
      <c r="B58" s="429" t="s">
        <v>631</v>
      </c>
      <c r="C58" s="378"/>
      <c r="D58" s="378"/>
      <c r="E58" s="378"/>
      <c r="F58" s="378"/>
      <c r="G58" s="378"/>
      <c r="H58" s="378"/>
      <c r="I58" s="378"/>
      <c r="J58" s="378"/>
      <c r="K58" s="378"/>
      <c r="L58" s="378"/>
    </row>
    <row r="59" spans="2:13" ht="12.75" customHeight="1" x14ac:dyDescent="0.2">
      <c r="B59" s="1752" t="s">
        <v>632</v>
      </c>
      <c r="C59" s="1752"/>
      <c r="D59" s="1752"/>
      <c r="E59" s="1752"/>
      <c r="F59" s="1752"/>
      <c r="G59" s="1752"/>
      <c r="H59" s="1752"/>
      <c r="I59" s="1752"/>
      <c r="J59" s="1752"/>
      <c r="K59" s="1752"/>
      <c r="L59" s="1752"/>
      <c r="M59" s="1752"/>
    </row>
    <row r="60" spans="2:13" x14ac:dyDescent="0.2">
      <c r="B60" s="1752"/>
      <c r="C60" s="1752"/>
      <c r="D60" s="1752"/>
      <c r="E60" s="1752"/>
      <c r="F60" s="1752"/>
      <c r="G60" s="1752"/>
      <c r="H60" s="1752"/>
      <c r="I60" s="1752"/>
      <c r="J60" s="1752"/>
      <c r="K60" s="1752"/>
      <c r="L60" s="1752"/>
      <c r="M60" s="1752"/>
    </row>
    <row r="61" spans="2:13" x14ac:dyDescent="0.2">
      <c r="B61" s="430" t="s">
        <v>1015</v>
      </c>
      <c r="C61" s="279"/>
      <c r="D61" s="279"/>
      <c r="E61" s="279"/>
      <c r="F61" s="279"/>
      <c r="G61" s="279"/>
      <c r="H61" s="279"/>
      <c r="I61" s="279"/>
      <c r="J61" s="279"/>
      <c r="K61" s="279"/>
      <c r="L61" s="279"/>
      <c r="M61" s="279"/>
    </row>
    <row r="62" spans="2:13" x14ac:dyDescent="0.2">
      <c r="B62" s="279"/>
      <c r="C62" s="279"/>
      <c r="D62" s="279"/>
      <c r="E62" s="279"/>
      <c r="F62" s="279"/>
      <c r="G62" s="279"/>
      <c r="H62" s="279"/>
      <c r="I62" s="279"/>
      <c r="J62" s="279"/>
      <c r="K62" s="279"/>
      <c r="L62" s="279"/>
      <c r="M62" s="279"/>
    </row>
    <row r="63" spans="2:13" x14ac:dyDescent="0.2">
      <c r="B63" s="430"/>
      <c r="C63" s="279"/>
      <c r="D63" s="279"/>
      <c r="E63" s="279"/>
      <c r="F63" s="279"/>
      <c r="G63" s="279"/>
      <c r="H63" s="378"/>
      <c r="I63" s="378"/>
      <c r="J63" s="378"/>
      <c r="K63" s="378"/>
      <c r="L63" s="378"/>
    </row>
    <row r="64" spans="2:13" x14ac:dyDescent="0.2">
      <c r="C64" s="1752"/>
      <c r="D64" s="1752"/>
      <c r="E64" s="1752"/>
      <c r="F64" s="1752"/>
      <c r="G64" s="1752"/>
      <c r="H64" s="378"/>
      <c r="I64" s="378"/>
      <c r="J64" s="378"/>
      <c r="K64" s="378"/>
      <c r="L64" s="378"/>
    </row>
    <row r="65" spans="2:12" x14ac:dyDescent="0.2">
      <c r="B65" s="120"/>
      <c r="C65" s="1752"/>
      <c r="D65" s="1752"/>
      <c r="E65" s="1752"/>
      <c r="F65" s="1752"/>
      <c r="G65" s="1752"/>
      <c r="H65" s="378"/>
      <c r="I65" s="378"/>
      <c r="J65" s="378"/>
      <c r="K65" s="378"/>
      <c r="L65" s="378"/>
    </row>
    <row r="66" spans="2:12" x14ac:dyDescent="0.2">
      <c r="B66" s="378"/>
      <c r="C66" s="378"/>
      <c r="D66" s="378"/>
      <c r="E66" s="378"/>
      <c r="F66" s="378"/>
      <c r="G66" s="378"/>
      <c r="H66" s="378"/>
      <c r="I66" s="378"/>
      <c r="J66" s="378"/>
      <c r="K66" s="378"/>
      <c r="L66" s="378"/>
    </row>
    <row r="67" spans="2:12" x14ac:dyDescent="0.2">
      <c r="B67" s="378"/>
      <c r="C67" s="378"/>
      <c r="D67" s="378"/>
      <c r="E67" s="378"/>
      <c r="F67" s="378"/>
      <c r="G67" s="378"/>
      <c r="H67" s="378"/>
      <c r="I67" s="378"/>
      <c r="J67" s="378"/>
      <c r="K67" s="378"/>
      <c r="L67" s="378"/>
    </row>
    <row r="68" spans="2:12" x14ac:dyDescent="0.2">
      <c r="B68" s="378"/>
      <c r="C68" s="378"/>
      <c r="D68" s="378"/>
      <c r="E68" s="378"/>
      <c r="F68" s="378"/>
      <c r="G68" s="378"/>
      <c r="H68" s="378"/>
      <c r="I68" s="378"/>
      <c r="J68" s="378"/>
      <c r="K68" s="378"/>
      <c r="L68" s="378"/>
    </row>
    <row r="69" spans="2:12" x14ac:dyDescent="0.2">
      <c r="B69" s="378"/>
      <c r="C69" s="378"/>
      <c r="D69" s="378"/>
      <c r="E69" s="378"/>
      <c r="F69" s="378"/>
      <c r="G69" s="378"/>
      <c r="H69" s="378"/>
      <c r="I69" s="378"/>
      <c r="J69" s="378"/>
      <c r="K69" s="378"/>
      <c r="L69" s="378"/>
    </row>
    <row r="70" spans="2:12" x14ac:dyDescent="0.2">
      <c r="B70" s="378"/>
      <c r="C70" s="378"/>
      <c r="D70" s="378"/>
      <c r="E70" s="378"/>
      <c r="F70" s="378"/>
      <c r="G70" s="378"/>
      <c r="H70" s="378"/>
      <c r="I70" s="378"/>
      <c r="J70" s="378"/>
      <c r="K70" s="378"/>
      <c r="L70" s="378"/>
    </row>
    <row r="71" spans="2:12" x14ac:dyDescent="0.2">
      <c r="B71" s="378"/>
      <c r="C71" s="378"/>
      <c r="D71" s="378"/>
      <c r="E71" s="378"/>
      <c r="F71" s="378"/>
      <c r="G71" s="378"/>
      <c r="H71" s="378"/>
      <c r="I71" s="378"/>
      <c r="J71" s="378"/>
      <c r="K71" s="378"/>
      <c r="L71" s="378"/>
    </row>
    <row r="72" spans="2:12" x14ac:dyDescent="0.2">
      <c r="B72" s="378"/>
      <c r="C72" s="378"/>
      <c r="D72" s="378"/>
      <c r="E72" s="378"/>
      <c r="F72" s="378"/>
      <c r="G72" s="378"/>
      <c r="H72" s="378"/>
      <c r="I72" s="378"/>
      <c r="J72" s="378"/>
      <c r="K72" s="378"/>
      <c r="L72" s="378"/>
    </row>
    <row r="73" spans="2:12" x14ac:dyDescent="0.2">
      <c r="B73" s="378"/>
      <c r="C73" s="378"/>
      <c r="D73" s="378"/>
      <c r="E73" s="378"/>
      <c r="F73" s="378"/>
      <c r="G73" s="378"/>
      <c r="H73" s="378"/>
      <c r="I73" s="378"/>
      <c r="J73" s="378"/>
      <c r="K73" s="378"/>
      <c r="L73" s="378"/>
    </row>
    <row r="74" spans="2:12" x14ac:dyDescent="0.2">
      <c r="B74" s="378"/>
      <c r="C74" s="378"/>
      <c r="D74" s="378"/>
      <c r="E74" s="378"/>
      <c r="F74" s="378"/>
      <c r="G74" s="378"/>
      <c r="H74" s="378"/>
      <c r="I74" s="378"/>
      <c r="J74" s="378"/>
      <c r="K74" s="378"/>
      <c r="L74" s="378"/>
    </row>
    <row r="75" spans="2:12" x14ac:dyDescent="0.2">
      <c r="B75" s="378"/>
      <c r="C75" s="378"/>
      <c r="D75" s="378"/>
      <c r="E75" s="378"/>
      <c r="F75" s="378"/>
      <c r="G75" s="378"/>
      <c r="H75" s="378"/>
      <c r="I75" s="378"/>
      <c r="J75" s="378"/>
      <c r="K75" s="378"/>
      <c r="L75" s="378"/>
    </row>
    <row r="76" spans="2:12" x14ac:dyDescent="0.2">
      <c r="B76" s="378"/>
      <c r="C76" s="378"/>
      <c r="D76" s="378"/>
      <c r="E76" s="378"/>
      <c r="F76" s="378"/>
      <c r="G76" s="378"/>
      <c r="H76" s="378"/>
      <c r="I76" s="378"/>
      <c r="J76" s="378"/>
      <c r="K76" s="378"/>
      <c r="L76" s="378"/>
    </row>
    <row r="77" spans="2:12" x14ac:dyDescent="0.2">
      <c r="B77" s="378"/>
      <c r="C77" s="378"/>
      <c r="D77" s="378"/>
      <c r="E77" s="378"/>
      <c r="F77" s="378"/>
      <c r="G77" s="378"/>
      <c r="H77" s="378"/>
      <c r="I77" s="378"/>
      <c r="J77" s="378"/>
      <c r="K77" s="378"/>
      <c r="L77" s="378"/>
    </row>
    <row r="78" spans="2:12" x14ac:dyDescent="0.2">
      <c r="B78" s="378"/>
      <c r="C78" s="378"/>
      <c r="D78" s="378"/>
      <c r="E78" s="378"/>
      <c r="F78" s="378"/>
      <c r="G78" s="378"/>
      <c r="H78" s="378"/>
      <c r="I78" s="378"/>
      <c r="J78" s="378"/>
      <c r="K78" s="378"/>
      <c r="L78" s="378"/>
    </row>
    <row r="79" spans="2:12" x14ac:dyDescent="0.2">
      <c r="B79" s="378"/>
      <c r="C79" s="378"/>
      <c r="D79" s="378"/>
      <c r="E79" s="378"/>
      <c r="F79" s="378"/>
      <c r="G79" s="378"/>
      <c r="H79" s="378"/>
      <c r="I79" s="378"/>
      <c r="J79" s="378"/>
      <c r="K79" s="378"/>
      <c r="L79" s="378"/>
    </row>
    <row r="80" spans="2:12" x14ac:dyDescent="0.2">
      <c r="B80" s="378"/>
      <c r="C80" s="378"/>
      <c r="D80" s="378"/>
      <c r="E80" s="378"/>
      <c r="F80" s="378"/>
      <c r="G80" s="378"/>
      <c r="H80" s="378"/>
      <c r="I80" s="378"/>
      <c r="J80" s="378"/>
      <c r="K80" s="378"/>
      <c r="L80" s="378"/>
    </row>
    <row r="81" spans="2:12" x14ac:dyDescent="0.2">
      <c r="B81" s="378"/>
      <c r="C81" s="378"/>
      <c r="D81" s="378"/>
      <c r="E81" s="378"/>
      <c r="F81" s="378"/>
      <c r="G81" s="378"/>
      <c r="H81" s="378"/>
      <c r="I81" s="378"/>
      <c r="J81" s="378"/>
      <c r="K81" s="378"/>
      <c r="L81" s="378"/>
    </row>
    <row r="82" spans="2:12" x14ac:dyDescent="0.2">
      <c r="B82" s="378"/>
      <c r="C82" s="378"/>
      <c r="D82" s="378"/>
      <c r="E82" s="378"/>
      <c r="F82" s="378"/>
      <c r="G82" s="378"/>
      <c r="H82" s="378"/>
      <c r="I82" s="378"/>
      <c r="J82" s="378"/>
      <c r="K82" s="378"/>
      <c r="L82" s="378"/>
    </row>
    <row r="83" spans="2:12" x14ac:dyDescent="0.2">
      <c r="B83" s="378"/>
      <c r="C83" s="378"/>
      <c r="D83" s="378"/>
      <c r="E83" s="378"/>
      <c r="F83" s="378"/>
      <c r="G83" s="378"/>
      <c r="H83" s="378"/>
      <c r="I83" s="378"/>
      <c r="J83" s="378"/>
      <c r="K83" s="378"/>
      <c r="L83" s="378"/>
    </row>
    <row r="84" spans="2:12" x14ac:dyDescent="0.2">
      <c r="B84" s="378"/>
      <c r="C84" s="378"/>
      <c r="D84" s="378"/>
      <c r="E84" s="378"/>
      <c r="F84" s="378"/>
      <c r="G84" s="378"/>
      <c r="H84" s="378"/>
      <c r="I84" s="378"/>
      <c r="J84" s="378"/>
      <c r="K84" s="378"/>
      <c r="L84" s="378"/>
    </row>
    <row r="85" spans="2:12" x14ac:dyDescent="0.2">
      <c r="B85" s="378"/>
      <c r="C85" s="378"/>
      <c r="D85" s="378"/>
      <c r="E85" s="378"/>
      <c r="F85" s="378"/>
      <c r="G85" s="378"/>
      <c r="H85" s="378"/>
      <c r="I85" s="378"/>
      <c r="J85" s="378"/>
      <c r="K85" s="378"/>
      <c r="L85" s="378"/>
    </row>
    <row r="86" spans="2:12" x14ac:dyDescent="0.2">
      <c r="B86" s="378"/>
      <c r="C86" s="378"/>
      <c r="D86" s="378"/>
      <c r="E86" s="378"/>
      <c r="F86" s="378"/>
      <c r="G86" s="378"/>
      <c r="H86" s="378"/>
      <c r="I86" s="378"/>
      <c r="J86" s="378"/>
      <c r="K86" s="378"/>
      <c r="L86" s="378"/>
    </row>
    <row r="87" spans="2:12" x14ac:dyDescent="0.2">
      <c r="B87" s="378"/>
      <c r="C87" s="378"/>
      <c r="D87" s="378"/>
      <c r="E87" s="378"/>
      <c r="F87" s="378"/>
      <c r="G87" s="378"/>
      <c r="H87" s="378"/>
      <c r="I87" s="378"/>
      <c r="J87" s="378"/>
      <c r="K87" s="378"/>
      <c r="L87" s="378"/>
    </row>
    <row r="88" spans="2:12" x14ac:dyDescent="0.2">
      <c r="B88" s="378"/>
      <c r="C88" s="378"/>
      <c r="D88" s="378"/>
      <c r="E88" s="378"/>
      <c r="F88" s="378"/>
      <c r="G88" s="378"/>
      <c r="H88" s="378"/>
      <c r="I88" s="378"/>
      <c r="J88" s="378"/>
      <c r="K88" s="378"/>
      <c r="L88" s="378"/>
    </row>
    <row r="89" spans="2:12" x14ac:dyDescent="0.2">
      <c r="B89" s="378"/>
      <c r="C89" s="378"/>
      <c r="D89" s="378"/>
      <c r="E89" s="378"/>
      <c r="F89" s="378"/>
      <c r="G89" s="378"/>
      <c r="H89" s="378"/>
      <c r="I89" s="378"/>
      <c r="J89" s="378"/>
      <c r="K89" s="378"/>
      <c r="L89" s="378"/>
    </row>
    <row r="90" spans="2:12" x14ac:dyDescent="0.2">
      <c r="B90" s="378"/>
      <c r="C90" s="378"/>
      <c r="D90" s="378"/>
      <c r="E90" s="378"/>
      <c r="F90" s="378"/>
      <c r="G90" s="378"/>
      <c r="H90" s="378"/>
      <c r="I90" s="378"/>
      <c r="J90" s="378"/>
      <c r="K90" s="378"/>
      <c r="L90" s="378"/>
    </row>
    <row r="91" spans="2:12" x14ac:dyDescent="0.2">
      <c r="B91" s="378"/>
      <c r="C91" s="378"/>
      <c r="D91" s="378"/>
      <c r="E91" s="378"/>
      <c r="F91" s="378"/>
      <c r="G91" s="378"/>
      <c r="H91" s="378"/>
      <c r="I91" s="378"/>
      <c r="J91" s="378"/>
      <c r="K91" s="378"/>
      <c r="L91" s="378"/>
    </row>
    <row r="92" spans="2:12" x14ac:dyDescent="0.2">
      <c r="B92" s="378"/>
      <c r="C92" s="378"/>
      <c r="D92" s="378"/>
      <c r="E92" s="378"/>
      <c r="F92" s="378"/>
      <c r="G92" s="378"/>
      <c r="H92" s="378"/>
      <c r="I92" s="378"/>
      <c r="J92" s="378"/>
      <c r="K92" s="378"/>
      <c r="L92" s="378"/>
    </row>
    <row r="93" spans="2:12" x14ac:dyDescent="0.2">
      <c r="B93" s="378"/>
      <c r="C93" s="378"/>
      <c r="D93" s="378"/>
      <c r="E93" s="378"/>
      <c r="F93" s="378"/>
      <c r="G93" s="378"/>
      <c r="H93" s="378"/>
      <c r="I93" s="378"/>
      <c r="J93" s="378"/>
      <c r="K93" s="378"/>
      <c r="L93" s="378"/>
    </row>
    <row r="94" spans="2:12" x14ac:dyDescent="0.2">
      <c r="B94" s="378"/>
      <c r="C94" s="378"/>
      <c r="D94" s="378"/>
      <c r="E94" s="378"/>
      <c r="F94" s="378"/>
      <c r="G94" s="378"/>
      <c r="H94" s="378"/>
      <c r="I94" s="378"/>
      <c r="J94" s="378"/>
      <c r="K94" s="378"/>
      <c r="L94" s="378"/>
    </row>
    <row r="95" spans="2:12" x14ac:dyDescent="0.2">
      <c r="B95" s="378"/>
      <c r="C95" s="378"/>
      <c r="D95" s="378"/>
      <c r="E95" s="378"/>
      <c r="F95" s="378"/>
      <c r="G95" s="378"/>
      <c r="H95" s="378"/>
      <c r="I95" s="378"/>
      <c r="J95" s="378"/>
      <c r="K95" s="378"/>
      <c r="L95" s="378"/>
    </row>
    <row r="96" spans="2:12" x14ac:dyDescent="0.2">
      <c r="B96" s="378"/>
      <c r="C96" s="378"/>
      <c r="D96" s="378"/>
      <c r="E96" s="378"/>
      <c r="F96" s="378"/>
      <c r="G96" s="378"/>
      <c r="H96" s="378"/>
      <c r="I96" s="378"/>
      <c r="J96" s="378"/>
      <c r="K96" s="378"/>
      <c r="L96" s="378"/>
    </row>
    <row r="97" spans="2:12" x14ac:dyDescent="0.2">
      <c r="B97" s="378"/>
      <c r="C97" s="378"/>
      <c r="D97" s="378"/>
      <c r="E97" s="378"/>
      <c r="F97" s="378"/>
      <c r="G97" s="378"/>
      <c r="H97" s="378"/>
      <c r="I97" s="378"/>
      <c r="J97" s="378"/>
      <c r="K97" s="378"/>
      <c r="L97" s="378"/>
    </row>
    <row r="98" spans="2:12" x14ac:dyDescent="0.2">
      <c r="B98" s="378"/>
      <c r="C98" s="378"/>
      <c r="D98" s="378"/>
      <c r="E98" s="378"/>
      <c r="F98" s="378"/>
      <c r="G98" s="378"/>
      <c r="H98" s="378"/>
      <c r="I98" s="378"/>
      <c r="J98" s="378"/>
      <c r="K98" s="378"/>
      <c r="L98" s="378"/>
    </row>
    <row r="99" spans="2:12" x14ac:dyDescent="0.2">
      <c r="B99" s="378"/>
      <c r="C99" s="378"/>
      <c r="D99" s="378"/>
      <c r="E99" s="378"/>
      <c r="F99" s="378"/>
      <c r="G99" s="378"/>
      <c r="H99" s="378"/>
      <c r="I99" s="378"/>
      <c r="J99" s="378"/>
      <c r="K99" s="378"/>
      <c r="L99" s="378"/>
    </row>
    <row r="100" spans="2:12" x14ac:dyDescent="0.2">
      <c r="B100" s="378"/>
      <c r="C100" s="378"/>
      <c r="D100" s="378"/>
      <c r="E100" s="378"/>
      <c r="F100" s="378"/>
      <c r="G100" s="378"/>
      <c r="H100" s="378"/>
      <c r="I100" s="378"/>
      <c r="J100" s="378"/>
      <c r="K100" s="378"/>
      <c r="L100" s="378"/>
    </row>
    <row r="101" spans="2:12" x14ac:dyDescent="0.2">
      <c r="B101" s="378"/>
      <c r="C101" s="378"/>
      <c r="D101" s="378"/>
      <c r="E101" s="378"/>
      <c r="F101" s="378"/>
      <c r="G101" s="378"/>
      <c r="H101" s="378"/>
      <c r="I101" s="378"/>
      <c r="J101" s="378"/>
      <c r="K101" s="378"/>
      <c r="L101" s="378"/>
    </row>
    <row r="102" spans="2:12" x14ac:dyDescent="0.2">
      <c r="B102" s="378"/>
      <c r="C102" s="378"/>
      <c r="D102" s="378"/>
      <c r="E102" s="378"/>
      <c r="F102" s="378"/>
      <c r="G102" s="378"/>
      <c r="H102" s="378"/>
      <c r="I102" s="378"/>
      <c r="J102" s="378"/>
      <c r="K102" s="378"/>
      <c r="L102" s="378"/>
    </row>
    <row r="103" spans="2:12" x14ac:dyDescent="0.2">
      <c r="B103" s="378"/>
      <c r="C103" s="378"/>
      <c r="D103" s="378"/>
      <c r="E103" s="378"/>
      <c r="F103" s="378"/>
      <c r="G103" s="378"/>
      <c r="H103" s="378"/>
      <c r="I103" s="378"/>
      <c r="J103" s="378"/>
      <c r="K103" s="378"/>
      <c r="L103" s="378"/>
    </row>
    <row r="104" spans="2:12" x14ac:dyDescent="0.2">
      <c r="B104" s="378"/>
      <c r="C104" s="378"/>
      <c r="D104" s="378"/>
      <c r="E104" s="378"/>
      <c r="F104" s="378"/>
      <c r="G104" s="378"/>
      <c r="H104" s="378"/>
      <c r="I104" s="378"/>
      <c r="J104" s="378"/>
      <c r="K104" s="378"/>
      <c r="L104" s="378"/>
    </row>
    <row r="105" spans="2:12" x14ac:dyDescent="0.2">
      <c r="B105" s="378"/>
      <c r="C105" s="378"/>
      <c r="D105" s="378"/>
      <c r="E105" s="378"/>
      <c r="F105" s="378"/>
      <c r="G105" s="378"/>
      <c r="H105" s="378"/>
      <c r="I105" s="378"/>
      <c r="J105" s="378"/>
      <c r="K105" s="378"/>
      <c r="L105" s="378"/>
    </row>
    <row r="106" spans="2:12" x14ac:dyDescent="0.2">
      <c r="B106" s="378"/>
      <c r="C106" s="378"/>
      <c r="D106" s="378"/>
      <c r="E106" s="378"/>
      <c r="F106" s="378"/>
      <c r="G106" s="378"/>
      <c r="H106" s="378"/>
      <c r="I106" s="378"/>
      <c r="J106" s="378"/>
      <c r="K106" s="378"/>
      <c r="L106" s="378"/>
    </row>
    <row r="107" spans="2:12" x14ac:dyDescent="0.2">
      <c r="B107" s="378"/>
      <c r="C107" s="378"/>
      <c r="D107" s="378"/>
      <c r="E107" s="378"/>
      <c r="F107" s="378"/>
      <c r="G107" s="378"/>
      <c r="H107" s="378"/>
      <c r="I107" s="378"/>
      <c r="J107" s="378"/>
      <c r="K107" s="378"/>
      <c r="L107" s="378"/>
    </row>
    <row r="108" spans="2:12" x14ac:dyDescent="0.2">
      <c r="B108" s="378"/>
      <c r="C108" s="378"/>
      <c r="D108" s="378"/>
      <c r="E108" s="378"/>
      <c r="F108" s="378"/>
      <c r="G108" s="378"/>
      <c r="H108" s="378"/>
      <c r="I108" s="378"/>
      <c r="J108" s="378"/>
      <c r="K108" s="378"/>
      <c r="L108" s="378"/>
    </row>
    <row r="109" spans="2:12" x14ac:dyDescent="0.2">
      <c r="B109" s="378"/>
      <c r="C109" s="378"/>
      <c r="D109" s="378"/>
      <c r="E109" s="378"/>
      <c r="F109" s="378"/>
      <c r="G109" s="378"/>
      <c r="H109" s="378"/>
      <c r="I109" s="378"/>
      <c r="J109" s="378"/>
      <c r="K109" s="378"/>
      <c r="L109" s="378"/>
    </row>
    <row r="110" spans="2:12" x14ac:dyDescent="0.2">
      <c r="B110" s="378"/>
      <c r="C110" s="378"/>
      <c r="D110" s="378"/>
      <c r="E110" s="378"/>
      <c r="F110" s="378"/>
      <c r="G110" s="378"/>
      <c r="H110" s="378"/>
      <c r="I110" s="378"/>
      <c r="J110" s="378"/>
      <c r="K110" s="378"/>
      <c r="L110" s="378"/>
    </row>
    <row r="111" spans="2:12" x14ac:dyDescent="0.2">
      <c r="B111" s="378"/>
      <c r="C111" s="378"/>
      <c r="D111" s="378"/>
      <c r="E111" s="378"/>
      <c r="F111" s="378"/>
      <c r="G111" s="378"/>
      <c r="H111" s="378"/>
      <c r="I111" s="378"/>
      <c r="J111" s="378"/>
      <c r="K111" s="378"/>
      <c r="L111" s="378"/>
    </row>
    <row r="112" spans="2:12" x14ac:dyDescent="0.2">
      <c r="B112" s="378"/>
      <c r="C112" s="378"/>
      <c r="D112" s="378"/>
      <c r="E112" s="378"/>
      <c r="F112" s="378"/>
      <c r="G112" s="378"/>
      <c r="H112" s="378"/>
      <c r="I112" s="378"/>
      <c r="J112" s="378"/>
      <c r="K112" s="378"/>
      <c r="L112" s="378"/>
    </row>
    <row r="113" spans="2:12" x14ac:dyDescent="0.2">
      <c r="B113" s="378"/>
      <c r="C113" s="378"/>
      <c r="D113" s="378"/>
      <c r="E113" s="378"/>
      <c r="F113" s="378"/>
      <c r="G113" s="378"/>
      <c r="H113" s="378"/>
      <c r="I113" s="378"/>
      <c r="J113" s="378"/>
      <c r="K113" s="378"/>
      <c r="L113" s="378"/>
    </row>
    <row r="114" spans="2:12" x14ac:dyDescent="0.2">
      <c r="B114" s="378"/>
      <c r="C114" s="378"/>
      <c r="D114" s="378"/>
      <c r="E114" s="378"/>
      <c r="F114" s="378"/>
      <c r="G114" s="378"/>
      <c r="H114" s="378"/>
      <c r="I114" s="378"/>
      <c r="J114" s="378"/>
      <c r="K114" s="378"/>
      <c r="L114" s="378"/>
    </row>
    <row r="115" spans="2:12" x14ac:dyDescent="0.2">
      <c r="B115" s="378"/>
      <c r="C115" s="378"/>
      <c r="D115" s="378"/>
      <c r="E115" s="378"/>
      <c r="F115" s="378"/>
      <c r="G115" s="378"/>
      <c r="H115" s="378"/>
      <c r="I115" s="378"/>
      <c r="J115" s="378"/>
      <c r="K115" s="378"/>
      <c r="L115" s="378"/>
    </row>
    <row r="116" spans="2:12" x14ac:dyDescent="0.2">
      <c r="B116" s="378"/>
      <c r="C116" s="378"/>
      <c r="D116" s="378"/>
      <c r="E116" s="378"/>
      <c r="F116" s="378"/>
      <c r="G116" s="378"/>
      <c r="H116" s="378"/>
      <c r="I116" s="378"/>
      <c r="J116" s="378"/>
      <c r="K116" s="378"/>
      <c r="L116" s="378"/>
    </row>
    <row r="117" spans="2:12" x14ac:dyDescent="0.2">
      <c r="B117" s="378"/>
      <c r="C117" s="378"/>
      <c r="D117" s="378"/>
      <c r="E117" s="378"/>
      <c r="F117" s="378"/>
      <c r="G117" s="378"/>
      <c r="H117" s="378"/>
      <c r="I117" s="378"/>
      <c r="J117" s="378"/>
      <c r="K117" s="378"/>
      <c r="L117" s="378"/>
    </row>
    <row r="118" spans="2:12" x14ac:dyDescent="0.2">
      <c r="B118" s="378"/>
      <c r="C118" s="378"/>
      <c r="D118" s="378"/>
      <c r="E118" s="378"/>
      <c r="F118" s="378"/>
      <c r="G118" s="378"/>
      <c r="H118" s="378"/>
      <c r="I118" s="378"/>
      <c r="J118" s="378"/>
      <c r="K118" s="378"/>
      <c r="L118" s="378"/>
    </row>
    <row r="119" spans="2:12" x14ac:dyDescent="0.2">
      <c r="B119" s="378"/>
      <c r="C119" s="378"/>
      <c r="D119" s="378"/>
      <c r="E119" s="378"/>
      <c r="F119" s="378"/>
      <c r="G119" s="378"/>
      <c r="H119" s="378"/>
      <c r="I119" s="378"/>
      <c r="J119" s="378"/>
      <c r="K119" s="378"/>
      <c r="L119" s="378"/>
    </row>
    <row r="120" spans="2:12" x14ac:dyDescent="0.2">
      <c r="B120" s="378"/>
      <c r="C120" s="378"/>
      <c r="D120" s="378"/>
      <c r="E120" s="378"/>
      <c r="F120" s="378"/>
      <c r="G120" s="378"/>
      <c r="H120" s="378"/>
      <c r="I120" s="378"/>
      <c r="J120" s="378"/>
      <c r="K120" s="378"/>
      <c r="L120" s="378"/>
    </row>
    <row r="121" spans="2:12" x14ac:dyDescent="0.2">
      <c r="B121" s="378"/>
      <c r="C121" s="378"/>
      <c r="D121" s="378"/>
      <c r="E121" s="378"/>
      <c r="F121" s="378"/>
      <c r="G121" s="378"/>
      <c r="H121" s="378"/>
      <c r="I121" s="378"/>
      <c r="J121" s="378"/>
      <c r="K121" s="378"/>
      <c r="L121" s="378"/>
    </row>
    <row r="122" spans="2:12" x14ac:dyDescent="0.2">
      <c r="B122" s="378"/>
      <c r="C122" s="378"/>
      <c r="D122" s="378"/>
      <c r="E122" s="378"/>
      <c r="F122" s="378"/>
      <c r="G122" s="378"/>
      <c r="H122" s="378"/>
      <c r="I122" s="378"/>
      <c r="J122" s="378"/>
      <c r="K122" s="378"/>
      <c r="L122" s="378"/>
    </row>
    <row r="123" spans="2:12" x14ac:dyDescent="0.2">
      <c r="B123" s="378"/>
      <c r="C123" s="378"/>
      <c r="D123" s="378"/>
      <c r="E123" s="378"/>
      <c r="F123" s="378"/>
      <c r="G123" s="378"/>
      <c r="H123" s="378"/>
      <c r="I123" s="378"/>
      <c r="J123" s="378"/>
      <c r="K123" s="378"/>
      <c r="L123" s="378"/>
    </row>
    <row r="124" spans="2:12" x14ac:dyDescent="0.2">
      <c r="B124" s="378"/>
      <c r="C124" s="378"/>
      <c r="D124" s="378"/>
      <c r="E124" s="378"/>
      <c r="F124" s="378"/>
      <c r="G124" s="378"/>
      <c r="H124" s="378"/>
      <c r="I124" s="378"/>
      <c r="J124" s="378"/>
      <c r="K124" s="378"/>
      <c r="L124" s="378"/>
    </row>
    <row r="125" spans="2:12" x14ac:dyDescent="0.2">
      <c r="B125" s="378"/>
      <c r="C125" s="378"/>
      <c r="D125" s="378"/>
      <c r="E125" s="378"/>
      <c r="F125" s="378"/>
      <c r="G125" s="378"/>
      <c r="H125" s="378"/>
      <c r="I125" s="378"/>
      <c r="J125" s="378"/>
      <c r="K125" s="378"/>
      <c r="L125" s="378"/>
    </row>
    <row r="126" spans="2:12" x14ac:dyDescent="0.2">
      <c r="B126" s="378"/>
      <c r="C126" s="378"/>
      <c r="D126" s="378"/>
      <c r="E126" s="378"/>
      <c r="F126" s="378"/>
      <c r="G126" s="378"/>
      <c r="H126" s="378"/>
      <c r="I126" s="378"/>
      <c r="J126" s="378"/>
      <c r="K126" s="378"/>
      <c r="L126" s="378"/>
    </row>
    <row r="127" spans="2:12" x14ac:dyDescent="0.2">
      <c r="B127" s="378"/>
      <c r="C127" s="378"/>
      <c r="D127" s="378"/>
      <c r="E127" s="378"/>
      <c r="F127" s="378"/>
      <c r="G127" s="378"/>
      <c r="H127" s="378"/>
      <c r="I127" s="378"/>
      <c r="J127" s="378"/>
      <c r="K127" s="378"/>
      <c r="L127" s="378"/>
    </row>
    <row r="128" spans="2:12" x14ac:dyDescent="0.2">
      <c r="B128" s="378"/>
      <c r="C128" s="378"/>
      <c r="D128" s="378"/>
      <c r="E128" s="378"/>
      <c r="F128" s="378"/>
      <c r="G128" s="378"/>
      <c r="H128" s="378"/>
      <c r="I128" s="378"/>
      <c r="J128" s="378"/>
      <c r="K128" s="378"/>
      <c r="L128" s="378"/>
    </row>
    <row r="129" spans="2:12" x14ac:dyDescent="0.2">
      <c r="B129" s="378"/>
      <c r="C129" s="378"/>
      <c r="D129" s="378"/>
      <c r="E129" s="378"/>
      <c r="F129" s="378"/>
      <c r="G129" s="378"/>
      <c r="H129" s="378"/>
      <c r="I129" s="378"/>
      <c r="J129" s="378"/>
      <c r="K129" s="378"/>
      <c r="L129" s="378"/>
    </row>
    <row r="130" spans="2:12" x14ac:dyDescent="0.2">
      <c r="B130" s="378"/>
      <c r="C130" s="378"/>
      <c r="D130" s="378"/>
      <c r="E130" s="378"/>
      <c r="F130" s="378"/>
      <c r="G130" s="378"/>
      <c r="H130" s="378"/>
      <c r="I130" s="378"/>
      <c r="J130" s="378"/>
      <c r="K130" s="378"/>
      <c r="L130" s="378"/>
    </row>
    <row r="131" spans="2:12" x14ac:dyDescent="0.2">
      <c r="B131" s="378"/>
      <c r="C131" s="378"/>
      <c r="D131" s="378"/>
      <c r="E131" s="378"/>
      <c r="F131" s="378"/>
      <c r="G131" s="378"/>
      <c r="H131" s="378"/>
      <c r="I131" s="378"/>
      <c r="J131" s="378"/>
      <c r="K131" s="378"/>
      <c r="L131" s="378"/>
    </row>
    <row r="132" spans="2:12" x14ac:dyDescent="0.2">
      <c r="B132" s="378"/>
      <c r="C132" s="378"/>
      <c r="D132" s="378"/>
      <c r="E132" s="378"/>
      <c r="F132" s="378"/>
      <c r="G132" s="378"/>
      <c r="H132" s="378"/>
      <c r="I132" s="378"/>
      <c r="J132" s="378"/>
      <c r="K132" s="378"/>
      <c r="L132" s="378"/>
    </row>
    <row r="133" spans="2:12" x14ac:dyDescent="0.2">
      <c r="B133" s="378"/>
      <c r="C133" s="378"/>
      <c r="D133" s="378"/>
      <c r="E133" s="378"/>
      <c r="F133" s="378"/>
      <c r="G133" s="378"/>
      <c r="H133" s="378"/>
      <c r="I133" s="378"/>
      <c r="J133" s="378"/>
      <c r="K133" s="378"/>
      <c r="L133" s="378"/>
    </row>
    <row r="134" spans="2:12" x14ac:dyDescent="0.2">
      <c r="B134" s="378"/>
      <c r="C134" s="378"/>
      <c r="D134" s="378"/>
      <c r="E134" s="378"/>
      <c r="F134" s="378"/>
      <c r="G134" s="378"/>
      <c r="H134" s="378"/>
      <c r="I134" s="378"/>
      <c r="J134" s="378"/>
      <c r="K134" s="378"/>
      <c r="L134" s="378"/>
    </row>
  </sheetData>
  <mergeCells count="5">
    <mergeCell ref="C64:G65"/>
    <mergeCell ref="B59:M60"/>
    <mergeCell ref="B9:H9"/>
    <mergeCell ref="B10:H10"/>
    <mergeCell ref="I13:J13"/>
  </mergeCells>
  <dataValidations disablePrompts="1" count="2">
    <dataValidation allowBlank="1" showInputMessage="1" showErrorMessage="1" promptTitle="Date Format" prompt="E.g:  &quot;August 1, 2011&quot;" sqref="M7"/>
    <dataValidation type="list" allowBlank="1" showInputMessage="1" showErrorMessage="1" sqref="C14:H14">
      <formula1>"CGAAP, MIFRS, USGAAP, ASPE"</formula1>
    </dataValidation>
  </dataValidations>
  <pageMargins left="0.75" right="0.75" top="1" bottom="1" header="0.5" footer="0.5"/>
  <pageSetup scale="52"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N54"/>
  <sheetViews>
    <sheetView showGridLines="0" topLeftCell="A22" zoomScaleNormal="100" workbookViewId="0">
      <selection activeCell="B59" sqref="B59:H94"/>
    </sheetView>
  </sheetViews>
  <sheetFormatPr defaultRowHeight="12.75" x14ac:dyDescent="0.2"/>
  <cols>
    <col min="1" max="1" width="3.7109375" customWidth="1"/>
    <col min="2" max="2" width="65.5703125" bestFit="1" customWidth="1"/>
    <col min="3" max="4" width="17.85546875" hidden="1" customWidth="1"/>
    <col min="5" max="5" width="17.85546875" customWidth="1"/>
    <col min="6" max="6" width="12.140625" bestFit="1" customWidth="1"/>
    <col min="7" max="7" width="16.42578125" bestFit="1" customWidth="1"/>
    <col min="8" max="8" width="17.85546875" customWidth="1"/>
    <col min="9" max="9" width="3" customWidth="1"/>
    <col min="11" max="11" width="11.28515625" customWidth="1"/>
    <col min="12" max="12" width="11.28515625" bestFit="1" customWidth="1"/>
    <col min="14" max="14" width="9.7109375" bestFit="1" customWidth="1"/>
  </cols>
  <sheetData>
    <row r="1" spans="2:14" x14ac:dyDescent="0.2">
      <c r="G1" s="278" t="s">
        <v>419</v>
      </c>
      <c r="H1" s="208" t="str">
        <f>EBNUMBER</f>
        <v>EB-2014-0113</v>
      </c>
    </row>
    <row r="2" spans="2:14" x14ac:dyDescent="0.2">
      <c r="G2" s="278" t="s">
        <v>420</v>
      </c>
      <c r="H2" s="209">
        <v>4</v>
      </c>
    </row>
    <row r="3" spans="2:14" x14ac:dyDescent="0.2">
      <c r="G3" s="278" t="s">
        <v>421</v>
      </c>
      <c r="H3" s="209">
        <v>2</v>
      </c>
    </row>
    <row r="4" spans="2:14" x14ac:dyDescent="0.2">
      <c r="G4" s="278" t="s">
        <v>422</v>
      </c>
      <c r="H4" s="209">
        <v>2</v>
      </c>
    </row>
    <row r="5" spans="2:14" x14ac:dyDescent="0.2">
      <c r="G5" s="278" t="s">
        <v>423</v>
      </c>
      <c r="H5" s="210"/>
    </row>
    <row r="6" spans="2:14" x14ac:dyDescent="0.2">
      <c r="G6" s="278"/>
      <c r="H6" s="208"/>
    </row>
    <row r="7" spans="2:14" x14ac:dyDescent="0.2">
      <c r="G7" s="278" t="s">
        <v>424</v>
      </c>
      <c r="H7" s="1466">
        <v>42119</v>
      </c>
    </row>
    <row r="8" spans="2:14" x14ac:dyDescent="0.2">
      <c r="H8" s="69"/>
    </row>
    <row r="9" spans="2:14" x14ac:dyDescent="0.2">
      <c r="H9" s="69"/>
    </row>
    <row r="10" spans="2:14" ht="18" x14ac:dyDescent="0.25">
      <c r="B10" s="1530" t="s">
        <v>1953</v>
      </c>
      <c r="C10" s="1530"/>
      <c r="D10" s="1530"/>
      <c r="E10" s="1530"/>
      <c r="F10" s="1530"/>
      <c r="G10" s="1530"/>
      <c r="H10" s="1530"/>
    </row>
    <row r="11" spans="2:14" ht="18" x14ac:dyDescent="0.25">
      <c r="B11" s="1530" t="s">
        <v>1025</v>
      </c>
      <c r="C11" s="1530"/>
      <c r="D11" s="1530"/>
      <c r="E11" s="1530"/>
      <c r="F11" s="1530"/>
      <c r="G11" s="1530"/>
      <c r="H11" s="1530"/>
    </row>
    <row r="12" spans="2:14" ht="13.5" thickBot="1" x14ac:dyDescent="0.25"/>
    <row r="13" spans="2:14" ht="39" thickBot="1" x14ac:dyDescent="0.25">
      <c r="B13" s="563" t="s">
        <v>179</v>
      </c>
      <c r="C13" s="373" t="str">
        <f>"Last Rebasing Year (" &amp; RebaseYear &amp; " Actuals)"</f>
        <v>Last Rebasing Year (2011 Actuals)</v>
      </c>
      <c r="D13" s="368" t="s">
        <v>676</v>
      </c>
      <c r="E13" s="373" t="str">
        <f>BridgeYear -2 &amp; " Actuals"</f>
        <v>2012 Actuals</v>
      </c>
      <c r="F13" s="373" t="str">
        <f>BridgeYear -1 &amp; " Actuals"</f>
        <v>2013 Actuals</v>
      </c>
      <c r="G13" s="373" t="str">
        <f>BridgeYear &amp; " Bridge Year"</f>
        <v>2014 Bridge Year</v>
      </c>
      <c r="H13" s="374" t="str">
        <f>TestYear &amp; " Test Year"</f>
        <v>2015 Test Year</v>
      </c>
    </row>
    <row r="14" spans="2:14" ht="13.5" thickBot="1" x14ac:dyDescent="0.25">
      <c r="B14" s="544" t="s">
        <v>160</v>
      </c>
      <c r="C14" s="542" t="s">
        <v>161</v>
      </c>
      <c r="D14" s="542"/>
      <c r="E14" s="542"/>
      <c r="F14" s="542"/>
      <c r="G14" s="542"/>
      <c r="H14" s="543"/>
      <c r="N14" s="545"/>
    </row>
    <row r="15" spans="2:14" ht="13.5" thickBot="1" x14ac:dyDescent="0.25">
      <c r="B15" s="165" t="s">
        <v>347</v>
      </c>
      <c r="C15" s="366">
        <f>+'App.2-JA_OM&amp;A_Summary_Analys'!C26</f>
        <v>3571434</v>
      </c>
      <c r="D15" s="166">
        <f>C43</f>
        <v>3741210</v>
      </c>
      <c r="E15" s="166">
        <f>C43</f>
        <v>3741210</v>
      </c>
      <c r="F15" s="166">
        <f t="shared" ref="F15:H15" si="0">E43</f>
        <v>5045839</v>
      </c>
      <c r="G15" s="166">
        <f t="shared" si="0"/>
        <v>4011363</v>
      </c>
      <c r="H15" s="166">
        <f t="shared" si="0"/>
        <v>4457219</v>
      </c>
      <c r="L15" s="1454"/>
    </row>
    <row r="16" spans="2:14" x14ac:dyDescent="0.2">
      <c r="B16" s="364" t="s">
        <v>1998</v>
      </c>
      <c r="C16" s="355">
        <f>278619-99297-27884</f>
        <v>151438</v>
      </c>
      <c r="D16" s="204"/>
      <c r="E16" s="204">
        <v>422687</v>
      </c>
      <c r="F16" s="204">
        <v>-124524</v>
      </c>
      <c r="G16" s="204"/>
      <c r="H16" s="344"/>
      <c r="K16" s="120"/>
      <c r="L16" s="1454"/>
    </row>
    <row r="17" spans="2:12" x14ac:dyDescent="0.2">
      <c r="B17" s="1442" t="s">
        <v>1971</v>
      </c>
      <c r="C17" s="204"/>
      <c r="D17" s="204"/>
      <c r="E17" s="204">
        <v>248000</v>
      </c>
      <c r="F17" s="204">
        <f>-E17</f>
        <v>-248000</v>
      </c>
      <c r="G17" s="204"/>
      <c r="H17" s="344"/>
      <c r="K17" s="120"/>
      <c r="L17" s="1454"/>
    </row>
    <row r="18" spans="2:12" x14ac:dyDescent="0.2">
      <c r="B18" s="1442" t="s">
        <v>1990</v>
      </c>
      <c r="C18" s="204"/>
      <c r="D18" s="204"/>
      <c r="E18" s="204">
        <v>220000</v>
      </c>
      <c r="F18" s="204">
        <v>-305000</v>
      </c>
      <c r="G18" s="204">
        <v>0</v>
      </c>
      <c r="H18" s="344"/>
      <c r="K18" s="120"/>
      <c r="L18" s="1454"/>
    </row>
    <row r="19" spans="2:12" x14ac:dyDescent="0.2">
      <c r="B19" s="364" t="s">
        <v>1991</v>
      </c>
      <c r="C19" s="204">
        <v>58651</v>
      </c>
      <c r="D19" s="204"/>
      <c r="E19" s="204">
        <f>-C19</f>
        <v>-58651</v>
      </c>
      <c r="F19" s="204">
        <v>0</v>
      </c>
      <c r="G19" s="204">
        <v>0</v>
      </c>
      <c r="H19" s="344"/>
      <c r="K19" s="120"/>
      <c r="L19" s="1454"/>
    </row>
    <row r="20" spans="2:12" x14ac:dyDescent="0.2">
      <c r="B20" s="364" t="s">
        <v>1992</v>
      </c>
      <c r="C20" s="204">
        <v>66810</v>
      </c>
      <c r="D20" s="204"/>
      <c r="E20" s="204">
        <v>-135968</v>
      </c>
      <c r="F20" s="204">
        <v>-15705</v>
      </c>
      <c r="G20" s="204">
        <f>150000-115000</f>
        <v>35000</v>
      </c>
      <c r="H20" s="344"/>
      <c r="L20" s="1454"/>
    </row>
    <row r="21" spans="2:12" x14ac:dyDescent="0.2">
      <c r="B21" s="364" t="s">
        <v>1993</v>
      </c>
      <c r="C21" s="356">
        <v>-109691</v>
      </c>
      <c r="D21" s="356"/>
      <c r="E21" s="356">
        <v>-80913</v>
      </c>
      <c r="F21" s="356">
        <v>6346</v>
      </c>
      <c r="G21" s="356"/>
      <c r="H21" s="465"/>
      <c r="L21" s="1454"/>
    </row>
    <row r="22" spans="2:12" x14ac:dyDescent="0.2">
      <c r="B22" s="364" t="s">
        <v>1994</v>
      </c>
      <c r="C22" s="356">
        <v>100401</v>
      </c>
      <c r="D22" s="356"/>
      <c r="E22" s="356">
        <v>-36545</v>
      </c>
      <c r="F22" s="356">
        <v>-44270</v>
      </c>
      <c r="G22" s="356">
        <v>19000</v>
      </c>
      <c r="H22" s="465"/>
      <c r="L22" s="1454"/>
    </row>
    <row r="23" spans="2:12" x14ac:dyDescent="0.2">
      <c r="B23" s="364" t="s">
        <v>1995</v>
      </c>
      <c r="C23" s="356">
        <f>-21829-14680</f>
        <v>-36509</v>
      </c>
      <c r="D23" s="356"/>
      <c r="E23" s="356">
        <v>33770</v>
      </c>
      <c r="F23" s="356">
        <v>-33485</v>
      </c>
      <c r="G23" s="356">
        <v>0</v>
      </c>
      <c r="H23" s="465"/>
      <c r="L23" s="1454"/>
    </row>
    <row r="24" spans="2:12" x14ac:dyDescent="0.2">
      <c r="B24" s="364" t="s">
        <v>1996</v>
      </c>
      <c r="C24" s="356">
        <v>-14680</v>
      </c>
      <c r="D24" s="356"/>
      <c r="E24" s="356">
        <f>248243+103632-4754</f>
        <v>347121</v>
      </c>
      <c r="F24" s="356">
        <v>-71847</v>
      </c>
      <c r="G24" s="356">
        <f>160000-134000+235000-207000-10761</f>
        <v>43239</v>
      </c>
      <c r="H24" s="465"/>
      <c r="L24" s="1454"/>
    </row>
    <row r="25" spans="2:12" x14ac:dyDescent="0.2">
      <c r="B25" s="364" t="s">
        <v>1997</v>
      </c>
      <c r="C25" s="356">
        <v>-46644</v>
      </c>
      <c r="D25" s="356"/>
      <c r="E25" s="356">
        <v>85161</v>
      </c>
      <c r="F25" s="356"/>
      <c r="G25" s="356"/>
      <c r="H25" s="465"/>
      <c r="L25" s="1454"/>
    </row>
    <row r="26" spans="2:12" x14ac:dyDescent="0.2">
      <c r="B26" s="364" t="s">
        <v>1999</v>
      </c>
      <c r="C26" s="356">
        <v>0</v>
      </c>
      <c r="D26" s="356"/>
      <c r="E26" s="356">
        <v>21407</v>
      </c>
      <c r="F26" s="356">
        <v>-175000</v>
      </c>
      <c r="G26" s="356">
        <v>163575</v>
      </c>
      <c r="H26" s="465"/>
    </row>
    <row r="27" spans="2:12" x14ac:dyDescent="0.2">
      <c r="B27" s="1442" t="s">
        <v>2140</v>
      </c>
      <c r="C27" s="356"/>
      <c r="D27" s="356"/>
      <c r="E27" s="356">
        <v>221500</v>
      </c>
      <c r="F27" s="356"/>
      <c r="G27" s="356">
        <f>93714-43672</f>
        <v>50042</v>
      </c>
      <c r="H27" s="465"/>
    </row>
    <row r="28" spans="2:12" x14ac:dyDescent="0.2">
      <c r="B28" s="364" t="s">
        <v>2000</v>
      </c>
      <c r="C28" s="356"/>
      <c r="D28" s="356"/>
      <c r="E28" s="356">
        <v>17060</v>
      </c>
      <c r="F28" s="356"/>
      <c r="G28" s="356"/>
      <c r="H28" s="465"/>
    </row>
    <row r="29" spans="2:12" x14ac:dyDescent="0.2">
      <c r="B29" s="364" t="s">
        <v>2002</v>
      </c>
      <c r="C29" s="356"/>
      <c r="D29" s="356"/>
      <c r="E29" s="356">
        <v>0</v>
      </c>
      <c r="F29" s="356"/>
      <c r="G29" s="356"/>
      <c r="H29" s="465"/>
    </row>
    <row r="30" spans="2:12" x14ac:dyDescent="0.2">
      <c r="B30" s="364" t="s">
        <v>2003</v>
      </c>
      <c r="C30" s="356"/>
      <c r="D30" s="356"/>
      <c r="E30" s="356"/>
      <c r="F30" s="356">
        <v>-22991</v>
      </c>
      <c r="G30" s="356"/>
      <c r="H30" s="465"/>
    </row>
    <row r="31" spans="2:12" x14ac:dyDescent="0.2">
      <c r="B31" s="364" t="s">
        <v>2001</v>
      </c>
      <c r="C31" s="356"/>
      <c r="D31" s="356"/>
      <c r="E31" s="356"/>
      <c r="F31" s="356"/>
      <c r="G31" s="356">
        <v>0</v>
      </c>
      <c r="H31" s="465">
        <v>80000</v>
      </c>
    </row>
    <row r="32" spans="2:12" x14ac:dyDescent="0.2">
      <c r="B32" s="364" t="s">
        <v>2004</v>
      </c>
      <c r="C32" s="356"/>
      <c r="D32" s="356"/>
      <c r="E32" s="356"/>
      <c r="F32" s="356"/>
      <c r="G32" s="356">
        <v>20000</v>
      </c>
      <c r="H32" s="465"/>
    </row>
    <row r="33" spans="2:14" x14ac:dyDescent="0.2">
      <c r="B33" s="364" t="s">
        <v>2005</v>
      </c>
      <c r="C33" s="356"/>
      <c r="D33" s="356"/>
      <c r="E33" s="356"/>
      <c r="F33" s="356"/>
      <c r="G33" s="356">
        <v>27000</v>
      </c>
      <c r="H33" s="465"/>
    </row>
    <row r="34" spans="2:14" x14ac:dyDescent="0.2">
      <c r="B34" s="1442" t="s">
        <v>2027</v>
      </c>
      <c r="C34" s="356"/>
      <c r="D34" s="356"/>
      <c r="E34" s="356"/>
      <c r="F34" s="356"/>
      <c r="G34" s="356">
        <v>21000</v>
      </c>
      <c r="H34" s="465"/>
    </row>
    <row r="35" spans="2:14" x14ac:dyDescent="0.2">
      <c r="B35" s="364" t="s">
        <v>2006</v>
      </c>
      <c r="C35" s="356"/>
      <c r="D35" s="356"/>
      <c r="E35" s="356"/>
      <c r="F35" s="356"/>
      <c r="G35" s="356">
        <v>17000</v>
      </c>
      <c r="H35" s="465"/>
    </row>
    <row r="36" spans="2:14" x14ac:dyDescent="0.2">
      <c r="B36" s="1442" t="s">
        <v>2029</v>
      </c>
      <c r="C36" s="356"/>
      <c r="D36" s="356"/>
      <c r="E36" s="356"/>
      <c r="F36" s="356"/>
      <c r="G36" s="356">
        <v>50000</v>
      </c>
      <c r="H36" s="465"/>
    </row>
    <row r="37" spans="2:14" x14ac:dyDescent="0.2">
      <c r="B37" s="1455" t="s">
        <v>2139</v>
      </c>
      <c r="C37" s="356"/>
      <c r="D37" s="356"/>
      <c r="E37" s="356"/>
      <c r="F37" s="356"/>
      <c r="G37" s="356"/>
      <c r="H37" s="465">
        <v>20000</v>
      </c>
    </row>
    <row r="38" spans="2:14" x14ac:dyDescent="0.2">
      <c r="B38" s="1455" t="s">
        <v>2028</v>
      </c>
      <c r="C38" s="356"/>
      <c r="D38" s="356"/>
      <c r="E38" s="356"/>
      <c r="F38" s="356"/>
      <c r="G38" s="356">
        <v>0</v>
      </c>
      <c r="H38" s="465">
        <f>+G43*0.021-20000</f>
        <v>73601.599000000002</v>
      </c>
      <c r="K38" s="120"/>
      <c r="L38" s="1454"/>
    </row>
    <row r="39" spans="2:14" x14ac:dyDescent="0.2">
      <c r="B39" s="1453"/>
      <c r="C39" s="356"/>
      <c r="D39" s="356"/>
      <c r="E39" s="356"/>
      <c r="F39" s="356"/>
      <c r="G39" s="356"/>
      <c r="H39" s="465"/>
      <c r="K39" s="120"/>
      <c r="L39" s="1454"/>
    </row>
    <row r="40" spans="2:14" x14ac:dyDescent="0.2">
      <c r="B40" s="1453"/>
      <c r="C40" s="356"/>
      <c r="D40" s="356"/>
      <c r="E40" s="356"/>
      <c r="F40" s="356"/>
      <c r="G40" s="356"/>
      <c r="H40" s="465"/>
      <c r="K40" s="120"/>
      <c r="L40" s="1454"/>
      <c r="N40" s="1454"/>
    </row>
    <row r="41" spans="2:14" x14ac:dyDescent="0.2">
      <c r="B41" s="1453" t="s">
        <v>279</v>
      </c>
      <c r="C41" s="356"/>
      <c r="D41" s="356"/>
      <c r="E41" s="356">
        <v>0</v>
      </c>
      <c r="F41" s="356"/>
      <c r="G41" s="356">
        <v>0</v>
      </c>
      <c r="H41" s="465">
        <f>4637330-4630820-2711</f>
        <v>3799</v>
      </c>
      <c r="L41" s="1454"/>
    </row>
    <row r="42" spans="2:14" ht="13.5" thickBot="1" x14ac:dyDescent="0.25">
      <c r="B42" s="365"/>
      <c r="C42" s="356"/>
      <c r="D42" s="350"/>
      <c r="E42" s="350"/>
      <c r="F42" s="350"/>
      <c r="G42" s="350"/>
      <c r="H42" s="352"/>
    </row>
    <row r="43" spans="2:14" ht="14.25" thickTop="1" thickBot="1" x14ac:dyDescent="0.25">
      <c r="B43" s="71" t="s">
        <v>379</v>
      </c>
      <c r="C43" s="64">
        <f>SUM(C15:C42)</f>
        <v>3741210</v>
      </c>
      <c r="D43" s="40">
        <f t="shared" ref="D43:H43" si="1">SUM(D15:D42)</f>
        <v>3741210</v>
      </c>
      <c r="E43" s="40">
        <f t="shared" si="1"/>
        <v>5045839</v>
      </c>
      <c r="F43" s="40">
        <f t="shared" si="1"/>
        <v>4011363</v>
      </c>
      <c r="G43" s="40">
        <f>SUM(G15:G42)</f>
        <v>4457219</v>
      </c>
      <c r="H43" s="41">
        <f t="shared" si="1"/>
        <v>4634619.5990000004</v>
      </c>
    </row>
    <row r="44" spans="2:14" x14ac:dyDescent="0.2">
      <c r="L44" s="1454"/>
    </row>
    <row r="45" spans="2:14" x14ac:dyDescent="0.2">
      <c r="B45" s="106" t="s">
        <v>15</v>
      </c>
      <c r="C45" s="1454"/>
      <c r="E45" s="1454"/>
      <c r="F45" s="1454"/>
      <c r="G45" s="1047"/>
      <c r="H45" s="1454"/>
      <c r="L45" s="1454"/>
    </row>
    <row r="47" spans="2:14" x14ac:dyDescent="0.2">
      <c r="B47" s="362">
        <v>1</v>
      </c>
      <c r="C47" t="s">
        <v>141</v>
      </c>
      <c r="H47" s="1454"/>
    </row>
    <row r="48" spans="2:14" x14ac:dyDescent="0.2">
      <c r="B48" s="362"/>
      <c r="C48" s="120" t="s">
        <v>1017</v>
      </c>
    </row>
    <row r="49" spans="2:8" ht="26.25" customHeight="1" x14ac:dyDescent="0.2">
      <c r="B49" s="363">
        <v>2</v>
      </c>
      <c r="C49" s="2035" t="s">
        <v>1016</v>
      </c>
      <c r="D49" s="2035"/>
      <c r="E49" s="2035"/>
      <c r="F49" s="2035"/>
      <c r="G49" s="2035"/>
      <c r="H49" s="2035"/>
    </row>
    <row r="50" spans="2:8" x14ac:dyDescent="0.2">
      <c r="B50" s="362">
        <v>3</v>
      </c>
      <c r="C50" s="2083" t="s">
        <v>271</v>
      </c>
      <c r="D50" s="2083"/>
      <c r="E50" s="2083"/>
      <c r="F50" s="2083"/>
      <c r="G50" s="2083"/>
      <c r="H50" s="2083"/>
    </row>
    <row r="51" spans="2:8" x14ac:dyDescent="0.2">
      <c r="B51" s="120"/>
      <c r="C51" s="2083"/>
      <c r="D51" s="2083"/>
      <c r="E51" s="2083"/>
      <c r="F51" s="2083"/>
      <c r="G51" s="2083"/>
      <c r="H51" s="2083"/>
    </row>
    <row r="52" spans="2:8" ht="26.25" customHeight="1" x14ac:dyDescent="0.2">
      <c r="B52" s="120"/>
      <c r="C52" s="2083"/>
      <c r="D52" s="2083"/>
      <c r="E52" s="2083"/>
      <c r="F52" s="2083"/>
      <c r="G52" s="2083"/>
      <c r="H52" s="2083"/>
    </row>
    <row r="53" spans="2:8" x14ac:dyDescent="0.2">
      <c r="B53" s="362">
        <v>4</v>
      </c>
      <c r="C53" s="1752" t="s">
        <v>677</v>
      </c>
      <c r="D53" s="1752"/>
      <c r="E53" s="2084"/>
      <c r="F53" s="2084"/>
      <c r="G53" s="2084"/>
      <c r="H53" s="2084"/>
    </row>
    <row r="54" spans="2:8" ht="3.75" customHeight="1" x14ac:dyDescent="0.2">
      <c r="C54" s="2084"/>
      <c r="D54" s="2084"/>
      <c r="E54" s="2084"/>
      <c r="F54" s="2084"/>
      <c r="G54" s="2084"/>
      <c r="H54" s="2084"/>
    </row>
  </sheetData>
  <mergeCells count="3">
    <mergeCell ref="C50:H52"/>
    <mergeCell ref="C53:H54"/>
    <mergeCell ref="C49:H49"/>
  </mergeCells>
  <phoneticPr fontId="11" type="noConversion"/>
  <dataValidations count="2">
    <dataValidation allowBlank="1" showInputMessage="1" showErrorMessage="1" promptTitle="Date Format" prompt="E.g:  &quot;August 1, 2011&quot;" sqref="H7"/>
    <dataValidation type="list" allowBlank="1" showInputMessage="1" showErrorMessage="1" sqref="C14:H14">
      <formula1>"CGAAP, MIFRS, USGAAP, ASPE"</formula1>
    </dataValidation>
  </dataValidations>
  <pageMargins left="0.75" right="0.75" top="1" bottom="1" header="0.5" footer="0.5"/>
  <pageSetup scale="6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N59"/>
  <sheetViews>
    <sheetView showGridLines="0" topLeftCell="A21" zoomScaleNormal="100" workbookViewId="0">
      <selection sqref="A1:J46"/>
    </sheetView>
  </sheetViews>
  <sheetFormatPr defaultRowHeight="12.75" x14ac:dyDescent="0.2"/>
  <cols>
    <col min="1" max="1" width="2.7109375" customWidth="1"/>
    <col min="2" max="2" width="33.85546875" bestFit="1" customWidth="1"/>
    <col min="3" max="3" width="15" customWidth="1"/>
    <col min="4" max="4" width="16.28515625" customWidth="1"/>
    <col min="5" max="8" width="12.7109375" customWidth="1"/>
    <col min="9" max="9" width="18.7109375" customWidth="1"/>
    <col min="10" max="10" width="22.7109375" customWidth="1"/>
    <col min="12" max="12" width="11.140625" bestFit="1" customWidth="1"/>
  </cols>
  <sheetData>
    <row r="1" spans="2:14" x14ac:dyDescent="0.2">
      <c r="I1" s="14" t="s">
        <v>419</v>
      </c>
      <c r="J1" s="208" t="str">
        <f>EBNUMBER</f>
        <v>EB-2014-0113</v>
      </c>
    </row>
    <row r="2" spans="2:14" x14ac:dyDescent="0.2">
      <c r="I2" s="14" t="s">
        <v>420</v>
      </c>
      <c r="J2" s="209">
        <v>4</v>
      </c>
    </row>
    <row r="3" spans="2:14" x14ac:dyDescent="0.2">
      <c r="I3" s="14" t="s">
        <v>421</v>
      </c>
      <c r="J3" s="209">
        <v>2</v>
      </c>
    </row>
    <row r="4" spans="2:14" x14ac:dyDescent="0.2">
      <c r="I4" s="14" t="s">
        <v>422</v>
      </c>
      <c r="J4" s="209">
        <v>2</v>
      </c>
    </row>
    <row r="5" spans="2:14" x14ac:dyDescent="0.2">
      <c r="I5" s="14" t="s">
        <v>423</v>
      </c>
      <c r="J5" s="210"/>
    </row>
    <row r="6" spans="2:14" x14ac:dyDescent="0.2">
      <c r="I6" s="14"/>
      <c r="J6" s="208"/>
    </row>
    <row r="7" spans="2:14" x14ac:dyDescent="0.2">
      <c r="I7" s="14" t="s">
        <v>424</v>
      </c>
      <c r="J7" s="1466">
        <v>42119</v>
      </c>
    </row>
    <row r="9" spans="2:14" ht="18" x14ac:dyDescent="0.25">
      <c r="B9" s="1751" t="s">
        <v>1059</v>
      </c>
      <c r="C9" s="1751"/>
      <c r="D9" s="1751"/>
      <c r="E9" s="1751"/>
      <c r="F9" s="1751"/>
      <c r="G9" s="1751"/>
      <c r="H9" s="1751"/>
      <c r="I9" s="1751"/>
      <c r="J9" s="203"/>
    </row>
    <row r="10" spans="2:14" ht="18" x14ac:dyDescent="0.25">
      <c r="B10" s="1751" t="s">
        <v>1293</v>
      </c>
      <c r="C10" s="1751"/>
      <c r="D10" s="1751"/>
      <c r="E10" s="1751"/>
      <c r="F10" s="1751"/>
      <c r="G10" s="1751"/>
      <c r="H10" s="1751"/>
      <c r="I10" s="1751"/>
      <c r="J10" s="203"/>
    </row>
    <row r="11" spans="2:14" ht="13.5" thickBot="1" x14ac:dyDescent="0.25">
      <c r="B11" s="1724"/>
      <c r="C11" s="1724"/>
      <c r="D11" s="1724"/>
      <c r="E11" s="1724"/>
      <c r="F11" s="1724"/>
      <c r="G11" s="1724"/>
      <c r="H11" s="1724"/>
      <c r="I11" s="1724"/>
    </row>
    <row r="12" spans="2:14" ht="51.75" thickBot="1" x14ac:dyDescent="0.25">
      <c r="B12" s="1492" t="s">
        <v>1294</v>
      </c>
      <c r="C12" s="373" t="str">
        <f>"Last Rebasing Year (" &amp; RebaseYear &amp; " Board-Approved)"</f>
        <v>Last Rebasing Year (2011 Board-Approved)</v>
      </c>
      <c r="D12" s="373" t="str">
        <f>"Last Rebasing Year (" &amp; RebaseYear &amp; " Actuals)"</f>
        <v>Last Rebasing Year (2011 Actuals)</v>
      </c>
      <c r="E12" s="373" t="str">
        <f>BridgeYear -2 &amp; " Actuals"</f>
        <v>2012 Actuals</v>
      </c>
      <c r="F12" s="373" t="str">
        <f>BridgeYear -1 &amp; " Actuals"</f>
        <v>2013 Actuals</v>
      </c>
      <c r="G12" s="373" t="str">
        <f>BridgeYear &amp; " Bridge Year"</f>
        <v>2014 Bridge Year</v>
      </c>
      <c r="H12" s="374" t="str">
        <f>TestYear &amp; " Test Year"</f>
        <v>2015 Test Year</v>
      </c>
      <c r="I12" s="374" t="str">
        <f>"Variance (Test Year vs. " &amp; F12 &amp;")"</f>
        <v>Variance (Test Year vs. 2013 Actuals)</v>
      </c>
      <c r="J12" s="374" t="str">
        <f>"Variance (Test Year vs. " &amp; C12</f>
        <v>Variance (Test Year vs. Last Rebasing Year (2011 Board-Approved)</v>
      </c>
      <c r="L12" s="120" t="s">
        <v>2050</v>
      </c>
    </row>
    <row r="13" spans="2:14" ht="13.5" thickBot="1" x14ac:dyDescent="0.25">
      <c r="B13" s="544" t="s">
        <v>160</v>
      </c>
      <c r="C13" s="542" t="s">
        <v>161</v>
      </c>
      <c r="D13" s="542" t="s">
        <v>161</v>
      </c>
      <c r="E13" s="542" t="s">
        <v>162</v>
      </c>
      <c r="F13" s="542" t="s">
        <v>162</v>
      </c>
      <c r="G13" s="542" t="s">
        <v>162</v>
      </c>
      <c r="H13" s="542" t="s">
        <v>162</v>
      </c>
      <c r="I13" s="542" t="s">
        <v>162</v>
      </c>
      <c r="J13" s="543"/>
    </row>
    <row r="14" spans="2:14" x14ac:dyDescent="0.2">
      <c r="B14" s="1493" t="s">
        <v>2008</v>
      </c>
      <c r="C14" s="178"/>
      <c r="D14" s="179"/>
      <c r="E14" s="179"/>
      <c r="F14" s="179"/>
      <c r="G14" s="179"/>
      <c r="H14" s="179"/>
      <c r="I14" s="179"/>
      <c r="J14" s="1494"/>
      <c r="L14" s="1501"/>
    </row>
    <row r="15" spans="2:14" x14ac:dyDescent="0.2">
      <c r="B15" s="1493" t="s">
        <v>2007</v>
      </c>
      <c r="C15" s="196">
        <v>283657</v>
      </c>
      <c r="D15" s="197">
        <v>294196</v>
      </c>
      <c r="E15" s="197">
        <v>454809</v>
      </c>
      <c r="F15" s="197">
        <v>447318</v>
      </c>
      <c r="G15" s="197">
        <v>496775</v>
      </c>
      <c r="H15" s="197">
        <v>507208</v>
      </c>
      <c r="I15" s="1285">
        <f>H15-F15</f>
        <v>59890</v>
      </c>
      <c r="J15" s="1495">
        <f>H15-C15</f>
        <v>223551</v>
      </c>
      <c r="L15" s="1501">
        <f>+H15-E15</f>
        <v>52399</v>
      </c>
      <c r="N15" t="s">
        <v>2014</v>
      </c>
    </row>
    <row r="16" spans="2:14" x14ac:dyDescent="0.2">
      <c r="B16" s="1493" t="s">
        <v>2009</v>
      </c>
      <c r="C16" s="198">
        <v>87670</v>
      </c>
      <c r="D16" s="199">
        <v>99571</v>
      </c>
      <c r="E16" s="199">
        <v>287293</v>
      </c>
      <c r="F16" s="199">
        <v>343510</v>
      </c>
      <c r="G16" s="199">
        <v>334398</v>
      </c>
      <c r="H16" s="199">
        <v>374420</v>
      </c>
      <c r="I16" s="1285">
        <f t="shared" ref="I16:I45" si="0">H16-F16</f>
        <v>30910</v>
      </c>
      <c r="J16" s="1495">
        <f t="shared" ref="J16:J21" si="1">H16-C16</f>
        <v>286750</v>
      </c>
      <c r="L16" s="1501">
        <f>+H16-E16</f>
        <v>87127</v>
      </c>
    </row>
    <row r="17" spans="2:13" x14ac:dyDescent="0.2">
      <c r="B17" s="1493" t="s">
        <v>2010</v>
      </c>
      <c r="C17" s="200">
        <v>111967</v>
      </c>
      <c r="D17" s="201">
        <v>84446</v>
      </c>
      <c r="E17" s="201">
        <v>57657</v>
      </c>
      <c r="F17" s="201">
        <v>20478</v>
      </c>
      <c r="G17" s="201">
        <v>40490</v>
      </c>
      <c r="H17" s="201">
        <v>41340</v>
      </c>
      <c r="I17" s="1285">
        <f t="shared" si="0"/>
        <v>20862</v>
      </c>
      <c r="J17" s="1495">
        <f t="shared" si="1"/>
        <v>-70627</v>
      </c>
      <c r="L17" s="1501">
        <f>+H17-E17</f>
        <v>-16317</v>
      </c>
    </row>
    <row r="18" spans="2:13" x14ac:dyDescent="0.2">
      <c r="B18" s="1493" t="s">
        <v>2011</v>
      </c>
      <c r="C18" s="200">
        <v>63030</v>
      </c>
      <c r="D18" s="201">
        <v>95448</v>
      </c>
      <c r="E18" s="201">
        <v>69272</v>
      </c>
      <c r="F18" s="201">
        <v>81254</v>
      </c>
      <c r="G18" s="201">
        <v>91441</v>
      </c>
      <c r="H18" s="201">
        <v>93361</v>
      </c>
      <c r="I18" s="1285">
        <f t="shared" si="0"/>
        <v>12107</v>
      </c>
      <c r="J18" s="1495">
        <f t="shared" si="1"/>
        <v>30331</v>
      </c>
      <c r="L18" s="1501">
        <f>+H18-E18</f>
        <v>24089</v>
      </c>
    </row>
    <row r="19" spans="2:13" x14ac:dyDescent="0.2">
      <c r="B19" s="1493" t="s">
        <v>2012</v>
      </c>
      <c r="C19" s="200">
        <v>307328</v>
      </c>
      <c r="D19" s="201">
        <v>245527</v>
      </c>
      <c r="E19" s="201">
        <v>259450</v>
      </c>
      <c r="F19" s="201">
        <v>107462</v>
      </c>
      <c r="G19" s="201">
        <v>123690</v>
      </c>
      <c r="H19" s="201">
        <v>126035</v>
      </c>
      <c r="I19" s="1285">
        <f t="shared" si="0"/>
        <v>18573</v>
      </c>
      <c r="J19" s="1495">
        <f t="shared" si="1"/>
        <v>-181293</v>
      </c>
      <c r="L19" s="1501">
        <f>+H19-E19+138000</f>
        <v>4585</v>
      </c>
    </row>
    <row r="20" spans="2:13" x14ac:dyDescent="0.2">
      <c r="B20" s="1493" t="s">
        <v>2013</v>
      </c>
      <c r="C20" s="200">
        <v>63030</v>
      </c>
      <c r="D20" s="201">
        <v>104103</v>
      </c>
      <c r="E20" s="201">
        <v>154307</v>
      </c>
      <c r="F20" s="201">
        <v>143366</v>
      </c>
      <c r="G20" s="201">
        <v>172399</v>
      </c>
      <c r="H20" s="201">
        <v>176178</v>
      </c>
      <c r="I20" s="1285">
        <f t="shared" si="0"/>
        <v>32812</v>
      </c>
      <c r="J20" s="1495">
        <f t="shared" si="1"/>
        <v>113148</v>
      </c>
      <c r="L20" s="1501">
        <f>+H20-E20</f>
        <v>21871</v>
      </c>
    </row>
    <row r="21" spans="2:13" x14ac:dyDescent="0.2">
      <c r="B21" s="1493"/>
      <c r="C21" s="200"/>
      <c r="D21" s="201"/>
      <c r="E21" s="201"/>
      <c r="F21" s="201"/>
      <c r="G21" s="201"/>
      <c r="H21" s="201"/>
      <c r="I21" s="1285">
        <f t="shared" si="0"/>
        <v>0</v>
      </c>
      <c r="J21" s="1495">
        <f t="shared" si="1"/>
        <v>0</v>
      </c>
      <c r="L21" s="1468">
        <f>+H21-E21</f>
        <v>0</v>
      </c>
    </row>
    <row r="22" spans="2:13" x14ac:dyDescent="0.2">
      <c r="B22" s="1496" t="s">
        <v>284</v>
      </c>
      <c r="C22" s="178">
        <f>SUM(C15:C21)</f>
        <v>916682</v>
      </c>
      <c r="D22" s="178">
        <f t="shared" ref="D22:H22" si="2">SUM(D15:D21)</f>
        <v>923291</v>
      </c>
      <c r="E22" s="178">
        <f t="shared" si="2"/>
        <v>1282788</v>
      </c>
      <c r="F22" s="178">
        <f t="shared" si="2"/>
        <v>1143388</v>
      </c>
      <c r="G22" s="178">
        <f t="shared" si="2"/>
        <v>1259193</v>
      </c>
      <c r="H22" s="178">
        <f t="shared" si="2"/>
        <v>1318542</v>
      </c>
      <c r="I22" s="1285">
        <f>H22-F22</f>
        <v>175154</v>
      </c>
      <c r="J22" s="1495">
        <f>H22-C22</f>
        <v>401860</v>
      </c>
      <c r="L22" s="1468">
        <f>SUM(L15:L21)</f>
        <v>173754</v>
      </c>
    </row>
    <row r="23" spans="2:13" x14ac:dyDescent="0.2">
      <c r="B23" s="1497" t="s">
        <v>2031</v>
      </c>
      <c r="C23" s="178"/>
      <c r="D23" s="179"/>
      <c r="E23" s="179"/>
      <c r="F23" s="179"/>
      <c r="G23" s="179"/>
      <c r="H23" s="179"/>
      <c r="I23" s="1285"/>
      <c r="J23" s="1495"/>
    </row>
    <row r="24" spans="2:13" x14ac:dyDescent="0.2">
      <c r="B24" s="1493" t="s">
        <v>2032</v>
      </c>
      <c r="C24" s="196">
        <f>5000+692715.80881681</f>
        <v>697715.80881681002</v>
      </c>
      <c r="D24" s="197">
        <v>654764.0909603528</v>
      </c>
      <c r="E24" s="197">
        <v>751778.06626209535</v>
      </c>
      <c r="F24" s="197">
        <v>626533.75149564084</v>
      </c>
      <c r="G24" s="197">
        <v>726457.13676117535</v>
      </c>
      <c r="H24" s="197">
        <v>741712.73663315992</v>
      </c>
      <c r="I24" s="1285">
        <f t="shared" si="0"/>
        <v>115178.98513751908</v>
      </c>
      <c r="J24" s="1495">
        <f>H24-C24</f>
        <v>43996.927816349897</v>
      </c>
      <c r="L24" s="1502">
        <f>+H24-E24</f>
        <v>-10065.329628935433</v>
      </c>
    </row>
    <row r="25" spans="2:13" x14ac:dyDescent="0.2">
      <c r="B25" s="1493" t="s">
        <v>2033</v>
      </c>
      <c r="C25" s="198">
        <v>477456.19118319044</v>
      </c>
      <c r="D25" s="199">
        <v>424726.9090396472</v>
      </c>
      <c r="E25" s="199">
        <v>456186.93373790465</v>
      </c>
      <c r="F25" s="199">
        <v>448813.99850435916</v>
      </c>
      <c r="G25" s="199">
        <v>402375.86323882471</v>
      </c>
      <c r="H25" s="199">
        <v>410825.75636683998</v>
      </c>
      <c r="I25" s="1285">
        <f t="shared" si="0"/>
        <v>-37988.242137519177</v>
      </c>
      <c r="J25" s="1495">
        <f t="shared" ref="J25:J28" si="3">H25-C25</f>
        <v>-66630.434816350462</v>
      </c>
      <c r="L25" s="1502">
        <f>+H25-E25</f>
        <v>-45361.177371064667</v>
      </c>
    </row>
    <row r="26" spans="2:13" x14ac:dyDescent="0.2">
      <c r="B26" s="1493" t="s">
        <v>2034</v>
      </c>
      <c r="C26" s="200">
        <v>81000</v>
      </c>
      <c r="D26" s="201">
        <v>181401</v>
      </c>
      <c r="E26" s="201">
        <v>144856</v>
      </c>
      <c r="F26" s="201">
        <v>100585.91</v>
      </c>
      <c r="G26" s="201">
        <v>120000</v>
      </c>
      <c r="H26" s="201">
        <v>122519.99999999999</v>
      </c>
      <c r="I26" s="1285">
        <f t="shared" si="0"/>
        <v>21934.089999999982</v>
      </c>
      <c r="J26" s="1495">
        <f t="shared" si="3"/>
        <v>41519.999999999985</v>
      </c>
      <c r="L26" s="1502">
        <f>+H26-E26</f>
        <v>-22336.000000000015</v>
      </c>
    </row>
    <row r="27" spans="2:13" x14ac:dyDescent="0.2">
      <c r="B27" s="1493" t="s">
        <v>2035</v>
      </c>
      <c r="C27" s="200">
        <v>-123042</v>
      </c>
      <c r="D27" s="201">
        <v>-278391</v>
      </c>
      <c r="E27" s="201">
        <v>-313646</v>
      </c>
      <c r="F27" s="201">
        <f>-307300+410</f>
        <v>-306890</v>
      </c>
      <c r="G27" s="201">
        <v>-310000</v>
      </c>
      <c r="H27" s="201">
        <v>-310000</v>
      </c>
      <c r="I27" s="1285">
        <f t="shared" si="0"/>
        <v>-3110</v>
      </c>
      <c r="J27" s="1495">
        <f t="shared" si="3"/>
        <v>-186958</v>
      </c>
      <c r="L27" s="1502">
        <f>+H27-E27</f>
        <v>3646</v>
      </c>
    </row>
    <row r="28" spans="2:13" x14ac:dyDescent="0.2">
      <c r="B28" s="1493"/>
      <c r="C28" s="200"/>
      <c r="D28" s="201"/>
      <c r="E28" s="201"/>
      <c r="F28" s="201"/>
      <c r="G28" s="201"/>
      <c r="H28" s="201"/>
      <c r="I28" s="1285">
        <f t="shared" si="0"/>
        <v>0</v>
      </c>
      <c r="J28" s="1495">
        <f t="shared" si="3"/>
        <v>0</v>
      </c>
      <c r="L28" s="1502">
        <f>+H28-E28</f>
        <v>0</v>
      </c>
    </row>
    <row r="29" spans="2:13" x14ac:dyDescent="0.2">
      <c r="B29" s="1496" t="s">
        <v>284</v>
      </c>
      <c r="C29" s="178">
        <f t="shared" ref="C29:H29" si="4">SUM(C24:C28)</f>
        <v>1133130.0000000005</v>
      </c>
      <c r="D29" s="178">
        <f t="shared" si="4"/>
        <v>982501</v>
      </c>
      <c r="E29" s="178">
        <f t="shared" si="4"/>
        <v>1039175</v>
      </c>
      <c r="F29" s="178">
        <f t="shared" si="4"/>
        <v>869043.65999999992</v>
      </c>
      <c r="G29" s="178">
        <f t="shared" si="4"/>
        <v>938833</v>
      </c>
      <c r="H29" s="178">
        <f t="shared" si="4"/>
        <v>965058.49299999978</v>
      </c>
      <c r="I29" s="1285">
        <f t="shared" si="0"/>
        <v>96014.832999999868</v>
      </c>
      <c r="J29" s="1495">
        <f t="shared" ref="J29" si="5">H29-C29</f>
        <v>-168071.50700000068</v>
      </c>
      <c r="L29" s="1502">
        <f>SUM(L24:L28)</f>
        <v>-74116.507000000114</v>
      </c>
    </row>
    <row r="30" spans="2:13" x14ac:dyDescent="0.2">
      <c r="B30" s="1497" t="s">
        <v>2051</v>
      </c>
      <c r="C30" s="180"/>
      <c r="D30" s="181"/>
      <c r="E30" s="181"/>
      <c r="F30" s="181"/>
      <c r="G30" s="181"/>
      <c r="H30" s="181"/>
      <c r="I30" s="1285"/>
      <c r="J30" s="1495"/>
    </row>
    <row r="31" spans="2:13" x14ac:dyDescent="0.2">
      <c r="B31" s="1493" t="s">
        <v>2036</v>
      </c>
      <c r="C31" s="196">
        <v>808635</v>
      </c>
      <c r="D31" s="197">
        <v>1087252</v>
      </c>
      <c r="E31" s="197">
        <v>1751489</v>
      </c>
      <c r="F31" s="197">
        <v>1152124.6600000001</v>
      </c>
      <c r="G31" s="197">
        <f>1272284-91</f>
        <v>1272193</v>
      </c>
      <c r="H31" s="197">
        <v>1346001.9639999997</v>
      </c>
      <c r="I31" s="1285">
        <f t="shared" si="0"/>
        <v>193877.30399999954</v>
      </c>
      <c r="J31" s="1495">
        <f>H31-C31</f>
        <v>537366.96399999969</v>
      </c>
      <c r="L31" s="1502">
        <f>+H31-E31</f>
        <v>-405487.03600000031</v>
      </c>
      <c r="M31" s="1468">
        <f>+L31+285000+L35</f>
        <v>-91150.036000000313</v>
      </c>
    </row>
    <row r="32" spans="2:13" x14ac:dyDescent="0.2">
      <c r="B32" s="1493" t="s">
        <v>2037</v>
      </c>
      <c r="C32" s="198">
        <v>175896</v>
      </c>
      <c r="D32" s="199">
        <v>193220</v>
      </c>
      <c r="E32" s="199">
        <v>184110</v>
      </c>
      <c r="F32" s="199">
        <v>178326.81</v>
      </c>
      <c r="G32" s="199">
        <v>175000</v>
      </c>
      <c r="H32" s="199">
        <v>178674.99999999997</v>
      </c>
      <c r="I32" s="1285">
        <f t="shared" si="0"/>
        <v>348.18999999997322</v>
      </c>
      <c r="J32" s="1495">
        <f t="shared" ref="J32:J37" si="6">H32-C32</f>
        <v>2778.9999999999709</v>
      </c>
      <c r="L32" s="1502">
        <f>+H32-E32</f>
        <v>-5435.0000000000291</v>
      </c>
    </row>
    <row r="33" spans="2:12" x14ac:dyDescent="0.2">
      <c r="B33" s="1493" t="s">
        <v>2038</v>
      </c>
      <c r="C33" s="200">
        <v>121496</v>
      </c>
      <c r="D33" s="201">
        <v>108911</v>
      </c>
      <c r="E33" s="201">
        <v>83343</v>
      </c>
      <c r="F33" s="201">
        <v>82986.81</v>
      </c>
      <c r="G33" s="201">
        <v>100000</v>
      </c>
      <c r="H33" s="201">
        <v>102099.99999999999</v>
      </c>
      <c r="I33" s="1285">
        <f t="shared" si="0"/>
        <v>19113.189999999988</v>
      </c>
      <c r="J33" s="1495">
        <f t="shared" si="6"/>
        <v>-19396.000000000015</v>
      </c>
      <c r="L33" s="1502">
        <f>+H33-E33</f>
        <v>18756.999999999985</v>
      </c>
    </row>
    <row r="34" spans="2:12" x14ac:dyDescent="0.2">
      <c r="B34" s="1493" t="s">
        <v>2039</v>
      </c>
      <c r="C34" s="200">
        <v>49987</v>
      </c>
      <c r="D34" s="201">
        <v>49405</v>
      </c>
      <c r="E34" s="201">
        <v>66466</v>
      </c>
      <c r="F34" s="201">
        <v>67154.42</v>
      </c>
      <c r="G34" s="201">
        <v>87000</v>
      </c>
      <c r="H34" s="201">
        <v>88826.999999999985</v>
      </c>
      <c r="I34" s="1285">
        <f t="shared" si="0"/>
        <v>21672.579999999987</v>
      </c>
      <c r="J34" s="1495">
        <f t="shared" si="6"/>
        <v>38839.999999999985</v>
      </c>
      <c r="L34" s="1502">
        <f>+H34-E34</f>
        <v>22360.999999999985</v>
      </c>
    </row>
    <row r="35" spans="2:12" x14ac:dyDescent="0.2">
      <c r="B35" s="1493" t="s">
        <v>2040</v>
      </c>
      <c r="C35" s="200">
        <v>346095</v>
      </c>
      <c r="D35" s="201">
        <v>393946</v>
      </c>
      <c r="E35" s="201">
        <v>606078</v>
      </c>
      <c r="F35" s="201">
        <v>518337.88999999996</v>
      </c>
      <c r="G35" s="201">
        <v>625000</v>
      </c>
      <c r="H35" s="201">
        <f>638125-2710</f>
        <v>635415</v>
      </c>
      <c r="I35" s="1285">
        <f t="shared" si="0"/>
        <v>117077.11000000004</v>
      </c>
      <c r="J35" s="1495">
        <f t="shared" si="6"/>
        <v>289320</v>
      </c>
      <c r="L35" s="1502">
        <f>+H35-E35</f>
        <v>29337</v>
      </c>
    </row>
    <row r="36" spans="2:12" x14ac:dyDescent="0.2">
      <c r="B36" s="1493"/>
      <c r="C36" s="200"/>
      <c r="D36" s="201"/>
      <c r="E36" s="201"/>
      <c r="F36" s="201"/>
      <c r="G36" s="201"/>
      <c r="H36" s="201"/>
      <c r="I36" s="1285"/>
      <c r="J36" s="1495"/>
      <c r="L36" s="14"/>
    </row>
    <row r="37" spans="2:12" x14ac:dyDescent="0.2">
      <c r="B37" s="1496" t="s">
        <v>284</v>
      </c>
      <c r="C37" s="178">
        <f t="shared" ref="C37:H37" si="7">SUM(C31:C35)</f>
        <v>1502109</v>
      </c>
      <c r="D37" s="178">
        <f t="shared" si="7"/>
        <v>1832734</v>
      </c>
      <c r="E37" s="178">
        <f t="shared" si="7"/>
        <v>2691486</v>
      </c>
      <c r="F37" s="178">
        <f t="shared" si="7"/>
        <v>1998930.59</v>
      </c>
      <c r="G37" s="178">
        <f t="shared" si="7"/>
        <v>2259193</v>
      </c>
      <c r="H37" s="178">
        <f t="shared" si="7"/>
        <v>2351018.9639999997</v>
      </c>
      <c r="I37" s="1285">
        <f t="shared" si="0"/>
        <v>352088.3739999996</v>
      </c>
      <c r="J37" s="1495">
        <f t="shared" si="6"/>
        <v>848909.96399999969</v>
      </c>
      <c r="L37" s="1502">
        <f>+H37-E37</f>
        <v>-340467.03600000031</v>
      </c>
    </row>
    <row r="38" spans="2:12" x14ac:dyDescent="0.2">
      <c r="B38" s="1497" t="s">
        <v>1800</v>
      </c>
      <c r="C38" s="180"/>
      <c r="D38" s="181"/>
      <c r="E38" s="181"/>
      <c r="F38" s="181"/>
      <c r="G38" s="181"/>
      <c r="H38" s="181"/>
      <c r="I38" s="1285"/>
      <c r="J38" s="1495"/>
    </row>
    <row r="39" spans="2:12" x14ac:dyDescent="0.2">
      <c r="B39" s="1493" t="str">
        <f>+'App.2-JA_OM&amp;A_Summary_Analys'!B34</f>
        <v>Community Relations</v>
      </c>
      <c r="C39" s="196">
        <f>+'App.2-JA_OM&amp;A_Summary_Analys'!C34</f>
        <v>19513</v>
      </c>
      <c r="D39" s="196">
        <f>+'App.2-JA_OM&amp;A_Summary_Analys'!D34</f>
        <v>2684</v>
      </c>
      <c r="E39" s="196">
        <f>+'App.2-JA_OM&amp;A_Summary_Analys'!E34</f>
        <v>32390</v>
      </c>
      <c r="F39" s="196">
        <f>+'App.2-JA_OM&amp;A_Summary_Analys'!F34</f>
        <v>0</v>
      </c>
      <c r="G39" s="196">
        <f>+'App.2-JA_OM&amp;A_Summary_Analys'!G34</f>
        <v>0</v>
      </c>
      <c r="H39" s="196">
        <f>+'App.2-JA_OM&amp;A_Summary_Analys'!H34</f>
        <v>0</v>
      </c>
      <c r="I39" s="1285">
        <f t="shared" ref="I39:I44" si="8">H39-F39</f>
        <v>0</v>
      </c>
      <c r="J39" s="1495">
        <f>H39-C39</f>
        <v>-19513</v>
      </c>
      <c r="L39" s="1502">
        <f>+H39-E39</f>
        <v>-32390</v>
      </c>
    </row>
    <row r="40" spans="2:12" x14ac:dyDescent="0.2">
      <c r="B40" s="1493"/>
      <c r="C40" s="198"/>
      <c r="D40" s="199"/>
      <c r="E40" s="199"/>
      <c r="F40" s="199"/>
      <c r="G40" s="199"/>
      <c r="H40" s="199"/>
      <c r="I40" s="1285">
        <f t="shared" si="8"/>
        <v>0</v>
      </c>
      <c r="J40" s="1495">
        <f t="shared" ref="J40:J44" si="9">H40-C40</f>
        <v>0</v>
      </c>
    </row>
    <row r="41" spans="2:12" x14ac:dyDescent="0.2">
      <c r="B41" s="1493"/>
      <c r="C41" s="200"/>
      <c r="D41" s="201"/>
      <c r="E41" s="201"/>
      <c r="F41" s="201"/>
      <c r="G41" s="201"/>
      <c r="H41" s="201"/>
      <c r="I41" s="1285">
        <f t="shared" si="8"/>
        <v>0</v>
      </c>
      <c r="J41" s="1495">
        <f t="shared" si="9"/>
        <v>0</v>
      </c>
    </row>
    <row r="42" spans="2:12" x14ac:dyDescent="0.2">
      <c r="B42" s="1493"/>
      <c r="C42" s="200"/>
      <c r="D42" s="201"/>
      <c r="E42" s="201"/>
      <c r="F42" s="201"/>
      <c r="G42" s="201"/>
      <c r="H42" s="201"/>
      <c r="I42" s="1285">
        <f t="shared" si="8"/>
        <v>0</v>
      </c>
      <c r="J42" s="1495">
        <f t="shared" si="9"/>
        <v>0</v>
      </c>
    </row>
    <row r="43" spans="2:12" x14ac:dyDescent="0.2">
      <c r="B43" s="1493"/>
      <c r="C43" s="200"/>
      <c r="D43" s="201"/>
      <c r="E43" s="201"/>
      <c r="F43" s="201"/>
      <c r="G43" s="201"/>
      <c r="H43" s="201"/>
      <c r="I43" s="1285">
        <f t="shared" si="8"/>
        <v>0</v>
      </c>
      <c r="J43" s="1495">
        <f t="shared" si="9"/>
        <v>0</v>
      </c>
    </row>
    <row r="44" spans="2:12" x14ac:dyDescent="0.2">
      <c r="B44" s="1496" t="s">
        <v>284</v>
      </c>
      <c r="C44" s="178">
        <f t="shared" ref="C44:H44" si="10">SUM(C39:C43)</f>
        <v>19513</v>
      </c>
      <c r="D44" s="178">
        <f t="shared" si="10"/>
        <v>2684</v>
      </c>
      <c r="E44" s="178">
        <f t="shared" si="10"/>
        <v>32390</v>
      </c>
      <c r="F44" s="178">
        <f t="shared" si="10"/>
        <v>0</v>
      </c>
      <c r="G44" s="178">
        <f t="shared" si="10"/>
        <v>0</v>
      </c>
      <c r="H44" s="178">
        <f t="shared" si="10"/>
        <v>0</v>
      </c>
      <c r="I44" s="1285">
        <f t="shared" si="8"/>
        <v>0</v>
      </c>
      <c r="J44" s="1495">
        <f t="shared" si="9"/>
        <v>-19513</v>
      </c>
      <c r="L44" s="1468">
        <f>+H44-E44</f>
        <v>-32390</v>
      </c>
    </row>
    <row r="45" spans="2:12" ht="13.5" thickBot="1" x14ac:dyDescent="0.25">
      <c r="B45" s="1497" t="s">
        <v>279</v>
      </c>
      <c r="C45" s="198"/>
      <c r="D45" s="199"/>
      <c r="E45" s="199"/>
      <c r="F45" s="199"/>
      <c r="G45" s="199"/>
      <c r="H45" s="199"/>
      <c r="I45" s="1286">
        <f t="shared" si="0"/>
        <v>0</v>
      </c>
      <c r="J45" s="1498">
        <f>H45-C45</f>
        <v>0</v>
      </c>
    </row>
    <row r="46" spans="2:12" ht="14.25" thickTop="1" thickBot="1" x14ac:dyDescent="0.25">
      <c r="B46" s="1499" t="s">
        <v>413</v>
      </c>
      <c r="C46" s="182">
        <f t="shared" ref="C46:G46" si="11">SUMPRODUCT(--($B14:$B45="Sub-Total"), C$14:C$45)+C45</f>
        <v>3571434.0000000005</v>
      </c>
      <c r="D46" s="182">
        <f t="shared" si="11"/>
        <v>3741210</v>
      </c>
      <c r="E46" s="182">
        <f t="shared" si="11"/>
        <v>5045839</v>
      </c>
      <c r="F46" s="182">
        <f t="shared" si="11"/>
        <v>4011362.25</v>
      </c>
      <c r="G46" s="182">
        <f t="shared" si="11"/>
        <v>4457219</v>
      </c>
      <c r="H46" s="182">
        <f>SUMPRODUCT(--($B14:$B45="Sub-Total"), H$14:H$45)+H45+1</f>
        <v>4634620.4569999995</v>
      </c>
      <c r="I46" s="182">
        <f>H46-F46</f>
        <v>623258.20699999947</v>
      </c>
      <c r="J46" s="1500">
        <f>H46-C46</f>
        <v>1063186.456999999</v>
      </c>
      <c r="L46" s="1468">
        <f>+H46-E46</f>
        <v>-411218.54300000053</v>
      </c>
    </row>
    <row r="48" spans="2:12" x14ac:dyDescent="0.2">
      <c r="C48">
        <f>+'App.2-JA_OM&amp;A_Summary_Analys'!C26</f>
        <v>3571434</v>
      </c>
      <c r="D48">
        <f>+'App.2-JA_OM&amp;A_Summary_Analys'!D26</f>
        <v>3741210</v>
      </c>
      <c r="E48">
        <f>+'App.2-JA_OM&amp;A_Summary_Analys'!E26</f>
        <v>5045839</v>
      </c>
      <c r="F48">
        <f>+'App.2-JA_OM&amp;A_Summary_Analys'!F26</f>
        <v>4011373</v>
      </c>
      <c r="G48">
        <f>+'App.2-JA_OM&amp;A_Summary_Analys'!G26</f>
        <v>4457219</v>
      </c>
      <c r="H48">
        <f>+'App.2-JA_OM&amp;A_Summary_Analys'!H26</f>
        <v>4634620</v>
      </c>
    </row>
    <row r="49" spans="2:10" x14ac:dyDescent="0.2">
      <c r="C49" s="1468">
        <f t="shared" ref="C49:H49" si="12">+C46-C48</f>
        <v>0</v>
      </c>
      <c r="D49" s="1468">
        <f t="shared" si="12"/>
        <v>0</v>
      </c>
      <c r="E49" s="1468">
        <f t="shared" si="12"/>
        <v>0</v>
      </c>
      <c r="F49" s="1468">
        <f t="shared" si="12"/>
        <v>-10.75</v>
      </c>
      <c r="G49" s="1468">
        <f t="shared" si="12"/>
        <v>0</v>
      </c>
      <c r="H49" s="1468">
        <f t="shared" si="12"/>
        <v>0.45699999947100878</v>
      </c>
    </row>
    <row r="50" spans="2:10" x14ac:dyDescent="0.2">
      <c r="B50" s="212" t="s">
        <v>15</v>
      </c>
      <c r="H50" s="120"/>
    </row>
    <row r="52" spans="2:10" ht="27.75" customHeight="1" x14ac:dyDescent="0.2">
      <c r="B52" s="1752" t="s">
        <v>1799</v>
      </c>
      <c r="C52" s="1752"/>
      <c r="D52" s="1752"/>
      <c r="E52" s="1752"/>
      <c r="F52" s="1752"/>
      <c r="G52" s="1752"/>
      <c r="H52" s="1752"/>
      <c r="I52" s="1752"/>
      <c r="J52" s="1752"/>
    </row>
    <row r="53" spans="2:10" ht="42" customHeight="1" x14ac:dyDescent="0.2">
      <c r="B53" s="1752" t="s">
        <v>1940</v>
      </c>
      <c r="C53" s="1752"/>
      <c r="D53" s="1752"/>
      <c r="E53" s="1752"/>
      <c r="F53" s="1752"/>
      <c r="G53" s="1752"/>
      <c r="H53" s="1752"/>
      <c r="I53" s="1752"/>
      <c r="J53" s="1752"/>
    </row>
    <row r="54" spans="2:10" ht="27" customHeight="1" x14ac:dyDescent="0.2">
      <c r="B54" s="1752"/>
      <c r="C54" s="1753"/>
      <c r="D54" s="1753"/>
      <c r="E54" s="1753"/>
      <c r="F54" s="1753"/>
      <c r="G54" s="1753"/>
      <c r="H54" s="1753"/>
      <c r="I54" s="1753"/>
    </row>
    <row r="56" spans="2:10" x14ac:dyDescent="0.2">
      <c r="B56" s="1750"/>
      <c r="C56" s="1750"/>
      <c r="D56" s="1750"/>
      <c r="E56" s="1750"/>
      <c r="F56" s="1750"/>
      <c r="G56" s="1750"/>
      <c r="H56" s="1750"/>
      <c r="I56" s="1750"/>
      <c r="J56" s="1750"/>
    </row>
    <row r="57" spans="2:10" x14ac:dyDescent="0.2">
      <c r="B57" s="1750"/>
      <c r="C57" s="1750"/>
      <c r="D57" s="1750"/>
      <c r="E57" s="1750"/>
      <c r="F57" s="1750"/>
      <c r="G57" s="1750"/>
      <c r="H57" s="1750"/>
      <c r="I57" s="1750"/>
      <c r="J57" s="1750"/>
    </row>
    <row r="59" spans="2:10" x14ac:dyDescent="0.2">
      <c r="B59" s="14"/>
    </row>
  </sheetData>
  <mergeCells count="7">
    <mergeCell ref="B56:J57"/>
    <mergeCell ref="B9:I9"/>
    <mergeCell ref="B10:I10"/>
    <mergeCell ref="B11:I11"/>
    <mergeCell ref="B54:I54"/>
    <mergeCell ref="B52:J52"/>
    <mergeCell ref="B53:J53"/>
  </mergeCells>
  <dataValidations count="1">
    <dataValidation type="list" allowBlank="1" showInputMessage="1" showErrorMessage="1" sqref="C13:J13">
      <formula1>"CGAAP, MIFRS, USGAAP, ASPE"</formula1>
    </dataValidation>
  </dataValidations>
  <pageMargins left="0.75" right="0.75" top="1" bottom="1" header="0.5" footer="0.5"/>
  <pageSetup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59"/>
  <sheetViews>
    <sheetView showGridLines="0" zoomScaleNormal="100" workbookViewId="0">
      <selection activeCell="K17" sqref="K17"/>
    </sheetView>
  </sheetViews>
  <sheetFormatPr defaultRowHeight="12.75" x14ac:dyDescent="0.2"/>
  <cols>
    <col min="1" max="1" width="30.28515625" customWidth="1"/>
    <col min="2" max="2" width="10.5703125" customWidth="1"/>
    <col min="3" max="7" width="12.7109375" customWidth="1"/>
    <col min="8" max="8" width="11.85546875" customWidth="1"/>
  </cols>
  <sheetData>
    <row r="1" spans="1:11" x14ac:dyDescent="0.2">
      <c r="G1" s="14" t="s">
        <v>419</v>
      </c>
      <c r="H1" s="208" t="str">
        <f>EBNUMBER</f>
        <v>EB-2014-0113</v>
      </c>
    </row>
    <row r="2" spans="1:11" x14ac:dyDescent="0.2">
      <c r="G2" s="14" t="s">
        <v>420</v>
      </c>
      <c r="H2" s="209">
        <v>2</v>
      </c>
    </row>
    <row r="3" spans="1:11" x14ac:dyDescent="0.2">
      <c r="G3" s="14" t="s">
        <v>421</v>
      </c>
      <c r="H3" s="209">
        <v>2</v>
      </c>
    </row>
    <row r="4" spans="1:11" x14ac:dyDescent="0.2">
      <c r="G4" s="14" t="s">
        <v>422</v>
      </c>
      <c r="H4" s="209">
        <v>2</v>
      </c>
    </row>
    <row r="5" spans="1:11" x14ac:dyDescent="0.2">
      <c r="G5" s="14" t="s">
        <v>423</v>
      </c>
      <c r="H5" s="210"/>
    </row>
    <row r="6" spans="1:11" x14ac:dyDescent="0.2">
      <c r="G6" s="14"/>
      <c r="H6" s="208"/>
    </row>
    <row r="7" spans="1:11" x14ac:dyDescent="0.2">
      <c r="G7" s="14" t="s">
        <v>424</v>
      </c>
      <c r="H7" s="1466">
        <v>42119</v>
      </c>
    </row>
    <row r="8" spans="1:11" x14ac:dyDescent="0.2">
      <c r="A8" t="s">
        <v>1975</v>
      </c>
    </row>
    <row r="9" spans="1:11" ht="18" x14ac:dyDescent="0.25">
      <c r="A9" s="1751" t="s">
        <v>1193</v>
      </c>
      <c r="B9" s="1751"/>
      <c r="C9" s="1751"/>
      <c r="D9" s="1751"/>
      <c r="E9" s="1751"/>
      <c r="F9" s="1751"/>
      <c r="G9" s="1751"/>
      <c r="H9" s="1751"/>
      <c r="I9" s="203"/>
    </row>
    <row r="10" spans="1:11" ht="18" x14ac:dyDescent="0.25">
      <c r="A10" s="1751" t="s">
        <v>50</v>
      </c>
      <c r="B10" s="1751"/>
      <c r="C10" s="1751"/>
      <c r="D10" s="1751"/>
      <c r="E10" s="1751"/>
      <c r="F10" s="1751"/>
      <c r="G10" s="1751"/>
      <c r="H10" s="1751"/>
      <c r="I10" s="203"/>
    </row>
    <row r="12" spans="1:11" ht="13.5" thickBot="1" x14ac:dyDescent="0.25">
      <c r="A12" s="1724"/>
      <c r="B12" s="1724"/>
      <c r="C12" s="1724"/>
      <c r="D12" s="1724"/>
      <c r="E12" s="1724"/>
      <c r="F12" s="1724"/>
      <c r="G12" s="1724"/>
      <c r="H12" s="1724"/>
    </row>
    <row r="13" spans="1:11" ht="25.5" x14ac:dyDescent="0.2">
      <c r="A13" s="177" t="s">
        <v>278</v>
      </c>
      <c r="B13" s="139">
        <f>C13-1</f>
        <v>2009</v>
      </c>
      <c r="C13" s="139">
        <f>D13-1</f>
        <v>2010</v>
      </c>
      <c r="D13" s="139">
        <f>E13-1</f>
        <v>2011</v>
      </c>
      <c r="E13" s="139">
        <f>F13-1</f>
        <v>2012</v>
      </c>
      <c r="F13" s="139">
        <f>BridgeYear - 1</f>
        <v>2013</v>
      </c>
      <c r="G13" s="139" t="str">
        <f>BridgeYear &amp; " Bridge Year"</f>
        <v>2014 Bridge Year</v>
      </c>
      <c r="H13" s="139" t="s">
        <v>1976</v>
      </c>
    </row>
    <row r="14" spans="1:11" x14ac:dyDescent="0.2">
      <c r="A14" s="183" t="s">
        <v>160</v>
      </c>
      <c r="B14" s="194"/>
      <c r="C14" s="194"/>
      <c r="D14" s="194"/>
      <c r="E14" s="194"/>
      <c r="F14" s="194"/>
      <c r="G14" s="194"/>
      <c r="H14" s="194"/>
    </row>
    <row r="15" spans="1:11" x14ac:dyDescent="0.2">
      <c r="A15" s="195" t="s">
        <v>280</v>
      </c>
      <c r="B15" s="178"/>
      <c r="C15" s="179"/>
      <c r="D15" s="179"/>
      <c r="E15" s="179"/>
      <c r="F15" s="179"/>
      <c r="G15" s="179"/>
      <c r="H15" s="179"/>
    </row>
    <row r="16" spans="1:11" x14ac:dyDescent="0.2">
      <c r="A16" s="195"/>
      <c r="B16" s="196"/>
      <c r="C16" s="197"/>
      <c r="D16" s="197"/>
      <c r="E16" s="197"/>
      <c r="F16" s="197"/>
      <c r="G16" s="197"/>
      <c r="H16" s="197"/>
      <c r="K16" s="120" t="s">
        <v>2057</v>
      </c>
    </row>
    <row r="17" spans="1:8" x14ac:dyDescent="0.2">
      <c r="A17" s="195"/>
      <c r="B17" s="198"/>
      <c r="C17" s="199"/>
      <c r="D17" s="199"/>
      <c r="E17" s="199"/>
      <c r="F17" s="199"/>
      <c r="G17" s="199"/>
      <c r="H17" s="199"/>
    </row>
    <row r="18" spans="1:8" x14ac:dyDescent="0.2">
      <c r="A18" s="195"/>
      <c r="B18" s="200"/>
      <c r="C18" s="201"/>
      <c r="D18" s="201"/>
      <c r="E18" s="201"/>
      <c r="F18" s="201"/>
      <c r="G18" s="201"/>
      <c r="H18" s="201"/>
    </row>
    <row r="19" spans="1:8" x14ac:dyDescent="0.2">
      <c r="A19" s="195"/>
      <c r="B19" s="200"/>
      <c r="C19" s="201"/>
      <c r="D19" s="201"/>
      <c r="E19" s="201"/>
      <c r="F19" s="201"/>
      <c r="G19" s="201"/>
      <c r="H19" s="201"/>
    </row>
    <row r="20" spans="1:8" x14ac:dyDescent="0.2">
      <c r="A20" s="195"/>
      <c r="B20" s="200"/>
      <c r="C20" s="201"/>
      <c r="D20" s="201"/>
      <c r="E20" s="201"/>
      <c r="F20" s="201"/>
      <c r="G20" s="201"/>
      <c r="H20" s="201"/>
    </row>
    <row r="21" spans="1:8" x14ac:dyDescent="0.2">
      <c r="A21" s="184" t="s">
        <v>284</v>
      </c>
      <c r="B21" s="178">
        <f>SUM(B16:B20)</f>
        <v>0</v>
      </c>
      <c r="C21" s="178">
        <f t="shared" ref="C21:H21" si="0">SUM(C16:C20)</f>
        <v>0</v>
      </c>
      <c r="D21" s="178">
        <f t="shared" si="0"/>
        <v>0</v>
      </c>
      <c r="E21" s="178">
        <f t="shared" si="0"/>
        <v>0</v>
      </c>
      <c r="F21" s="178">
        <f t="shared" si="0"/>
        <v>0</v>
      </c>
      <c r="G21" s="178">
        <f t="shared" si="0"/>
        <v>0</v>
      </c>
      <c r="H21" s="178">
        <f t="shared" si="0"/>
        <v>0</v>
      </c>
    </row>
    <row r="22" spans="1:8" x14ac:dyDescent="0.2">
      <c r="A22" s="202" t="s">
        <v>281</v>
      </c>
      <c r="B22" s="178"/>
      <c r="C22" s="179"/>
      <c r="D22" s="179"/>
      <c r="E22" s="179"/>
      <c r="F22" s="179"/>
      <c r="G22" s="179"/>
      <c r="H22" s="179"/>
    </row>
    <row r="23" spans="1:8" x14ac:dyDescent="0.2">
      <c r="A23" s="195"/>
      <c r="B23" s="196"/>
      <c r="C23" s="197"/>
      <c r="D23" s="197"/>
      <c r="E23" s="197"/>
      <c r="F23" s="197"/>
      <c r="G23" s="197"/>
      <c r="H23" s="197"/>
    </row>
    <row r="24" spans="1:8" x14ac:dyDescent="0.2">
      <c r="A24" s="195"/>
      <c r="B24" s="198"/>
      <c r="C24" s="199"/>
      <c r="D24" s="199"/>
      <c r="E24" s="199"/>
      <c r="F24" s="199"/>
      <c r="G24" s="199"/>
      <c r="H24" s="199"/>
    </row>
    <row r="25" spans="1:8" x14ac:dyDescent="0.2">
      <c r="A25" s="195"/>
      <c r="B25" s="200"/>
      <c r="C25" s="201"/>
      <c r="D25" s="201"/>
      <c r="E25" s="201"/>
      <c r="F25" s="201"/>
      <c r="G25" s="201"/>
      <c r="H25" s="201"/>
    </row>
    <row r="26" spans="1:8" x14ac:dyDescent="0.2">
      <c r="A26" s="195"/>
      <c r="B26" s="200"/>
      <c r="C26" s="201"/>
      <c r="D26" s="201"/>
      <c r="E26" s="201"/>
      <c r="F26" s="201"/>
      <c r="G26" s="201"/>
      <c r="H26" s="201"/>
    </row>
    <row r="27" spans="1:8" x14ac:dyDescent="0.2">
      <c r="A27" s="195"/>
      <c r="B27" s="200"/>
      <c r="C27" s="201"/>
      <c r="D27" s="201"/>
      <c r="E27" s="201"/>
      <c r="F27" s="201"/>
      <c r="G27" s="201"/>
      <c r="H27" s="201"/>
    </row>
    <row r="28" spans="1:8" x14ac:dyDescent="0.2">
      <c r="A28" s="184" t="s">
        <v>284</v>
      </c>
      <c r="B28" s="178">
        <f t="shared" ref="B28:H28" si="1">SUM(B23:B27)</f>
        <v>0</v>
      </c>
      <c r="C28" s="178">
        <f t="shared" si="1"/>
        <v>0</v>
      </c>
      <c r="D28" s="178">
        <f t="shared" si="1"/>
        <v>0</v>
      </c>
      <c r="E28" s="178">
        <f t="shared" si="1"/>
        <v>0</v>
      </c>
      <c r="F28" s="178">
        <f t="shared" si="1"/>
        <v>0</v>
      </c>
      <c r="G28" s="178">
        <f t="shared" si="1"/>
        <v>0</v>
      </c>
      <c r="H28" s="178">
        <f t="shared" si="1"/>
        <v>0</v>
      </c>
    </row>
    <row r="29" spans="1:8" x14ac:dyDescent="0.2">
      <c r="A29" s="202" t="s">
        <v>282</v>
      </c>
      <c r="B29" s="178"/>
      <c r="C29" s="179"/>
      <c r="D29" s="179"/>
      <c r="E29" s="179"/>
      <c r="F29" s="179"/>
      <c r="G29" s="179"/>
      <c r="H29" s="179"/>
    </row>
    <row r="30" spans="1:8" x14ac:dyDescent="0.2">
      <c r="A30" s="195"/>
      <c r="B30" s="196"/>
      <c r="C30" s="197"/>
      <c r="D30" s="197"/>
      <c r="E30" s="197"/>
      <c r="F30" s="197"/>
      <c r="G30" s="197"/>
      <c r="H30" s="197"/>
    </row>
    <row r="31" spans="1:8" x14ac:dyDescent="0.2">
      <c r="A31" s="195"/>
      <c r="B31" s="198"/>
      <c r="C31" s="199"/>
      <c r="D31" s="199"/>
      <c r="E31" s="199"/>
      <c r="F31" s="199"/>
      <c r="G31" s="199"/>
      <c r="H31" s="199"/>
    </row>
    <row r="32" spans="1:8" x14ac:dyDescent="0.2">
      <c r="A32" s="195"/>
      <c r="B32" s="200"/>
      <c r="C32" s="201"/>
      <c r="D32" s="201"/>
      <c r="E32" s="201"/>
      <c r="F32" s="201"/>
      <c r="G32" s="201"/>
      <c r="H32" s="201"/>
    </row>
    <row r="33" spans="1:8" x14ac:dyDescent="0.2">
      <c r="A33" s="195"/>
      <c r="B33" s="200"/>
      <c r="C33" s="201"/>
      <c r="D33" s="201"/>
      <c r="E33" s="201"/>
      <c r="F33" s="201"/>
      <c r="G33" s="201"/>
      <c r="H33" s="201"/>
    </row>
    <row r="34" spans="1:8" x14ac:dyDescent="0.2">
      <c r="A34" s="195"/>
      <c r="B34" s="200"/>
      <c r="C34" s="201"/>
      <c r="D34" s="201"/>
      <c r="E34" s="201"/>
      <c r="F34" s="201"/>
      <c r="G34" s="201"/>
      <c r="H34" s="201"/>
    </row>
    <row r="35" spans="1:8" x14ac:dyDescent="0.2">
      <c r="A35" s="184" t="s">
        <v>284</v>
      </c>
      <c r="B35" s="178">
        <f t="shared" ref="B35:H35" si="2">SUM(B30:B34)</f>
        <v>0</v>
      </c>
      <c r="C35" s="178">
        <f t="shared" si="2"/>
        <v>0</v>
      </c>
      <c r="D35" s="178">
        <f t="shared" si="2"/>
        <v>0</v>
      </c>
      <c r="E35" s="178">
        <f t="shared" si="2"/>
        <v>0</v>
      </c>
      <c r="F35" s="178">
        <f t="shared" si="2"/>
        <v>0</v>
      </c>
      <c r="G35" s="178">
        <f t="shared" si="2"/>
        <v>0</v>
      </c>
      <c r="H35" s="178">
        <f t="shared" si="2"/>
        <v>0</v>
      </c>
    </row>
    <row r="36" spans="1:8" x14ac:dyDescent="0.2">
      <c r="A36" s="202" t="s">
        <v>283</v>
      </c>
      <c r="B36" s="180"/>
      <c r="C36" s="181"/>
      <c r="D36" s="181"/>
      <c r="E36" s="181"/>
      <c r="F36" s="181"/>
      <c r="G36" s="181"/>
      <c r="H36" s="181"/>
    </row>
    <row r="37" spans="1:8" x14ac:dyDescent="0.2">
      <c r="A37" s="195"/>
      <c r="B37" s="196"/>
      <c r="C37" s="197"/>
      <c r="D37" s="197"/>
      <c r="E37" s="197"/>
      <c r="F37" s="197"/>
      <c r="G37" s="197"/>
      <c r="H37" s="197"/>
    </row>
    <row r="38" spans="1:8" x14ac:dyDescent="0.2">
      <c r="A38" s="195"/>
      <c r="B38" s="198"/>
      <c r="C38" s="199"/>
      <c r="D38" s="199"/>
      <c r="E38" s="199"/>
      <c r="F38" s="199"/>
      <c r="G38" s="199"/>
      <c r="H38" s="199"/>
    </row>
    <row r="39" spans="1:8" x14ac:dyDescent="0.2">
      <c r="A39" s="195"/>
      <c r="B39" s="200"/>
      <c r="C39" s="201"/>
      <c r="D39" s="201"/>
      <c r="E39" s="201"/>
      <c r="F39" s="201"/>
      <c r="G39" s="201"/>
      <c r="H39" s="201"/>
    </row>
    <row r="40" spans="1:8" x14ac:dyDescent="0.2">
      <c r="A40" s="195"/>
      <c r="B40" s="200"/>
      <c r="C40" s="201"/>
      <c r="D40" s="201"/>
      <c r="E40" s="201"/>
      <c r="F40" s="201"/>
      <c r="G40" s="201"/>
      <c r="H40" s="201"/>
    </row>
    <row r="41" spans="1:8" x14ac:dyDescent="0.2">
      <c r="A41" s="195"/>
      <c r="B41" s="200"/>
      <c r="C41" s="201"/>
      <c r="D41" s="201"/>
      <c r="E41" s="201"/>
      <c r="F41" s="201"/>
      <c r="G41" s="201"/>
      <c r="H41" s="201"/>
    </row>
    <row r="42" spans="1:8" x14ac:dyDescent="0.2">
      <c r="A42" s="184" t="s">
        <v>284</v>
      </c>
      <c r="B42" s="178">
        <f t="shared" ref="B42:H42" si="3">SUM(B37:B41)</f>
        <v>0</v>
      </c>
      <c r="C42" s="178">
        <f t="shared" si="3"/>
        <v>0</v>
      </c>
      <c r="D42" s="178">
        <f t="shared" si="3"/>
        <v>0</v>
      </c>
      <c r="E42" s="178">
        <f t="shared" si="3"/>
        <v>0</v>
      </c>
      <c r="F42" s="178">
        <f t="shared" si="3"/>
        <v>0</v>
      </c>
      <c r="G42" s="178">
        <f t="shared" si="3"/>
        <v>0</v>
      </c>
      <c r="H42" s="178">
        <f t="shared" si="3"/>
        <v>0</v>
      </c>
    </row>
    <row r="43" spans="1:8" ht="13.5" thickBot="1" x14ac:dyDescent="0.25">
      <c r="A43" s="202" t="s">
        <v>279</v>
      </c>
      <c r="B43" s="198"/>
      <c r="C43" s="199"/>
      <c r="D43" s="199"/>
      <c r="E43" s="199"/>
      <c r="F43" s="199"/>
      <c r="G43" s="199"/>
      <c r="H43" s="199"/>
    </row>
    <row r="44" spans="1:8" ht="14.25" thickTop="1" thickBot="1" x14ac:dyDescent="0.25">
      <c r="A44" s="919" t="s">
        <v>413</v>
      </c>
      <c r="B44" s="182">
        <f>SUMPRODUCT(--($A15:$A43="Sub-Total"), B$15:B$43)+B43</f>
        <v>0</v>
      </c>
      <c r="C44" s="182">
        <f t="shared" ref="C44:H44" si="4">SUMPRODUCT(--($A15:$A43="Sub-Total"), C$15:C$43)+C43</f>
        <v>0</v>
      </c>
      <c r="D44" s="182">
        <f t="shared" si="4"/>
        <v>0</v>
      </c>
      <c r="E44" s="182">
        <f t="shared" si="4"/>
        <v>0</v>
      </c>
      <c r="F44" s="182">
        <f t="shared" si="4"/>
        <v>0</v>
      </c>
      <c r="G44" s="182">
        <f t="shared" si="4"/>
        <v>0</v>
      </c>
      <c r="H44" s="182">
        <f t="shared" si="4"/>
        <v>0</v>
      </c>
    </row>
    <row r="45" spans="1:8" ht="51.75" thickBot="1" x14ac:dyDescent="0.25">
      <c r="A45" s="920" t="s">
        <v>1007</v>
      </c>
      <c r="B45" s="198"/>
      <c r="C45" s="199"/>
      <c r="D45" s="199"/>
      <c r="E45" s="199"/>
      <c r="F45" s="199"/>
      <c r="G45" s="199"/>
      <c r="H45" s="199"/>
    </row>
    <row r="46" spans="1:8" ht="14.25" thickTop="1" thickBot="1" x14ac:dyDescent="0.25">
      <c r="A46" s="921" t="s">
        <v>413</v>
      </c>
      <c r="B46" s="182">
        <f>B44+B45</f>
        <v>0</v>
      </c>
      <c r="C46" s="182">
        <f t="shared" ref="C46:H46" si="5">C44+C45</f>
        <v>0</v>
      </c>
      <c r="D46" s="182">
        <f t="shared" si="5"/>
        <v>0</v>
      </c>
      <c r="E46" s="182">
        <f t="shared" si="5"/>
        <v>0</v>
      </c>
      <c r="F46" s="182">
        <f t="shared" si="5"/>
        <v>0</v>
      </c>
      <c r="G46" s="182">
        <f t="shared" si="5"/>
        <v>0</v>
      </c>
      <c r="H46" s="182">
        <f t="shared" si="5"/>
        <v>0</v>
      </c>
    </row>
    <row r="50" spans="1:9" x14ac:dyDescent="0.2">
      <c r="A50" s="212" t="s">
        <v>15</v>
      </c>
      <c r="G50" s="120"/>
    </row>
    <row r="52" spans="1:9" ht="27.75" customHeight="1" x14ac:dyDescent="0.2">
      <c r="A52" s="1752" t="s">
        <v>722</v>
      </c>
      <c r="B52" s="1753"/>
      <c r="C52" s="1753"/>
      <c r="D52" s="1753"/>
      <c r="E52" s="1753"/>
      <c r="F52" s="1753"/>
      <c r="G52" s="1753"/>
      <c r="H52" s="1753"/>
    </row>
    <row r="53" spans="1:9" ht="33" customHeight="1" x14ac:dyDescent="0.2">
      <c r="A53" s="1752" t="s">
        <v>1941</v>
      </c>
      <c r="B53" s="1753"/>
      <c r="C53" s="1753"/>
      <c r="D53" s="1753"/>
      <c r="E53" s="1753"/>
      <c r="F53" s="1753"/>
      <c r="G53" s="1753"/>
      <c r="H53" s="1753"/>
      <c r="I53" s="1282"/>
    </row>
    <row r="54" spans="1:9" ht="27" customHeight="1" x14ac:dyDescent="0.2">
      <c r="A54" s="1752"/>
      <c r="B54" s="1753"/>
      <c r="C54" s="1753"/>
      <c r="D54" s="1753"/>
      <c r="E54" s="1753"/>
      <c r="F54" s="1753"/>
      <c r="G54" s="1753"/>
      <c r="H54" s="1753"/>
    </row>
    <row r="56" spans="1:9" x14ac:dyDescent="0.2">
      <c r="A56" s="1750"/>
      <c r="B56" s="1750"/>
      <c r="C56" s="1750"/>
      <c r="D56" s="1750"/>
      <c r="E56" s="1750"/>
      <c r="F56" s="1750"/>
      <c r="G56" s="1750"/>
      <c r="H56" s="1750"/>
      <c r="I56" s="1750"/>
    </row>
    <row r="57" spans="1:9" x14ac:dyDescent="0.2">
      <c r="A57" s="1750"/>
      <c r="B57" s="1750"/>
      <c r="C57" s="1750"/>
      <c r="D57" s="1750"/>
      <c r="E57" s="1750"/>
      <c r="F57" s="1750"/>
      <c r="G57" s="1750"/>
      <c r="H57" s="1750"/>
      <c r="I57" s="1750"/>
    </row>
    <row r="59" spans="1:9" x14ac:dyDescent="0.2">
      <c r="A59" s="14"/>
    </row>
  </sheetData>
  <mergeCells count="7">
    <mergeCell ref="A12:H12"/>
    <mergeCell ref="A56:I57"/>
    <mergeCell ref="A10:H10"/>
    <mergeCell ref="A9:H9"/>
    <mergeCell ref="A52:H52"/>
    <mergeCell ref="A54:H54"/>
    <mergeCell ref="A53:H53"/>
  </mergeCells>
  <phoneticPr fontId="11" type="noConversion"/>
  <dataValidations count="1">
    <dataValidation type="list" allowBlank="1" showInputMessage="1" showErrorMessage="1" sqref="B14:H14">
      <formula1>"CGAAP, MIFRS, USGAAP, ASPE"</formula1>
    </dataValidation>
  </dataValidations>
  <pageMargins left="0.75" right="0.75" top="1" bottom="1" header="0.5" footer="0.5"/>
  <pageSetup scale="7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B1:J44"/>
  <sheetViews>
    <sheetView showGridLines="0" topLeftCell="A9" zoomScaleNormal="100" workbookViewId="0">
      <selection activeCell="D69" sqref="D69"/>
    </sheetView>
  </sheetViews>
  <sheetFormatPr defaultRowHeight="12.75" x14ac:dyDescent="0.2"/>
  <cols>
    <col min="1" max="1" width="2.42578125" customWidth="1"/>
    <col min="2" max="2" width="56.85546875" customWidth="1"/>
    <col min="3" max="7" width="15.7109375" customWidth="1"/>
    <col min="8" max="8" width="13.28515625" customWidth="1"/>
    <col min="9" max="10" width="9.7109375" bestFit="1" customWidth="1"/>
  </cols>
  <sheetData>
    <row r="1" spans="2:10" x14ac:dyDescent="0.2">
      <c r="G1" s="278" t="s">
        <v>419</v>
      </c>
      <c r="H1" s="766" t="str">
        <f>EBNUMBER</f>
        <v>EB-2014-0113</v>
      </c>
    </row>
    <row r="2" spans="2:10" x14ac:dyDescent="0.2">
      <c r="G2" s="278" t="s">
        <v>420</v>
      </c>
      <c r="H2" s="209">
        <v>4</v>
      </c>
    </row>
    <row r="3" spans="2:10" x14ac:dyDescent="0.2">
      <c r="G3" s="278" t="s">
        <v>421</v>
      </c>
      <c r="H3" s="209">
        <v>2</v>
      </c>
    </row>
    <row r="4" spans="2:10" x14ac:dyDescent="0.2">
      <c r="G4" s="278" t="s">
        <v>422</v>
      </c>
      <c r="H4" s="209">
        <v>2</v>
      </c>
    </row>
    <row r="5" spans="2:10" x14ac:dyDescent="0.2">
      <c r="G5" s="278" t="s">
        <v>423</v>
      </c>
      <c r="H5" s="210"/>
    </row>
    <row r="6" spans="2:10" ht="9" customHeight="1" x14ac:dyDescent="0.2">
      <c r="G6" s="278"/>
      <c r="H6" s="208"/>
    </row>
    <row r="7" spans="2:10" x14ac:dyDescent="0.2">
      <c r="G7" s="278" t="s">
        <v>424</v>
      </c>
      <c r="H7" s="1466">
        <v>42119</v>
      </c>
    </row>
    <row r="8" spans="2:10" ht="9" customHeight="1" x14ac:dyDescent="0.2"/>
    <row r="9" spans="2:10" ht="17.25" customHeight="1" x14ac:dyDescent="0.25">
      <c r="B9" s="1746" t="s">
        <v>350</v>
      </c>
      <c r="C9" s="1746"/>
      <c r="D9" s="1746"/>
      <c r="E9" s="1746"/>
      <c r="F9" s="1746"/>
      <c r="G9" s="1746"/>
      <c r="H9" s="1746"/>
    </row>
    <row r="10" spans="2:10" ht="18" x14ac:dyDescent="0.25">
      <c r="B10" s="1746" t="s">
        <v>2</v>
      </c>
      <c r="C10" s="1746"/>
      <c r="D10" s="1746"/>
      <c r="E10" s="1746"/>
      <c r="F10" s="1746"/>
      <c r="G10" s="1746"/>
      <c r="H10" s="1746"/>
    </row>
    <row r="11" spans="2:10" ht="9" customHeight="1" thickBot="1" x14ac:dyDescent="0.25"/>
    <row r="12" spans="2:10" ht="51.75" thickBot="1" x14ac:dyDescent="0.25">
      <c r="B12" s="1439"/>
      <c r="C12" s="1440" t="str">
        <f>"Last Rebasing Year - "&amp;RebaseYear&amp;"- Board Approved"</f>
        <v>Last Rebasing Year - 2011- Board Approved</v>
      </c>
      <c r="D12" s="1440" t="str">
        <f>"Last Rebasing Year - "&amp;RebaseYear&amp;"-  Actual"</f>
        <v>Last Rebasing Year - 2011-  Actual</v>
      </c>
      <c r="E12" s="373" t="str">
        <f>BridgeYear -2 &amp; " Actuals"</f>
        <v>2012 Actuals</v>
      </c>
      <c r="F12" s="373" t="str">
        <f>BridgeYear -1 &amp; " Actuals"</f>
        <v>2013 Actuals</v>
      </c>
      <c r="G12" s="373" t="str">
        <f>BridgeYear &amp; " Bridge Year"</f>
        <v>2014 Bridge Year</v>
      </c>
      <c r="H12" s="374" t="str">
        <f>TestYear &amp; " Test Year"</f>
        <v>2015 Test Year</v>
      </c>
      <c r="I12" s="6"/>
    </row>
    <row r="13" spans="2:10" ht="14.25" x14ac:dyDescent="0.2">
      <c r="B13" s="2088" t="s">
        <v>151</v>
      </c>
      <c r="C13" s="2089"/>
      <c r="D13" s="2089"/>
      <c r="E13" s="2089"/>
      <c r="F13" s="2089"/>
      <c r="G13" s="2089"/>
      <c r="H13" s="2090"/>
    </row>
    <row r="14" spans="2:10" x14ac:dyDescent="0.2">
      <c r="B14" s="1139" t="s">
        <v>1247</v>
      </c>
      <c r="C14" s="1140"/>
      <c r="D14" s="1140"/>
      <c r="E14" s="282">
        <v>7.583333333333333</v>
      </c>
      <c r="F14" s="282">
        <v>5.75</v>
      </c>
      <c r="G14" s="1469">
        <v>5.75</v>
      </c>
      <c r="H14" s="1469">
        <f>+G14-0.75+1</f>
        <v>6</v>
      </c>
      <c r="J14" s="120" t="s">
        <v>2044</v>
      </c>
    </row>
    <row r="15" spans="2:10" x14ac:dyDescent="0.2">
      <c r="B15" s="1139" t="s">
        <v>1248</v>
      </c>
      <c r="C15" s="1140"/>
      <c r="D15" s="1140"/>
      <c r="E15" s="282">
        <v>22.044871794871796</v>
      </c>
      <c r="F15" s="282">
        <v>21</v>
      </c>
      <c r="G15" s="1469">
        <v>22.19</v>
      </c>
      <c r="H15" s="1469">
        <f>+G15-0.5+1</f>
        <v>22.69</v>
      </c>
      <c r="J15" s="120" t="s">
        <v>2045</v>
      </c>
    </row>
    <row r="16" spans="2:10" x14ac:dyDescent="0.2">
      <c r="B16" s="1139" t="s">
        <v>413</v>
      </c>
      <c r="C16" s="11">
        <f t="shared" ref="C16:H16" si="0">SUM(C14:C15)</f>
        <v>0</v>
      </c>
      <c r="D16" s="11">
        <f t="shared" si="0"/>
        <v>0</v>
      </c>
      <c r="E16" s="1470">
        <f t="shared" si="0"/>
        <v>29.628205128205128</v>
      </c>
      <c r="F16" s="1470">
        <f t="shared" si="0"/>
        <v>26.75</v>
      </c>
      <c r="G16" s="1470">
        <f t="shared" si="0"/>
        <v>27.94</v>
      </c>
      <c r="H16" s="1470">
        <f t="shared" si="0"/>
        <v>28.69</v>
      </c>
    </row>
    <row r="17" spans="2:10" x14ac:dyDescent="0.2">
      <c r="B17" s="2085" t="s">
        <v>1249</v>
      </c>
      <c r="C17" s="2086"/>
      <c r="D17" s="2086"/>
      <c r="E17" s="2086"/>
      <c r="F17" s="2086"/>
      <c r="G17" s="2086"/>
      <c r="H17" s="2087"/>
    </row>
    <row r="18" spans="2:10" x14ac:dyDescent="0.2">
      <c r="B18" s="1139" t="s">
        <v>1247</v>
      </c>
      <c r="C18" s="361"/>
      <c r="D18" s="361"/>
      <c r="E18" s="361">
        <v>877516.33000000007</v>
      </c>
      <c r="F18" s="361">
        <v>683017.85</v>
      </c>
      <c r="G18" s="361">
        <v>765371</v>
      </c>
      <c r="H18" s="361">
        <v>805214</v>
      </c>
      <c r="J18" s="1454"/>
    </row>
    <row r="19" spans="2:10" x14ac:dyDescent="0.2">
      <c r="B19" s="1139" t="s">
        <v>1248</v>
      </c>
      <c r="C19" s="361"/>
      <c r="D19" s="361"/>
      <c r="E19" s="361">
        <v>1309323.2399999998</v>
      </c>
      <c r="F19" s="361">
        <v>1284080.93</v>
      </c>
      <c r="G19" s="361">
        <v>1404058</v>
      </c>
      <c r="H19" s="361">
        <v>1504874</v>
      </c>
      <c r="J19" s="1454"/>
    </row>
    <row r="20" spans="2:10" x14ac:dyDescent="0.2">
      <c r="B20" s="1139" t="s">
        <v>413</v>
      </c>
      <c r="C20" s="12">
        <f t="shared" ref="C20:H20" si="1">SUM(C18:C19)</f>
        <v>0</v>
      </c>
      <c r="D20" s="12">
        <f t="shared" si="1"/>
        <v>0</v>
      </c>
      <c r="E20" s="12">
        <f t="shared" si="1"/>
        <v>2186839.5699999998</v>
      </c>
      <c r="F20" s="12">
        <f t="shared" si="1"/>
        <v>1967098.7799999998</v>
      </c>
      <c r="G20" s="12">
        <f t="shared" si="1"/>
        <v>2169429</v>
      </c>
      <c r="H20" s="12">
        <f t="shared" si="1"/>
        <v>2310088</v>
      </c>
    </row>
    <row r="21" spans="2:10" x14ac:dyDescent="0.2">
      <c r="B21" s="2085" t="s">
        <v>1</v>
      </c>
      <c r="C21" s="2086"/>
      <c r="D21" s="2086"/>
      <c r="E21" s="2086"/>
      <c r="F21" s="2086"/>
      <c r="G21" s="2086"/>
      <c r="H21" s="2087"/>
    </row>
    <row r="22" spans="2:10" x14ac:dyDescent="0.2">
      <c r="B22" s="1139" t="s">
        <v>1247</v>
      </c>
      <c r="C22" s="361"/>
      <c r="D22" s="361"/>
      <c r="E22" s="361">
        <v>171113.75</v>
      </c>
      <c r="F22" s="361">
        <v>146895.91439799999</v>
      </c>
      <c r="G22" s="361">
        <v>180384</v>
      </c>
      <c r="H22" s="361">
        <v>187358</v>
      </c>
    </row>
    <row r="23" spans="2:10" x14ac:dyDescent="0.2">
      <c r="B23" s="1139" t="s">
        <v>1248</v>
      </c>
      <c r="C23" s="361"/>
      <c r="D23" s="361"/>
      <c r="E23" s="361">
        <v>328699.46999999997</v>
      </c>
      <c r="F23" s="361">
        <v>349305</v>
      </c>
      <c r="G23" s="361">
        <v>373900</v>
      </c>
      <c r="H23" s="361">
        <v>390597</v>
      </c>
    </row>
    <row r="24" spans="2:10" x14ac:dyDescent="0.2">
      <c r="B24" s="1139" t="s">
        <v>413</v>
      </c>
      <c r="C24" s="12">
        <f>SUM(C22:C23)</f>
        <v>0</v>
      </c>
      <c r="D24" s="12">
        <f t="shared" ref="D24:H24" si="2">SUM(D22:D23)</f>
        <v>0</v>
      </c>
      <c r="E24" s="12">
        <f t="shared" si="2"/>
        <v>499813.22</v>
      </c>
      <c r="F24" s="12">
        <f t="shared" si="2"/>
        <v>496200.91439799999</v>
      </c>
      <c r="G24" s="12">
        <f t="shared" si="2"/>
        <v>554284</v>
      </c>
      <c r="H24" s="12">
        <f t="shared" si="2"/>
        <v>577955</v>
      </c>
    </row>
    <row r="25" spans="2:10" x14ac:dyDescent="0.2">
      <c r="B25" s="2085" t="s">
        <v>0</v>
      </c>
      <c r="C25" s="2086"/>
      <c r="D25" s="2086"/>
      <c r="E25" s="2086"/>
      <c r="F25" s="2086"/>
      <c r="G25" s="2086"/>
      <c r="H25" s="2087"/>
    </row>
    <row r="26" spans="2:10" x14ac:dyDescent="0.2">
      <c r="B26" s="1139" t="s">
        <v>1247</v>
      </c>
      <c r="C26" s="12">
        <f t="shared" ref="C26:H28" si="3">C18+C22</f>
        <v>0</v>
      </c>
      <c r="D26" s="12">
        <f t="shared" si="3"/>
        <v>0</v>
      </c>
      <c r="E26" s="12">
        <f t="shared" si="3"/>
        <v>1048630.08</v>
      </c>
      <c r="F26" s="12">
        <f t="shared" si="3"/>
        <v>829913.76439799997</v>
      </c>
      <c r="G26" s="12">
        <f t="shared" si="3"/>
        <v>945755</v>
      </c>
      <c r="H26" s="12">
        <f t="shared" si="3"/>
        <v>992572</v>
      </c>
      <c r="J26" s="1454">
        <f>+H26-F26</f>
        <v>162658.23560200003</v>
      </c>
    </row>
    <row r="27" spans="2:10" x14ac:dyDescent="0.2">
      <c r="B27" s="1139" t="s">
        <v>1248</v>
      </c>
      <c r="C27" s="12">
        <f t="shared" si="3"/>
        <v>0</v>
      </c>
      <c r="D27" s="12">
        <f t="shared" si="3"/>
        <v>0</v>
      </c>
      <c r="E27" s="12">
        <f t="shared" si="3"/>
        <v>1638022.7099999997</v>
      </c>
      <c r="F27" s="12">
        <f t="shared" si="3"/>
        <v>1633385.93</v>
      </c>
      <c r="G27" s="12">
        <f t="shared" si="3"/>
        <v>1777958</v>
      </c>
      <c r="H27" s="12">
        <f t="shared" si="3"/>
        <v>1895471</v>
      </c>
    </row>
    <row r="28" spans="2:10" x14ac:dyDescent="0.2">
      <c r="B28" s="1139" t="s">
        <v>413</v>
      </c>
      <c r="C28" s="12">
        <f t="shared" si="3"/>
        <v>0</v>
      </c>
      <c r="D28" s="12">
        <f t="shared" si="3"/>
        <v>0</v>
      </c>
      <c r="E28" s="12">
        <f t="shared" si="3"/>
        <v>2686652.79</v>
      </c>
      <c r="F28" s="12">
        <f t="shared" si="3"/>
        <v>2463299.6943979999</v>
      </c>
      <c r="G28" s="12">
        <f t="shared" si="3"/>
        <v>2723713</v>
      </c>
      <c r="H28" s="12">
        <f t="shared" si="3"/>
        <v>2888043</v>
      </c>
    </row>
    <row r="30" spans="2:10" ht="19.5" customHeight="1" x14ac:dyDescent="0.2">
      <c r="B30" s="136" t="s">
        <v>177</v>
      </c>
      <c r="H30" s="120" t="s">
        <v>2046</v>
      </c>
      <c r="I30" s="1454">
        <f>+H28-F28</f>
        <v>424743.30560200009</v>
      </c>
    </row>
    <row r="31" spans="2:10" ht="14.25" x14ac:dyDescent="0.2">
      <c r="B31" s="135" t="s">
        <v>1250</v>
      </c>
    </row>
    <row r="35" spans="2:10" x14ac:dyDescent="0.2">
      <c r="B35" t="str">
        <f>+B19</f>
        <v>Non-Management (union and non-union)</v>
      </c>
      <c r="F35" s="1454">
        <f>+F27</f>
        <v>1633385.93</v>
      </c>
      <c r="G35" s="1454">
        <f>+G27</f>
        <v>1777958</v>
      </c>
      <c r="H35" s="1454">
        <f>+H27</f>
        <v>1895471</v>
      </c>
    </row>
    <row r="36" spans="2:10" x14ac:dyDescent="0.2">
      <c r="B36" s="120" t="s">
        <v>2047</v>
      </c>
      <c r="F36" s="1486">
        <v>459574</v>
      </c>
      <c r="G36" s="1486">
        <v>620437</v>
      </c>
      <c r="H36" s="1486">
        <v>647489</v>
      </c>
    </row>
    <row r="37" spans="2:10" x14ac:dyDescent="0.2">
      <c r="F37" s="1485"/>
      <c r="G37" s="1485"/>
      <c r="H37" s="1485"/>
    </row>
    <row r="38" spans="2:10" x14ac:dyDescent="0.2">
      <c r="F38" s="1454">
        <f>+F35-F36</f>
        <v>1173811.93</v>
      </c>
      <c r="G38" s="1454">
        <f>+G35-G36</f>
        <v>1157521</v>
      </c>
      <c r="H38" s="1454">
        <f>+H35-H36</f>
        <v>1247982</v>
      </c>
      <c r="I38" s="1454">
        <f>+H38-F38</f>
        <v>74170.070000000065</v>
      </c>
      <c r="J38" s="1454">
        <f>+I38+J26</f>
        <v>236828.30560200009</v>
      </c>
    </row>
    <row r="43" spans="2:10" x14ac:dyDescent="0.2">
      <c r="E43" s="120" t="s">
        <v>2048</v>
      </c>
      <c r="H43" s="1487">
        <f>+H14+1</f>
        <v>7</v>
      </c>
    </row>
    <row r="44" spans="2:10" x14ac:dyDescent="0.2">
      <c r="E44" s="120" t="s">
        <v>2049</v>
      </c>
      <c r="H44" s="1487">
        <f>+H15-1</f>
        <v>21.69</v>
      </c>
    </row>
  </sheetData>
  <mergeCells count="6">
    <mergeCell ref="B25:H25"/>
    <mergeCell ref="B9:H9"/>
    <mergeCell ref="B10:H10"/>
    <mergeCell ref="B13:H13"/>
    <mergeCell ref="B17:H17"/>
    <mergeCell ref="B21:H21"/>
  </mergeCells>
  <phoneticPr fontId="11" type="noConversion"/>
  <dataValidations disablePrompts="1" count="1">
    <dataValidation allowBlank="1" showInputMessage="1" showErrorMessage="1" promptTitle="Date Format" prompt="E.g:  &quot;August 1, 2011&quot;" sqref="H7"/>
  </dataValidations>
  <printOptions horizontalCentered="1"/>
  <pageMargins left="0.74803149606299213" right="0.74803149606299213" top="0.98425196850393704" bottom="0.98425196850393704" header="0.51181102362204722" footer="0.51181102362204722"/>
  <pageSetup scale="6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I30"/>
  <sheetViews>
    <sheetView showGridLines="0" zoomScaleNormal="100" workbookViewId="0">
      <selection sqref="A1:I19"/>
    </sheetView>
  </sheetViews>
  <sheetFormatPr defaultRowHeight="12.75" x14ac:dyDescent="0.2"/>
  <cols>
    <col min="1" max="1" width="2.140625" customWidth="1"/>
    <col min="2" max="2" width="6" customWidth="1"/>
    <col min="3" max="3" width="20.28515625" customWidth="1"/>
    <col min="4" max="4" width="17.7109375" customWidth="1"/>
    <col min="5" max="8" width="13.7109375" customWidth="1"/>
    <col min="9" max="9" width="13" customWidth="1"/>
  </cols>
  <sheetData>
    <row r="1" spans="2:9" x14ac:dyDescent="0.2">
      <c r="H1" s="278" t="s">
        <v>419</v>
      </c>
      <c r="I1" s="766" t="str">
        <f>EBNUMBER</f>
        <v>EB-2014-0113</v>
      </c>
    </row>
    <row r="2" spans="2:9" x14ac:dyDescent="0.2">
      <c r="H2" s="278" t="s">
        <v>420</v>
      </c>
      <c r="I2" s="209">
        <v>4</v>
      </c>
    </row>
    <row r="3" spans="2:9" x14ac:dyDescent="0.2">
      <c r="H3" s="278" t="s">
        <v>421</v>
      </c>
      <c r="I3" s="209">
        <v>2</v>
      </c>
    </row>
    <row r="4" spans="2:9" x14ac:dyDescent="0.2">
      <c r="H4" s="278" t="s">
        <v>422</v>
      </c>
      <c r="I4" s="209">
        <v>2</v>
      </c>
    </row>
    <row r="5" spans="2:9" x14ac:dyDescent="0.2">
      <c r="H5" s="278" t="s">
        <v>423</v>
      </c>
      <c r="I5" s="210"/>
    </row>
    <row r="6" spans="2:9" x14ac:dyDescent="0.2">
      <c r="H6" s="278"/>
      <c r="I6" s="208"/>
    </row>
    <row r="7" spans="2:9" x14ac:dyDescent="0.2">
      <c r="H7" s="278" t="s">
        <v>424</v>
      </c>
      <c r="I7" s="1466">
        <v>42119</v>
      </c>
    </row>
    <row r="9" spans="2:9" ht="18" x14ac:dyDescent="0.25">
      <c r="B9" s="1746" t="s">
        <v>234</v>
      </c>
      <c r="C9" s="1746"/>
      <c r="D9" s="1746"/>
      <c r="E9" s="1746"/>
      <c r="F9" s="1746"/>
      <c r="G9" s="1746"/>
      <c r="H9" s="1746"/>
      <c r="I9" s="1746"/>
    </row>
    <row r="10" spans="2:9" ht="18" x14ac:dyDescent="0.25">
      <c r="B10" s="1746" t="s">
        <v>1019</v>
      </c>
      <c r="C10" s="1746"/>
      <c r="D10" s="1746"/>
      <c r="E10" s="1746"/>
      <c r="F10" s="1746"/>
      <c r="G10" s="1746"/>
      <c r="H10" s="1746"/>
      <c r="I10" s="1746"/>
    </row>
    <row r="11" spans="2:9" ht="13.5" thickBot="1" x14ac:dyDescent="0.25">
      <c r="I11">
        <v>2015</v>
      </c>
    </row>
    <row r="12" spans="2:9" ht="51.75" thickBot="1" x14ac:dyDescent="0.25">
      <c r="B12" s="360"/>
      <c r="C12" s="359"/>
      <c r="D12" s="1456" t="str">
        <f>"Last Rebasing Year - "&amp;RebaseYear&amp;"- Board Approved"</f>
        <v>Last Rebasing Year - 2011- Board Approved</v>
      </c>
      <c r="E12" s="1456" t="str">
        <f>"Last Rebasing Year - "&amp;RebaseYear&amp;"-  Actual"</f>
        <v>Last Rebasing Year - 2011-  Actual</v>
      </c>
      <c r="F12" s="373" t="str">
        <f>BridgeYear -2 &amp; " Actuals"</f>
        <v>2012 Actuals</v>
      </c>
      <c r="G12" s="373" t="str">
        <f>BridgeYear -1 &amp; " Actuals"</f>
        <v>2013 Actuals</v>
      </c>
      <c r="H12" s="373" t="str">
        <f>BridgeYear &amp; " Bridge Year"</f>
        <v>2014 Bridge Year</v>
      </c>
      <c r="I12" s="374" t="str">
        <f>TestYear &amp; " Test Year"</f>
        <v>2015 Test Year</v>
      </c>
    </row>
    <row r="13" spans="2:9" ht="13.5" thickBot="1" x14ac:dyDescent="0.25">
      <c r="B13" s="2098" t="s">
        <v>160</v>
      </c>
      <c r="C13" s="2099"/>
      <c r="D13" s="542" t="s">
        <v>161</v>
      </c>
      <c r="E13" s="542" t="s">
        <v>161</v>
      </c>
      <c r="F13" s="542" t="s">
        <v>162</v>
      </c>
      <c r="G13" s="542" t="s">
        <v>162</v>
      </c>
      <c r="H13" s="542" t="s">
        <v>162</v>
      </c>
      <c r="I13" s="543" t="s">
        <v>162</v>
      </c>
    </row>
    <row r="14" spans="2:9" x14ac:dyDescent="0.2">
      <c r="B14" s="2040" t="s">
        <v>232</v>
      </c>
      <c r="C14" s="2041"/>
      <c r="D14" s="1709">
        <v>16432</v>
      </c>
      <c r="E14" s="1709">
        <v>16434</v>
      </c>
      <c r="F14" s="1709">
        <v>16550</v>
      </c>
      <c r="G14" s="1709">
        <v>16692</v>
      </c>
      <c r="H14" s="1709">
        <v>16846</v>
      </c>
      <c r="I14" s="1710">
        <v>17003</v>
      </c>
    </row>
    <row r="15" spans="2:9" ht="27" customHeight="1" x14ac:dyDescent="0.2">
      <c r="B15" s="2096" t="s">
        <v>1018</v>
      </c>
      <c r="C15" s="2097"/>
      <c r="D15" s="369">
        <f>+'App.2-JB_OM&amp;A_Cost _Drivers'!C15</f>
        <v>3571434</v>
      </c>
      <c r="E15" s="369">
        <f>+'App.2-JB_OM&amp;A_Cost _Drivers'!D43</f>
        <v>3741210</v>
      </c>
      <c r="F15" s="369">
        <f>+'App.2-JB_OM&amp;A_Cost _Drivers'!E43</f>
        <v>5045839</v>
      </c>
      <c r="G15" s="369">
        <f>+'App.2-JB_OM&amp;A_Cost _Drivers'!F43</f>
        <v>4011363</v>
      </c>
      <c r="H15" s="369">
        <f>+'App.2-JB_OM&amp;A_Cost _Drivers'!G43</f>
        <v>4457219</v>
      </c>
      <c r="I15" s="370">
        <f>+'App.2-JB_OM&amp;A_Cost _Drivers'!H43</f>
        <v>4634619.5990000004</v>
      </c>
    </row>
    <row r="16" spans="2:9" x14ac:dyDescent="0.2">
      <c r="B16" s="2092" t="s">
        <v>233</v>
      </c>
      <c r="C16" s="2093"/>
      <c r="D16" s="1457">
        <f t="shared" ref="D16:I16" si="0">IF(D14=0,"",D15/D14)</f>
        <v>217.34627555988317</v>
      </c>
      <c r="E16" s="513">
        <f t="shared" si="0"/>
        <v>227.65060240963857</v>
      </c>
      <c r="F16" s="513">
        <f t="shared" si="0"/>
        <v>304.88453172205436</v>
      </c>
      <c r="G16" s="513">
        <f t="shared" si="0"/>
        <v>240.31649892163909</v>
      </c>
      <c r="H16" s="513">
        <f t="shared" si="0"/>
        <v>264.58619256796868</v>
      </c>
      <c r="I16" s="1458">
        <f t="shared" si="0"/>
        <v>272.57658054460978</v>
      </c>
    </row>
    <row r="17" spans="2:9" x14ac:dyDescent="0.2">
      <c r="B17" s="2092" t="s">
        <v>1020</v>
      </c>
      <c r="C17" s="2093"/>
      <c r="D17" s="371"/>
      <c r="E17" s="371"/>
      <c r="F17" s="1711">
        <f>+'App.2-K_Employee Costs'!E16</f>
        <v>29.628205128205128</v>
      </c>
      <c r="G17" s="371">
        <f>+'App.2-K_Employee Costs'!F16</f>
        <v>26.75</v>
      </c>
      <c r="H17" s="371">
        <f>+'App.2-K_Employee Costs'!G16</f>
        <v>27.94</v>
      </c>
      <c r="I17" s="1471">
        <f>+'App.2-K_Employee Costs'!H16</f>
        <v>28.69</v>
      </c>
    </row>
    <row r="18" spans="2:9" x14ac:dyDescent="0.2">
      <c r="B18" s="2092" t="s">
        <v>1021</v>
      </c>
      <c r="C18" s="2093"/>
      <c r="D18" s="96" t="str">
        <f t="shared" ref="D18:I18" si="1">IF(D17=0,"",D14/D17)</f>
        <v/>
      </c>
      <c r="E18" s="96" t="str">
        <f t="shared" si="1"/>
        <v/>
      </c>
      <c r="F18" s="96">
        <f t="shared" si="1"/>
        <v>558.58935525746426</v>
      </c>
      <c r="G18" s="96">
        <f t="shared" si="1"/>
        <v>624</v>
      </c>
      <c r="H18" s="96">
        <f t="shared" si="1"/>
        <v>602.93486041517531</v>
      </c>
      <c r="I18" s="97">
        <f t="shared" si="1"/>
        <v>592.64552108748694</v>
      </c>
    </row>
    <row r="19" spans="2:9" ht="13.5" thickBot="1" x14ac:dyDescent="0.25">
      <c r="B19" s="2094" t="s">
        <v>1022</v>
      </c>
      <c r="C19" s="2095"/>
      <c r="D19" s="98" t="str">
        <f t="shared" ref="D19:I19" si="2">IF(D17=0,"",D15/D17)</f>
        <v/>
      </c>
      <c r="E19" s="98" t="str">
        <f t="shared" si="2"/>
        <v/>
      </c>
      <c r="F19" s="98">
        <f t="shared" si="2"/>
        <v>170305.25400259628</v>
      </c>
      <c r="G19" s="98">
        <f t="shared" si="2"/>
        <v>149957.49532710281</v>
      </c>
      <c r="H19" s="98">
        <f t="shared" si="2"/>
        <v>159528.2390837509</v>
      </c>
      <c r="I19" s="99">
        <f t="shared" si="2"/>
        <v>161541.28961310562</v>
      </c>
    </row>
    <row r="21" spans="2:9" x14ac:dyDescent="0.2">
      <c r="B21" s="100" t="s">
        <v>15</v>
      </c>
    </row>
    <row r="23" spans="2:9" ht="12.75" customHeight="1" x14ac:dyDescent="0.2">
      <c r="B23" s="372">
        <v>1</v>
      </c>
      <c r="C23" s="1724" t="s">
        <v>271</v>
      </c>
      <c r="D23" s="1724"/>
      <c r="E23" s="1724"/>
      <c r="F23" s="1724"/>
      <c r="G23" s="1724"/>
      <c r="H23" s="1724"/>
    </row>
    <row r="24" spans="2:9" x14ac:dyDescent="0.2">
      <c r="B24" s="362"/>
      <c r="C24" s="1724"/>
      <c r="D24" s="1724"/>
      <c r="E24" s="1724"/>
      <c r="F24" s="1724"/>
      <c r="G24" s="1724"/>
      <c r="H24" s="1724"/>
    </row>
    <row r="25" spans="2:9" x14ac:dyDescent="0.2">
      <c r="B25" s="362"/>
      <c r="C25" s="1724"/>
      <c r="D25" s="1724"/>
      <c r="E25" s="1724"/>
      <c r="F25" s="1724"/>
      <c r="G25" s="1724"/>
      <c r="H25" s="1724"/>
    </row>
    <row r="26" spans="2:9" x14ac:dyDescent="0.2">
      <c r="B26" s="362"/>
      <c r="C26" s="1724"/>
      <c r="D26" s="1724"/>
      <c r="E26" s="1724"/>
      <c r="F26" s="1724"/>
      <c r="G26" s="1724"/>
      <c r="H26" s="1724"/>
    </row>
    <row r="27" spans="2:9" x14ac:dyDescent="0.2">
      <c r="B27" s="372">
        <v>2</v>
      </c>
      <c r="C27" s="1722" t="s">
        <v>392</v>
      </c>
      <c r="D27" s="1722"/>
      <c r="E27" s="1722"/>
      <c r="F27" s="1722"/>
      <c r="G27" s="1722"/>
      <c r="H27" s="1722"/>
    </row>
    <row r="28" spans="2:9" x14ac:dyDescent="0.2">
      <c r="B28" s="372">
        <v>3</v>
      </c>
      <c r="C28" s="2006" t="s">
        <v>1023</v>
      </c>
      <c r="D28" s="1722"/>
      <c r="E28" s="1722"/>
      <c r="F28" s="1722"/>
      <c r="G28" s="1722"/>
      <c r="H28" s="1722"/>
    </row>
    <row r="29" spans="2:9" x14ac:dyDescent="0.2">
      <c r="B29" s="372">
        <v>4</v>
      </c>
      <c r="C29" s="2091" t="s">
        <v>1024</v>
      </c>
      <c r="D29" s="1749"/>
      <c r="E29" s="1749"/>
      <c r="F29" s="1749"/>
      <c r="G29" s="1749"/>
      <c r="H29" s="1749"/>
    </row>
    <row r="30" spans="2:9" x14ac:dyDescent="0.2">
      <c r="B30" s="1"/>
      <c r="C30" s="1749"/>
      <c r="D30" s="1749"/>
      <c r="E30" s="1749"/>
      <c r="F30" s="1749"/>
      <c r="G30" s="1749"/>
      <c r="H30" s="1749"/>
    </row>
  </sheetData>
  <mergeCells count="13">
    <mergeCell ref="B9:I9"/>
    <mergeCell ref="B10:I10"/>
    <mergeCell ref="C29:H30"/>
    <mergeCell ref="C23:H26"/>
    <mergeCell ref="C27:H27"/>
    <mergeCell ref="C28:H28"/>
    <mergeCell ref="B16:C16"/>
    <mergeCell ref="B17:C17"/>
    <mergeCell ref="B18:C18"/>
    <mergeCell ref="B19:C19"/>
    <mergeCell ref="B14:C14"/>
    <mergeCell ref="B15:C15"/>
    <mergeCell ref="B13:C13"/>
  </mergeCells>
  <phoneticPr fontId="11" type="noConversion"/>
  <dataValidations count="2">
    <dataValidation allowBlank="1" showInputMessage="1" showErrorMessage="1" promptTitle="Date Format" prompt="E.g:  &quot;August 1, 2011&quot;" sqref="I7"/>
    <dataValidation type="list" allowBlank="1" showInputMessage="1" showErrorMessage="1" sqref="D13:I13">
      <formula1>"CGAAP, MIFRS, USGAAP, ASPE"</formula1>
    </dataValidation>
  </dataValidations>
  <pageMargins left="0.75" right="0.75" top="1" bottom="1" header="0.5" footer="0.5"/>
  <pageSetup scale="8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N61"/>
  <sheetViews>
    <sheetView showGridLines="0" topLeftCell="A14" zoomScaleNormal="100" workbookViewId="0">
      <selection activeCell="K28" sqref="K28"/>
    </sheetView>
  </sheetViews>
  <sheetFormatPr defaultRowHeight="12.75" x14ac:dyDescent="0.2"/>
  <cols>
    <col min="1" max="2" width="4.140625" customWidth="1"/>
    <col min="3" max="3" width="49.7109375" customWidth="1"/>
    <col min="4" max="4" width="17.7109375" customWidth="1"/>
    <col min="5" max="9" width="13.7109375" customWidth="1"/>
    <col min="10" max="10" width="15" customWidth="1"/>
    <col min="11" max="11" width="12.85546875" customWidth="1"/>
    <col min="12" max="12" width="13.7109375" customWidth="1"/>
    <col min="13" max="13" width="10.7109375" customWidth="1"/>
    <col min="14" max="14" width="9.7109375" bestFit="1" customWidth="1"/>
  </cols>
  <sheetData>
    <row r="1" spans="2:13" x14ac:dyDescent="0.2">
      <c r="K1" s="278" t="s">
        <v>419</v>
      </c>
      <c r="L1" s="208" t="str">
        <f>EBNUMBER</f>
        <v>EB-2014-0113</v>
      </c>
    </row>
    <row r="2" spans="2:13" x14ac:dyDescent="0.2">
      <c r="K2" s="278" t="s">
        <v>420</v>
      </c>
      <c r="L2" s="209">
        <v>4</v>
      </c>
    </row>
    <row r="3" spans="2:13" x14ac:dyDescent="0.2">
      <c r="K3" s="278" t="s">
        <v>421</v>
      </c>
      <c r="L3" s="209">
        <v>1</v>
      </c>
    </row>
    <row r="4" spans="2:13" x14ac:dyDescent="0.2">
      <c r="K4" s="278" t="s">
        <v>422</v>
      </c>
      <c r="L4" s="209">
        <v>8</v>
      </c>
    </row>
    <row r="5" spans="2:13" x14ac:dyDescent="0.2">
      <c r="K5" s="278" t="s">
        <v>423</v>
      </c>
      <c r="L5" s="210" t="s">
        <v>2141</v>
      </c>
    </row>
    <row r="6" spans="2:13" x14ac:dyDescent="0.2">
      <c r="K6" s="278"/>
      <c r="L6" s="208"/>
    </row>
    <row r="7" spans="2:13" x14ac:dyDescent="0.2">
      <c r="K7" s="278" t="s">
        <v>424</v>
      </c>
      <c r="L7" s="1466">
        <v>42119</v>
      </c>
    </row>
    <row r="9" spans="2:13" ht="18" x14ac:dyDescent="0.25">
      <c r="B9" s="1746" t="s">
        <v>58</v>
      </c>
      <c r="C9" s="1746"/>
      <c r="D9" s="1746"/>
      <c r="E9" s="1746"/>
      <c r="F9" s="1746"/>
      <c r="G9" s="1746"/>
      <c r="H9" s="1746"/>
      <c r="I9" s="1746"/>
      <c r="J9" s="1746"/>
      <c r="K9" s="1746"/>
      <c r="L9" s="1746"/>
    </row>
    <row r="10" spans="2:13" ht="18" x14ac:dyDescent="0.25">
      <c r="B10" s="1746" t="s">
        <v>158</v>
      </c>
      <c r="C10" s="1746"/>
      <c r="D10" s="1746"/>
      <c r="E10" s="1746"/>
      <c r="F10" s="1746"/>
      <c r="G10" s="1746"/>
      <c r="H10" s="1746"/>
      <c r="I10" s="1746"/>
      <c r="J10" s="1746"/>
      <c r="K10" s="1746"/>
      <c r="L10" s="1746"/>
    </row>
    <row r="11" spans="2:13" x14ac:dyDescent="0.2">
      <c r="F11" s="432" t="s">
        <v>2063</v>
      </c>
    </row>
    <row r="12" spans="2:13" ht="13.5" thickBot="1" x14ac:dyDescent="0.25">
      <c r="F12" s="432" t="s">
        <v>2064</v>
      </c>
    </row>
    <row r="13" spans="2:13" ht="63.75" x14ac:dyDescent="0.2">
      <c r="B13" s="2100" t="s">
        <v>180</v>
      </c>
      <c r="C13" s="2101"/>
      <c r="D13" s="440" t="s">
        <v>181</v>
      </c>
      <c r="E13" s="440" t="s">
        <v>184</v>
      </c>
      <c r="F13" s="440" t="s">
        <v>145</v>
      </c>
      <c r="G13" s="139" t="str">
        <f>"Last Rebasing Year (" &amp; RebaseYear &amp; " Board Approved)"</f>
        <v>Last Rebasing Year (2011 Board Approved)</v>
      </c>
      <c r="H13" s="139" t="str">
        <f>"Most Current Actuals               Year " &amp; TestYear - 2</f>
        <v>Most Current Actuals               Year 2013</v>
      </c>
      <c r="I13" s="139" t="str">
        <f>TestYear -1 &amp; " Bridge Year"</f>
        <v>2014 Bridge Year</v>
      </c>
      <c r="J13" s="440" t="s">
        <v>182</v>
      </c>
      <c r="K13" s="139" t="str">
        <f>TestYear &amp; " Test Year"</f>
        <v>2015 Test Year</v>
      </c>
      <c r="L13" s="441" t="s">
        <v>182</v>
      </c>
    </row>
    <row r="14" spans="2:13" x14ac:dyDescent="0.2">
      <c r="B14" s="2102" t="s">
        <v>46</v>
      </c>
      <c r="C14" s="2103"/>
      <c r="D14" s="72" t="s">
        <v>47</v>
      </c>
      <c r="E14" s="72" t="s">
        <v>183</v>
      </c>
      <c r="F14" s="72" t="s">
        <v>48</v>
      </c>
      <c r="G14" s="72" t="s">
        <v>49</v>
      </c>
      <c r="H14" s="72" t="s">
        <v>185</v>
      </c>
      <c r="I14" s="72" t="s">
        <v>186</v>
      </c>
      <c r="J14" s="72" t="s">
        <v>188</v>
      </c>
      <c r="K14" s="72" t="s">
        <v>187</v>
      </c>
      <c r="L14" s="74" t="s">
        <v>189</v>
      </c>
    </row>
    <row r="15" spans="2:13" x14ac:dyDescent="0.2">
      <c r="B15" s="129">
        <v>1</v>
      </c>
      <c r="C15" s="73" t="s">
        <v>190</v>
      </c>
      <c r="D15" s="433">
        <v>5655</v>
      </c>
      <c r="E15" s="434"/>
      <c r="F15" s="432" t="s">
        <v>2063</v>
      </c>
      <c r="G15" s="434">
        <v>40000</v>
      </c>
      <c r="H15" s="434">
        <f>41432-1500</f>
        <v>39932</v>
      </c>
      <c r="I15" s="434">
        <v>43000</v>
      </c>
      <c r="J15" s="82">
        <f>IF(H15=0,"",(I15-H15)/H15)</f>
        <v>7.6830612040468801E-2</v>
      </c>
      <c r="K15" s="434">
        <v>45000</v>
      </c>
      <c r="L15" s="83">
        <f>IF(I15=0,"",(K15-I15)/I15)</f>
        <v>4.6511627906976744E-2</v>
      </c>
      <c r="M15" s="67"/>
    </row>
    <row r="16" spans="2:13" x14ac:dyDescent="0.2">
      <c r="B16" s="129">
        <v>2</v>
      </c>
      <c r="C16" s="73" t="s">
        <v>124</v>
      </c>
      <c r="D16" s="433"/>
      <c r="E16" s="434"/>
      <c r="F16" s="432"/>
      <c r="G16" s="434"/>
      <c r="H16" s="434"/>
      <c r="I16" s="434"/>
      <c r="J16" s="82" t="str">
        <f t="shared" ref="J16:J31" si="0">IF(H16=0,"",(I16-H16)/H16)</f>
        <v/>
      </c>
      <c r="K16" s="434"/>
      <c r="L16" s="83" t="str">
        <f t="shared" ref="L16:L31" si="1">IF(I16=0,"",(K16-I16)/I16)</f>
        <v/>
      </c>
      <c r="M16" s="67"/>
    </row>
    <row r="17" spans="2:14" x14ac:dyDescent="0.2">
      <c r="B17" s="129">
        <v>3</v>
      </c>
      <c r="C17" s="73" t="s">
        <v>191</v>
      </c>
      <c r="D17" s="433">
        <v>5655</v>
      </c>
      <c r="E17" s="434"/>
      <c r="F17" s="432" t="s">
        <v>2063</v>
      </c>
      <c r="G17" s="434"/>
      <c r="H17" s="434">
        <v>1500</v>
      </c>
      <c r="I17" s="434">
        <v>1500</v>
      </c>
      <c r="J17" s="82">
        <f t="shared" si="0"/>
        <v>0</v>
      </c>
      <c r="K17" s="434">
        <v>2000</v>
      </c>
      <c r="L17" s="83">
        <f t="shared" si="1"/>
        <v>0.33333333333333331</v>
      </c>
      <c r="M17" s="67"/>
    </row>
    <row r="18" spans="2:14" ht="12.75" customHeight="1" x14ac:dyDescent="0.2">
      <c r="B18" s="129">
        <v>4</v>
      </c>
      <c r="C18" s="73" t="s">
        <v>192</v>
      </c>
      <c r="D18" s="433"/>
      <c r="E18" s="434"/>
      <c r="F18" s="432"/>
      <c r="G18" s="434"/>
      <c r="H18" s="434"/>
      <c r="I18" s="434">
        <v>0</v>
      </c>
      <c r="J18" s="82" t="str">
        <f t="shared" si="0"/>
        <v/>
      </c>
      <c r="K18" s="434">
        <v>0</v>
      </c>
      <c r="L18" s="83" t="str">
        <f t="shared" si="1"/>
        <v/>
      </c>
      <c r="M18" s="67"/>
    </row>
    <row r="19" spans="2:14" x14ac:dyDescent="0.2">
      <c r="B19" s="129">
        <v>5</v>
      </c>
      <c r="C19" s="73" t="s">
        <v>193</v>
      </c>
      <c r="D19" s="433">
        <v>5655</v>
      </c>
      <c r="E19" s="434"/>
      <c r="F19" s="432" t="s">
        <v>2064</v>
      </c>
      <c r="G19" s="434">
        <v>100000</v>
      </c>
      <c r="H19" s="434"/>
      <c r="I19" s="434">
        <v>125000</v>
      </c>
      <c r="J19" s="82" t="str">
        <f t="shared" si="0"/>
        <v/>
      </c>
      <c r="K19" s="434"/>
      <c r="L19" s="83">
        <f t="shared" si="1"/>
        <v>-1</v>
      </c>
      <c r="M19" s="67"/>
    </row>
    <row r="20" spans="2:14" x14ac:dyDescent="0.2">
      <c r="B20" s="129" t="s">
        <v>2132</v>
      </c>
      <c r="C20" s="73" t="s">
        <v>194</v>
      </c>
      <c r="D20" s="433">
        <v>5655</v>
      </c>
      <c r="E20" s="434"/>
      <c r="F20" s="432" t="s">
        <v>2064</v>
      </c>
      <c r="G20" s="434">
        <f>62400+12000+158000+5000</f>
        <v>237400</v>
      </c>
      <c r="H20" s="434">
        <v>77000</v>
      </c>
      <c r="I20" s="434">
        <v>143000</v>
      </c>
      <c r="J20" s="82">
        <f t="shared" si="0"/>
        <v>0.8571428571428571</v>
      </c>
      <c r="K20" s="434"/>
      <c r="L20" s="83">
        <f t="shared" si="1"/>
        <v>-1</v>
      </c>
      <c r="M20" s="67"/>
    </row>
    <row r="21" spans="2:14" x14ac:dyDescent="0.2">
      <c r="B21" s="129" t="s">
        <v>2131</v>
      </c>
      <c r="C21" s="73" t="s">
        <v>194</v>
      </c>
      <c r="D21" s="433">
        <v>5655</v>
      </c>
      <c r="E21" s="434"/>
      <c r="F21" s="432" t="s">
        <v>2063</v>
      </c>
      <c r="G21" s="434"/>
      <c r="H21" s="434">
        <v>12684</v>
      </c>
      <c r="I21" s="434">
        <v>6024</v>
      </c>
      <c r="J21" s="82">
        <f t="shared" ref="J21" si="2">IF(H21=0,"",(I21-H21)/H21)</f>
        <v>-0.52507095553453165</v>
      </c>
      <c r="K21" s="434">
        <v>15000</v>
      </c>
      <c r="L21" s="83">
        <f t="shared" ref="L21" si="3">IF(I21=0,"",(K21-I21)/I21)</f>
        <v>1.4900398406374502</v>
      </c>
      <c r="M21" s="67"/>
    </row>
    <row r="22" spans="2:14" ht="38.25" x14ac:dyDescent="0.2">
      <c r="B22" s="129">
        <v>7</v>
      </c>
      <c r="C22" s="954" t="s">
        <v>2143</v>
      </c>
      <c r="D22" s="433"/>
      <c r="E22" s="434"/>
      <c r="F22" s="432" t="s">
        <v>2063</v>
      </c>
      <c r="G22" s="434">
        <v>32796</v>
      </c>
      <c r="H22" s="434"/>
      <c r="I22" s="434">
        <f>+H22</f>
        <v>0</v>
      </c>
      <c r="J22" s="82" t="str">
        <f t="shared" si="0"/>
        <v/>
      </c>
      <c r="K22" s="434">
        <f>178675-172500+21500</f>
        <v>27675</v>
      </c>
      <c r="L22" s="83" t="str">
        <f t="shared" si="1"/>
        <v/>
      </c>
      <c r="M22" s="67"/>
    </row>
    <row r="23" spans="2:14" ht="26.25" customHeight="1" x14ac:dyDescent="0.2">
      <c r="B23" s="129" t="s">
        <v>2135</v>
      </c>
      <c r="C23" s="954" t="s">
        <v>2136</v>
      </c>
      <c r="D23" s="433">
        <v>5655</v>
      </c>
      <c r="E23" s="434"/>
      <c r="F23" s="432" t="s">
        <v>2063</v>
      </c>
      <c r="G23" s="434"/>
      <c r="H23" s="434">
        <v>545</v>
      </c>
      <c r="I23" s="434">
        <v>1000</v>
      </c>
      <c r="J23" s="82">
        <f t="shared" si="0"/>
        <v>0.83486238532110091</v>
      </c>
      <c r="K23" s="434">
        <v>1000</v>
      </c>
      <c r="L23" s="83">
        <f t="shared" si="1"/>
        <v>0</v>
      </c>
      <c r="M23" s="67"/>
    </row>
    <row r="24" spans="2:14" ht="37.5" customHeight="1" x14ac:dyDescent="0.2">
      <c r="B24" s="129" t="s">
        <v>2138</v>
      </c>
      <c r="C24" s="954" t="s">
        <v>2137</v>
      </c>
      <c r="D24" s="433">
        <v>5655</v>
      </c>
      <c r="E24" s="434"/>
      <c r="F24" s="432" t="s">
        <v>2064</v>
      </c>
      <c r="G24" s="434"/>
      <c r="H24" s="434">
        <v>3000</v>
      </c>
      <c r="I24" s="434">
        <v>7000</v>
      </c>
      <c r="J24" s="82">
        <f t="shared" ref="J24" si="4">IF(H24=0,"",(I24-H24)/H24)</f>
        <v>1.3333333333333333</v>
      </c>
      <c r="K24" s="434"/>
      <c r="L24" s="83">
        <f t="shared" ref="L24" si="5">IF(I24=0,"",(K24-I24)/I24)</f>
        <v>-1</v>
      </c>
      <c r="M24" s="67"/>
    </row>
    <row r="25" spans="2:14" ht="13.5" customHeight="1" x14ac:dyDescent="0.2">
      <c r="B25" s="129">
        <v>9</v>
      </c>
      <c r="C25" s="73" t="s">
        <v>195</v>
      </c>
      <c r="D25" s="433"/>
      <c r="E25" s="434"/>
      <c r="F25" s="432"/>
      <c r="G25" s="434"/>
      <c r="H25" s="434"/>
      <c r="I25" s="434"/>
      <c r="J25" s="82" t="str">
        <f t="shared" si="0"/>
        <v/>
      </c>
      <c r="K25" s="434"/>
      <c r="L25" s="83" t="str">
        <f t="shared" si="1"/>
        <v/>
      </c>
      <c r="M25" s="67"/>
    </row>
    <row r="26" spans="2:14" x14ac:dyDescent="0.2">
      <c r="B26" s="129">
        <v>10</v>
      </c>
      <c r="C26" s="73" t="s">
        <v>196</v>
      </c>
      <c r="D26" s="433"/>
      <c r="E26" s="434"/>
      <c r="F26" s="432"/>
      <c r="G26" s="434"/>
      <c r="H26" s="434"/>
      <c r="I26" s="434"/>
      <c r="J26" s="82" t="str">
        <f t="shared" si="0"/>
        <v/>
      </c>
      <c r="K26" s="434"/>
      <c r="L26" s="83" t="str">
        <f t="shared" si="1"/>
        <v/>
      </c>
      <c r="M26" s="67"/>
    </row>
    <row r="27" spans="2:14" ht="13.5" thickBot="1" x14ac:dyDescent="0.25">
      <c r="B27" s="130" t="s">
        <v>2133</v>
      </c>
      <c r="C27" s="75" t="s">
        <v>197</v>
      </c>
      <c r="D27" s="435">
        <v>5655</v>
      </c>
      <c r="E27" s="436"/>
      <c r="F27" s="432" t="s">
        <v>2063</v>
      </c>
      <c r="G27" s="436"/>
      <c r="H27" s="436">
        <v>190</v>
      </c>
      <c r="I27" s="436"/>
      <c r="J27" s="124">
        <f t="shared" ref="J27" si="6">IF(H27=0,"",(I27-H27)/H27)</f>
        <v>-1</v>
      </c>
      <c r="K27" s="436">
        <v>2000</v>
      </c>
      <c r="L27" s="125" t="str">
        <f t="shared" ref="L27" si="7">IF(I27=0,"",(K27-I27)/I27)</f>
        <v/>
      </c>
      <c r="M27" s="67"/>
    </row>
    <row r="28" spans="2:14" ht="13.5" thickBot="1" x14ac:dyDescent="0.25">
      <c r="B28" s="130" t="s">
        <v>2134</v>
      </c>
      <c r="C28" s="75" t="s">
        <v>197</v>
      </c>
      <c r="D28" s="435">
        <v>5655</v>
      </c>
      <c r="E28" s="436"/>
      <c r="F28" s="432" t="s">
        <v>2064</v>
      </c>
      <c r="G28" s="436">
        <v>75000</v>
      </c>
      <c r="H28" s="436"/>
      <c r="I28" s="436">
        <v>75000</v>
      </c>
      <c r="J28" s="124" t="str">
        <f t="shared" si="0"/>
        <v/>
      </c>
      <c r="K28" s="436"/>
      <c r="L28" s="125">
        <f t="shared" si="1"/>
        <v>-1</v>
      </c>
      <c r="M28" s="67"/>
    </row>
    <row r="29" spans="2:14" ht="14.25" x14ac:dyDescent="0.2">
      <c r="B29" s="131">
        <v>12</v>
      </c>
      <c r="C29" s="80" t="s">
        <v>146</v>
      </c>
      <c r="D29" s="437"/>
      <c r="E29" s="81">
        <f>SUMIF($F15:$F28,$F11,E15:E28)</f>
        <v>0</v>
      </c>
      <c r="F29" s="437"/>
      <c r="G29" s="81">
        <f>SUMIF($F15:$F28,$F11,G15:G28)</f>
        <v>72796</v>
      </c>
      <c r="H29" s="81">
        <f>SUMIF($F15:$F28,$F11,H15:H28)</f>
        <v>54851</v>
      </c>
      <c r="I29" s="81">
        <f>SUMIF($F15:$F28,$F11,I15:I28)</f>
        <v>51524</v>
      </c>
      <c r="J29" s="84">
        <f t="shared" si="0"/>
        <v>-6.0655229622067056E-2</v>
      </c>
      <c r="K29" s="81">
        <f>SUMIF($F15:$F28,$F11,K15:K28)</f>
        <v>92675</v>
      </c>
      <c r="L29" s="87">
        <f t="shared" si="1"/>
        <v>0.79867634500426987</v>
      </c>
      <c r="M29" s="67"/>
    </row>
    <row r="30" spans="2:14" ht="15" thickBot="1" x14ac:dyDescent="0.25">
      <c r="B30" s="132">
        <v>13</v>
      </c>
      <c r="C30" s="78" t="s">
        <v>147</v>
      </c>
      <c r="D30" s="438"/>
      <c r="E30" s="79">
        <f>SUMIF($F15:$F28,$F12,E15:E28)</f>
        <v>0</v>
      </c>
      <c r="F30" s="438"/>
      <c r="G30" s="79">
        <f>SUMIF($F15:$F28,$F12,G15:G28)</f>
        <v>412400</v>
      </c>
      <c r="H30" s="79">
        <f>SUMIF($F15:$F28,$F12,H15:H28)</f>
        <v>80000</v>
      </c>
      <c r="I30" s="79">
        <f>SUMIF($F15:$F28,$F12,I15:I28)</f>
        <v>350000</v>
      </c>
      <c r="J30" s="85">
        <f t="shared" si="0"/>
        <v>3.375</v>
      </c>
      <c r="K30" s="79">
        <f>SUMIF($F15:$F28,$F12,K15:K28)</f>
        <v>0</v>
      </c>
      <c r="L30" s="88">
        <f t="shared" si="1"/>
        <v>-1</v>
      </c>
      <c r="M30" s="67"/>
    </row>
    <row r="31" spans="2:14" ht="14.25" thickTop="1" thickBot="1" x14ac:dyDescent="0.25">
      <c r="B31" s="133">
        <v>14</v>
      </c>
      <c r="C31" s="76" t="s">
        <v>413</v>
      </c>
      <c r="D31" s="439"/>
      <c r="E31" s="77">
        <f>E29+E30</f>
        <v>0</v>
      </c>
      <c r="F31" s="439"/>
      <c r="G31" s="77">
        <f>G29+G30</f>
        <v>485196</v>
      </c>
      <c r="H31" s="77">
        <f>H29+H30</f>
        <v>134851</v>
      </c>
      <c r="I31" s="77">
        <f>I29+I30</f>
        <v>401524</v>
      </c>
      <c r="J31" s="86">
        <f t="shared" si="0"/>
        <v>1.9775381717599425</v>
      </c>
      <c r="K31" s="77">
        <f>K29+K30</f>
        <v>92675</v>
      </c>
      <c r="L31" s="89">
        <f t="shared" si="1"/>
        <v>-0.76919187894123386</v>
      </c>
      <c r="M31" s="67"/>
      <c r="N31">
        <f>+K30/5</f>
        <v>0</v>
      </c>
    </row>
    <row r="32" spans="2:14" x14ac:dyDescent="0.2">
      <c r="B32" s="1714"/>
      <c r="C32" s="1715"/>
      <c r="G32" s="1534"/>
      <c r="H32" s="1534"/>
      <c r="I32" s="1534"/>
      <c r="J32" s="1534"/>
      <c r="K32" s="1534"/>
      <c r="L32" s="1716"/>
      <c r="M32" s="67"/>
    </row>
    <row r="33" spans="2:14" x14ac:dyDescent="0.2">
      <c r="B33" s="1714"/>
      <c r="C33" s="1715"/>
      <c r="D33" s="1715"/>
      <c r="E33" s="1715"/>
      <c r="F33" s="1715"/>
      <c r="G33" s="1715"/>
      <c r="H33" s="1715"/>
      <c r="I33" s="1715"/>
      <c r="J33" s="1716"/>
      <c r="K33" s="1715"/>
      <c r="L33" s="1716"/>
      <c r="M33" s="67"/>
    </row>
    <row r="34" spans="2:14" x14ac:dyDescent="0.2">
      <c r="B34" s="1714"/>
      <c r="C34" s="1715"/>
      <c r="D34" s="1715"/>
      <c r="E34" s="1715"/>
      <c r="F34" s="1715"/>
      <c r="G34" s="1715"/>
      <c r="H34" s="1715"/>
      <c r="I34" s="1715"/>
      <c r="J34" s="1716"/>
      <c r="K34" s="1715"/>
      <c r="L34" s="1716"/>
      <c r="M34" s="67"/>
    </row>
    <row r="35" spans="2:14" x14ac:dyDescent="0.2">
      <c r="G35" s="1534"/>
      <c r="H35" s="1534"/>
      <c r="I35" s="1534"/>
      <c r="J35" s="1534"/>
      <c r="K35" s="1534"/>
      <c r="N35" s="1454">
        <f>+N31+K29</f>
        <v>92675</v>
      </c>
    </row>
    <row r="36" spans="2:14" x14ac:dyDescent="0.2">
      <c r="G36" s="1468"/>
      <c r="H36" s="1468"/>
      <c r="I36" s="1468"/>
      <c r="K36" s="1468"/>
    </row>
    <row r="37" spans="2:14" x14ac:dyDescent="0.2">
      <c r="B37" s="14" t="s">
        <v>1026</v>
      </c>
      <c r="K37" s="1454"/>
    </row>
    <row r="38" spans="2:14" ht="13.5" thickBot="1" x14ac:dyDescent="0.25">
      <c r="K38" s="1454"/>
    </row>
    <row r="39" spans="2:14" ht="26.25" thickBot="1" x14ac:dyDescent="0.25">
      <c r="D39" s="1412" t="s">
        <v>349</v>
      </c>
      <c r="E39" s="1412" t="str">
        <f>I13</f>
        <v>2014 Bridge Year</v>
      </c>
      <c r="F39" s="1412" t="str">
        <f>K13</f>
        <v>2015 Test Year</v>
      </c>
    </row>
    <row r="40" spans="2:14" x14ac:dyDescent="0.2">
      <c r="B40" s="442">
        <v>4</v>
      </c>
      <c r="C40" s="953" t="s">
        <v>1030</v>
      </c>
      <c r="D40" s="444"/>
      <c r="E40" s="444"/>
      <c r="F40" s="444"/>
    </row>
    <row r="41" spans="2:14" x14ac:dyDescent="0.2">
      <c r="B41" s="129">
        <v>5</v>
      </c>
      <c r="C41" s="954" t="s">
        <v>1031</v>
      </c>
      <c r="D41" s="1531">
        <v>0</v>
      </c>
      <c r="E41" s="1531">
        <v>125000</v>
      </c>
      <c r="F41" s="1531">
        <v>0</v>
      </c>
      <c r="K41" s="1454"/>
    </row>
    <row r="42" spans="2:14" x14ac:dyDescent="0.2">
      <c r="B42" s="129">
        <v>6</v>
      </c>
      <c r="C42" s="952" t="s">
        <v>1029</v>
      </c>
      <c r="D42" s="1532">
        <f>9000+16000+52000</f>
        <v>77000</v>
      </c>
      <c r="E42" s="1532">
        <f>220000-D42</f>
        <v>143000</v>
      </c>
      <c r="F42" s="1532">
        <v>0</v>
      </c>
    </row>
    <row r="43" spans="2:14" ht="26.25" customHeight="1" x14ac:dyDescent="0.2">
      <c r="B43" s="129">
        <v>7</v>
      </c>
      <c r="C43" s="952" t="s">
        <v>1027</v>
      </c>
      <c r="D43" s="1532"/>
      <c r="E43" s="1532">
        <v>0</v>
      </c>
      <c r="F43" s="1532"/>
    </row>
    <row r="44" spans="2:14" ht="27" customHeight="1" x14ac:dyDescent="0.2">
      <c r="B44" s="129">
        <v>8</v>
      </c>
      <c r="C44" s="952" t="s">
        <v>1028</v>
      </c>
      <c r="D44" s="1532">
        <v>3000</v>
      </c>
      <c r="E44" s="1532">
        <v>7000</v>
      </c>
      <c r="F44" s="1532"/>
    </row>
    <row r="45" spans="2:14" ht="13.5" thickBot="1" x14ac:dyDescent="0.25">
      <c r="B45" s="130">
        <v>11</v>
      </c>
      <c r="C45" s="443" t="s">
        <v>197</v>
      </c>
      <c r="D45" s="1533"/>
      <c r="E45" s="1533">
        <v>75000</v>
      </c>
      <c r="F45" s="1533"/>
    </row>
    <row r="48" spans="2:14" ht="14.25" x14ac:dyDescent="0.2">
      <c r="B48" s="134" t="s">
        <v>144</v>
      </c>
      <c r="C48" t="s">
        <v>200</v>
      </c>
    </row>
    <row r="49" spans="2:11" ht="14.25" x14ac:dyDescent="0.2">
      <c r="B49" s="134" t="s">
        <v>148</v>
      </c>
      <c r="C49" t="s">
        <v>201</v>
      </c>
    </row>
    <row r="50" spans="2:11" ht="14.25" x14ac:dyDescent="0.2">
      <c r="B50" s="134" t="s">
        <v>149</v>
      </c>
      <c r="C50" t="s">
        <v>198</v>
      </c>
    </row>
    <row r="51" spans="2:11" ht="14.25" x14ac:dyDescent="0.2">
      <c r="B51" s="134" t="s">
        <v>150</v>
      </c>
      <c r="C51" t="s">
        <v>199</v>
      </c>
    </row>
    <row r="57" spans="2:11" x14ac:dyDescent="0.2">
      <c r="J57" s="120" t="s">
        <v>2128</v>
      </c>
      <c r="K57">
        <f>20000+50000+30000</f>
        <v>100000</v>
      </c>
    </row>
    <row r="58" spans="2:11" x14ac:dyDescent="0.2">
      <c r="J58" s="120" t="s">
        <v>2129</v>
      </c>
      <c r="K58">
        <v>55000</v>
      </c>
    </row>
    <row r="59" spans="2:11" x14ac:dyDescent="0.2">
      <c r="J59" s="120" t="s">
        <v>2130</v>
      </c>
      <c r="K59">
        <v>65000</v>
      </c>
    </row>
    <row r="60" spans="2:11" x14ac:dyDescent="0.2">
      <c r="K60">
        <f>+K59+K58+K57</f>
        <v>220000</v>
      </c>
    </row>
    <row r="61" spans="2:11" x14ac:dyDescent="0.2">
      <c r="K61">
        <f>+K60/5</f>
        <v>44000</v>
      </c>
    </row>
  </sheetData>
  <mergeCells count="4">
    <mergeCell ref="B13:C13"/>
    <mergeCell ref="B14:C14"/>
    <mergeCell ref="B9:L9"/>
    <mergeCell ref="B10:L10"/>
  </mergeCells>
  <phoneticPr fontId="11" type="noConversion"/>
  <dataValidations count="2">
    <dataValidation type="list" allowBlank="1" showInputMessage="1" showErrorMessage="1" prompt="Please identify costs as One-time or ongoing by selecting from the drop-down list." sqref="F11:F12 F15:F28">
      <formula1>"One-Time, On-Going"</formula1>
    </dataValidation>
    <dataValidation allowBlank="1" showInputMessage="1" showErrorMessage="1" promptTitle="Date Format" prompt="E.g:  &quot;August 1, 2011&quot;" sqref="L7"/>
  </dataValidations>
  <pageMargins left="0.75" right="0.75" top="1" bottom="1" header="0.5" footer="0.5"/>
  <pageSetup scale="61"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54"/>
  <sheetViews>
    <sheetView showGridLines="0" topLeftCell="A7" zoomScaleNormal="100" workbookViewId="0">
      <selection activeCell="G49" sqref="G49"/>
    </sheetView>
  </sheetViews>
  <sheetFormatPr defaultRowHeight="12.75" x14ac:dyDescent="0.2"/>
  <cols>
    <col min="1" max="2" width="20.7109375" customWidth="1"/>
    <col min="3" max="3" width="15.7109375" customWidth="1"/>
    <col min="4" max="4" width="15.85546875" customWidth="1"/>
    <col min="5" max="5" width="14.85546875" customWidth="1"/>
    <col min="6" max="6" width="13.7109375" customWidth="1"/>
    <col min="7" max="7" width="17.28515625" customWidth="1"/>
  </cols>
  <sheetData>
    <row r="1" spans="1:7" x14ac:dyDescent="0.2">
      <c r="F1" s="278" t="s">
        <v>419</v>
      </c>
      <c r="G1" s="208" t="str">
        <f>EBNUMBER</f>
        <v>EB-2014-0113</v>
      </c>
    </row>
    <row r="2" spans="1:7" x14ac:dyDescent="0.2">
      <c r="F2" s="278" t="s">
        <v>420</v>
      </c>
      <c r="G2" s="209">
        <v>4</v>
      </c>
    </row>
    <row r="3" spans="1:7" x14ac:dyDescent="0.2">
      <c r="F3" s="278" t="s">
        <v>421</v>
      </c>
      <c r="G3" s="209">
        <v>2</v>
      </c>
    </row>
    <row r="4" spans="1:7" x14ac:dyDescent="0.2">
      <c r="F4" s="278" t="s">
        <v>422</v>
      </c>
      <c r="G4" s="209">
        <v>2</v>
      </c>
    </row>
    <row r="5" spans="1:7" x14ac:dyDescent="0.2">
      <c r="F5" s="278" t="s">
        <v>423</v>
      </c>
      <c r="G5" s="210"/>
    </row>
    <row r="6" spans="1:7" x14ac:dyDescent="0.2">
      <c r="F6" s="278"/>
      <c r="G6" s="208"/>
    </row>
    <row r="7" spans="1:7" x14ac:dyDescent="0.2">
      <c r="F7" s="278" t="s">
        <v>424</v>
      </c>
      <c r="G7" s="1466">
        <v>42119</v>
      </c>
    </row>
    <row r="9" spans="1:7" ht="18" x14ac:dyDescent="0.25">
      <c r="A9" s="1747" t="s">
        <v>59</v>
      </c>
      <c r="B9" s="1747"/>
      <c r="C9" s="1747"/>
      <c r="D9" s="1747"/>
      <c r="E9" s="1747"/>
      <c r="F9" s="1747"/>
      <c r="G9" s="203"/>
    </row>
    <row r="10" spans="1:7" ht="18" x14ac:dyDescent="0.25">
      <c r="A10" s="1747" t="s">
        <v>351</v>
      </c>
      <c r="B10" s="1747"/>
      <c r="C10" s="1747"/>
      <c r="D10" s="1747"/>
      <c r="E10" s="1747"/>
      <c r="F10" s="1747"/>
      <c r="G10" s="203"/>
    </row>
    <row r="12" spans="1:7" x14ac:dyDescent="0.2">
      <c r="B12" s="101" t="s">
        <v>51</v>
      </c>
      <c r="C12" s="445">
        <v>2011</v>
      </c>
      <c r="G12" t="s">
        <v>2156</v>
      </c>
    </row>
    <row r="13" spans="1:7" x14ac:dyDescent="0.2">
      <c r="C13" s="101"/>
      <c r="D13" s="171"/>
    </row>
    <row r="14" spans="1:7" ht="15.75" x14ac:dyDescent="0.25">
      <c r="A14" s="2106" t="s">
        <v>354</v>
      </c>
      <c r="B14" s="2106"/>
      <c r="C14" s="2106"/>
      <c r="D14" s="2106"/>
      <c r="E14" s="2106"/>
      <c r="F14" s="2106"/>
    </row>
    <row r="15" spans="1:7" ht="13.5" thickBot="1" x14ac:dyDescent="0.25"/>
    <row r="16" spans="1:7" ht="13.5" customHeight="1" x14ac:dyDescent="0.2">
      <c r="A16" s="2115" t="s">
        <v>235</v>
      </c>
      <c r="B16" s="2116"/>
      <c r="C16" s="2112" t="s">
        <v>238</v>
      </c>
      <c r="D16" s="2112" t="s">
        <v>1032</v>
      </c>
      <c r="E16" s="2117" t="s">
        <v>239</v>
      </c>
      <c r="F16" s="2117" t="s">
        <v>240</v>
      </c>
      <c r="G16" s="2119"/>
    </row>
    <row r="17" spans="1:7" ht="17.25" customHeight="1" x14ac:dyDescent="0.2">
      <c r="A17" s="2108" t="s">
        <v>236</v>
      </c>
      <c r="B17" s="2110" t="s">
        <v>237</v>
      </c>
      <c r="C17" s="2113"/>
      <c r="D17" s="2113"/>
      <c r="E17" s="2118"/>
      <c r="F17" s="2118"/>
      <c r="G17" s="2119"/>
    </row>
    <row r="18" spans="1:7" x14ac:dyDescent="0.2">
      <c r="A18" s="2109"/>
      <c r="B18" s="2111"/>
      <c r="C18" s="2114"/>
      <c r="D18" s="2114"/>
      <c r="E18" s="126" t="s">
        <v>229</v>
      </c>
      <c r="F18" s="126" t="s">
        <v>229</v>
      </c>
      <c r="G18" s="172"/>
    </row>
    <row r="19" spans="1:7" x14ac:dyDescent="0.2">
      <c r="A19" s="1442" t="s">
        <v>2052</v>
      </c>
      <c r="B19" s="1503" t="s">
        <v>2053</v>
      </c>
      <c r="C19" s="205"/>
      <c r="D19" s="205"/>
      <c r="E19" s="205"/>
      <c r="F19" s="205"/>
      <c r="G19" s="173"/>
    </row>
    <row r="20" spans="1:7" x14ac:dyDescent="0.2">
      <c r="A20" s="364"/>
      <c r="B20" s="205"/>
      <c r="C20" s="205"/>
      <c r="D20" s="205"/>
      <c r="E20" s="205"/>
      <c r="F20" s="205"/>
      <c r="G20" s="173"/>
    </row>
    <row r="21" spans="1:7" x14ac:dyDescent="0.2">
      <c r="A21" s="364"/>
      <c r="B21" s="205"/>
      <c r="C21" s="205"/>
      <c r="D21" s="205"/>
      <c r="E21" s="205"/>
      <c r="F21" s="205"/>
      <c r="G21" s="173"/>
    </row>
    <row r="22" spans="1:7" x14ac:dyDescent="0.2">
      <c r="A22" s="364"/>
      <c r="B22" s="205"/>
      <c r="C22" s="205"/>
      <c r="D22" s="205"/>
      <c r="E22" s="205"/>
      <c r="F22" s="205"/>
      <c r="G22" s="173"/>
    </row>
    <row r="23" spans="1:7" x14ac:dyDescent="0.2">
      <c r="A23" s="364"/>
      <c r="B23" s="205"/>
      <c r="C23" s="205"/>
      <c r="D23" s="205"/>
      <c r="E23" s="205"/>
      <c r="F23" s="205"/>
      <c r="G23" s="173"/>
    </row>
    <row r="24" spans="1:7" x14ac:dyDescent="0.2">
      <c r="A24" s="364"/>
      <c r="B24" s="205"/>
      <c r="C24" s="205"/>
      <c r="D24" s="205"/>
      <c r="E24" s="205"/>
      <c r="F24" s="205"/>
      <c r="G24" s="173"/>
    </row>
    <row r="25" spans="1:7" x14ac:dyDescent="0.2">
      <c r="A25" s="364"/>
      <c r="B25" s="205"/>
      <c r="C25" s="205"/>
      <c r="D25" s="205"/>
      <c r="E25" s="205"/>
      <c r="F25" s="205"/>
      <c r="G25" s="173"/>
    </row>
    <row r="26" spans="1:7" ht="13.5" thickBot="1" x14ac:dyDescent="0.25">
      <c r="A26" s="446"/>
      <c r="B26" s="447"/>
      <c r="C26" s="447"/>
      <c r="D26" s="447"/>
      <c r="E26" s="447"/>
      <c r="F26" s="447"/>
      <c r="G26" s="173"/>
    </row>
    <row r="28" spans="1:7" ht="15.75" x14ac:dyDescent="0.25">
      <c r="A28" s="2106" t="s">
        <v>353</v>
      </c>
      <c r="B28" s="2106"/>
      <c r="C28" s="2106"/>
      <c r="D28" s="2106"/>
      <c r="E28" s="2106"/>
      <c r="F28" s="2106"/>
    </row>
    <row r="29" spans="1:7" ht="13.5" thickBot="1" x14ac:dyDescent="0.25"/>
    <row r="30" spans="1:7" ht="13.5" customHeight="1" x14ac:dyDescent="0.2">
      <c r="A30" s="2115" t="s">
        <v>235</v>
      </c>
      <c r="B30" s="2116"/>
      <c r="C30" s="2120" t="s">
        <v>238</v>
      </c>
      <c r="D30" s="2120" t="s">
        <v>1032</v>
      </c>
      <c r="E30" s="2117" t="s">
        <v>352</v>
      </c>
      <c r="F30" s="2123" t="s">
        <v>355</v>
      </c>
    </row>
    <row r="31" spans="1:7" ht="17.25" customHeight="1" x14ac:dyDescent="0.2">
      <c r="A31" s="2125" t="s">
        <v>236</v>
      </c>
      <c r="B31" s="2127" t="s">
        <v>237</v>
      </c>
      <c r="C31" s="2121"/>
      <c r="D31" s="2121"/>
      <c r="E31" s="2118"/>
      <c r="F31" s="2124"/>
    </row>
    <row r="32" spans="1:7" x14ac:dyDescent="0.2">
      <c r="A32" s="2126"/>
      <c r="B32" s="2128"/>
      <c r="C32" s="2122"/>
      <c r="D32" s="2122"/>
      <c r="E32" s="126" t="s">
        <v>230</v>
      </c>
      <c r="F32" s="137" t="s">
        <v>229</v>
      </c>
    </row>
    <row r="33" spans="1:7" x14ac:dyDescent="0.2">
      <c r="A33" s="448" t="s">
        <v>356</v>
      </c>
      <c r="B33" s="449" t="s">
        <v>357</v>
      </c>
      <c r="C33" s="205"/>
      <c r="D33" s="205"/>
      <c r="E33" s="205"/>
      <c r="F33" s="345"/>
    </row>
    <row r="34" spans="1:7" x14ac:dyDescent="0.2">
      <c r="A34" s="364"/>
      <c r="B34" s="205"/>
      <c r="C34" s="205"/>
      <c r="D34" s="205"/>
      <c r="E34" s="205"/>
      <c r="F34" s="345"/>
    </row>
    <row r="35" spans="1:7" x14ac:dyDescent="0.2">
      <c r="A35" s="364"/>
      <c r="B35" s="205"/>
      <c r="C35" s="205"/>
      <c r="D35" s="205"/>
      <c r="E35" s="205"/>
      <c r="F35" s="345"/>
    </row>
    <row r="36" spans="1:7" x14ac:dyDescent="0.2">
      <c r="A36" s="364"/>
      <c r="B36" s="205"/>
      <c r="C36" s="205"/>
      <c r="D36" s="205"/>
      <c r="E36" s="205"/>
      <c r="F36" s="345"/>
    </row>
    <row r="37" spans="1:7" x14ac:dyDescent="0.2">
      <c r="A37" s="364"/>
      <c r="B37" s="205"/>
      <c r="C37" s="205"/>
      <c r="D37" s="205"/>
      <c r="E37" s="205"/>
      <c r="F37" s="345"/>
    </row>
    <row r="38" spans="1:7" x14ac:dyDescent="0.2">
      <c r="A38" s="364"/>
      <c r="B38" s="205"/>
      <c r="C38" s="205"/>
      <c r="D38" s="205"/>
      <c r="E38" s="205"/>
      <c r="F38" s="345"/>
    </row>
    <row r="39" spans="1:7" x14ac:dyDescent="0.2">
      <c r="A39" s="364"/>
      <c r="B39" s="205"/>
      <c r="C39" s="205"/>
      <c r="D39" s="205"/>
      <c r="E39" s="205"/>
      <c r="F39" s="345"/>
    </row>
    <row r="40" spans="1:7" ht="13.5" thickBot="1" x14ac:dyDescent="0.25">
      <c r="A40" s="446"/>
      <c r="B40" s="447"/>
      <c r="C40" s="447"/>
      <c r="D40" s="447"/>
      <c r="E40" s="447"/>
      <c r="F40" s="450"/>
    </row>
    <row r="42" spans="1:7" ht="18" customHeight="1" x14ac:dyDescent="0.2">
      <c r="A42" s="280" t="s">
        <v>152</v>
      </c>
      <c r="B42" s="138"/>
      <c r="C42" s="138"/>
      <c r="D42" s="138"/>
      <c r="E42" s="138"/>
      <c r="F42" s="138"/>
      <c r="G42" s="138"/>
    </row>
    <row r="43" spans="1:7" x14ac:dyDescent="0.2">
      <c r="A43" s="280">
        <v>1</v>
      </c>
      <c r="B43" s="2107" t="s">
        <v>1057</v>
      </c>
      <c r="C43" s="2107"/>
      <c r="D43" s="2107"/>
      <c r="E43" s="2107"/>
      <c r="F43" s="2107"/>
      <c r="G43" s="277"/>
    </row>
    <row r="44" spans="1:7" x14ac:dyDescent="0.2">
      <c r="A44" s="277"/>
      <c r="B44" s="2107"/>
      <c r="C44" s="2107"/>
      <c r="D44" s="2107"/>
      <c r="E44" s="2107"/>
      <c r="F44" s="2107"/>
      <c r="G44" s="277"/>
    </row>
    <row r="46" spans="1:7" x14ac:dyDescent="0.2">
      <c r="A46" s="976" t="s">
        <v>1054</v>
      </c>
    </row>
    <row r="47" spans="1:7" ht="27" customHeight="1" x14ac:dyDescent="0.2">
      <c r="A47" s="2104" t="s">
        <v>1033</v>
      </c>
      <c r="B47" s="2105"/>
      <c r="C47" s="2105"/>
      <c r="D47" s="2105"/>
      <c r="E47" s="2105"/>
      <c r="F47" s="2105"/>
    </row>
    <row r="48" spans="1:7" ht="15" x14ac:dyDescent="0.2">
      <c r="A48" s="957"/>
    </row>
    <row r="49" spans="1:6" x14ac:dyDescent="0.2">
      <c r="A49" s="976" t="s">
        <v>1055</v>
      </c>
    </row>
    <row r="50" spans="1:6" ht="51.75" customHeight="1" x14ac:dyDescent="0.2">
      <c r="A50" s="2104" t="s">
        <v>1034</v>
      </c>
      <c r="B50" s="2105"/>
      <c r="C50" s="2105"/>
      <c r="D50" s="2105"/>
      <c r="E50" s="2105"/>
      <c r="F50" s="2105"/>
    </row>
    <row r="51" spans="1:6" ht="15" x14ac:dyDescent="0.2">
      <c r="A51" s="957"/>
    </row>
    <row r="52" spans="1:6" x14ac:dyDescent="0.2">
      <c r="A52" s="976" t="s">
        <v>1056</v>
      </c>
    </row>
    <row r="53" spans="1:6" ht="38.25" customHeight="1" x14ac:dyDescent="0.2">
      <c r="A53" s="2104" t="s">
        <v>1035</v>
      </c>
      <c r="B53" s="2105"/>
      <c r="C53" s="2105"/>
      <c r="D53" s="2105"/>
      <c r="E53" s="2105"/>
      <c r="F53" s="2105"/>
    </row>
    <row r="54" spans="1:6" ht="15" x14ac:dyDescent="0.2">
      <c r="A54" s="958"/>
    </row>
  </sheetData>
  <mergeCells count="23">
    <mergeCell ref="G16:G17"/>
    <mergeCell ref="A30:B30"/>
    <mergeCell ref="C30:C32"/>
    <mergeCell ref="D30:D32"/>
    <mergeCell ref="F30:F31"/>
    <mergeCell ref="E30:E31"/>
    <mergeCell ref="A31:A32"/>
    <mergeCell ref="B31:B32"/>
    <mergeCell ref="A28:F28"/>
    <mergeCell ref="A47:F47"/>
    <mergeCell ref="A50:F50"/>
    <mergeCell ref="A53:F53"/>
    <mergeCell ref="A14:F14"/>
    <mergeCell ref="A9:F9"/>
    <mergeCell ref="A10:F10"/>
    <mergeCell ref="B43:F44"/>
    <mergeCell ref="A17:A18"/>
    <mergeCell ref="B17:B18"/>
    <mergeCell ref="C16:C18"/>
    <mergeCell ref="D16:D18"/>
    <mergeCell ref="A16:B16"/>
    <mergeCell ref="E16:E17"/>
    <mergeCell ref="F16:F17"/>
  </mergeCells>
  <phoneticPr fontId="11" type="noConversion"/>
  <dataValidations count="1">
    <dataValidation allowBlank="1" showInputMessage="1" showErrorMessage="1" promptTitle="Date Format" prompt="E.g:  &quot;August 1, 2011&quot;" sqref="G7"/>
  </dataValidations>
  <pageMargins left="0.75" right="0.75" top="1" bottom="1" header="0.5" footer="0.5"/>
  <pageSetup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AH44"/>
  <sheetViews>
    <sheetView showGridLines="0" topLeftCell="K13" zoomScaleNormal="100" workbookViewId="0">
      <selection activeCell="A30" sqref="A30"/>
    </sheetView>
  </sheetViews>
  <sheetFormatPr defaultRowHeight="12.75" x14ac:dyDescent="0.2"/>
  <cols>
    <col min="1" max="1" width="6.42578125" style="216" customWidth="1"/>
    <col min="2" max="2" width="5.5703125" style="216" customWidth="1"/>
    <col min="3" max="3" width="16.5703125" style="216" customWidth="1"/>
    <col min="4" max="4" width="3" style="216" customWidth="1"/>
    <col min="5" max="5" width="11.140625" style="216" customWidth="1"/>
    <col min="6" max="6" width="1.42578125" style="216" customWidth="1"/>
    <col min="7" max="7" width="3.42578125" style="216" customWidth="1"/>
    <col min="8" max="8" width="1.42578125" style="216" customWidth="1"/>
    <col min="9" max="9" width="13.7109375" style="216" customWidth="1"/>
    <col min="10" max="10" width="3.28515625" style="216" customWidth="1"/>
    <col min="11" max="11" width="12.85546875" style="216" customWidth="1"/>
    <col min="12" max="12" width="1.42578125" style="216" customWidth="1"/>
    <col min="13" max="13" width="3.5703125" style="216" customWidth="1"/>
    <col min="14" max="14" width="1.7109375" style="216" customWidth="1"/>
    <col min="15" max="15" width="14" style="216" customWidth="1"/>
    <col min="16" max="16" width="2.140625" style="216" customWidth="1"/>
    <col min="17" max="19" width="9.140625" style="216"/>
    <col min="20" max="20" width="5.7109375" style="216" customWidth="1"/>
    <col min="21" max="21" width="16.140625" style="216" bestFit="1" customWidth="1"/>
    <col min="22" max="22" width="4.42578125" style="216" customWidth="1"/>
    <col min="23" max="23" width="7.28515625" style="216" bestFit="1" customWidth="1"/>
    <col min="24" max="24" width="3.7109375" style="216" customWidth="1"/>
    <col min="25" max="25" width="9.140625" style="216"/>
    <col min="26" max="26" width="4.85546875" style="216" customWidth="1"/>
    <col min="27" max="27" width="13.85546875" style="216" bestFit="1" customWidth="1"/>
    <col min="28" max="28" width="4.42578125" style="216" customWidth="1"/>
    <col min="29" max="29" width="9.140625" style="216"/>
    <col min="30" max="30" width="5.140625" style="216" customWidth="1"/>
    <col min="31" max="31" width="4.28515625" style="216" customWidth="1"/>
    <col min="32" max="32" width="4.140625" style="216" customWidth="1"/>
    <col min="33" max="33" width="10.85546875" style="216" bestFit="1" customWidth="1"/>
    <col min="34" max="255" width="9.140625" style="216"/>
    <col min="256" max="256" width="2.85546875" style="216" customWidth="1"/>
    <col min="257" max="257" width="6.42578125" style="216" customWidth="1"/>
    <col min="258" max="258" width="3.85546875" style="216" customWidth="1"/>
    <col min="259" max="259" width="16.5703125" style="216" customWidth="1"/>
    <col min="260" max="260" width="3" style="216" customWidth="1"/>
    <col min="261" max="261" width="11.140625" style="216" customWidth="1"/>
    <col min="262" max="262" width="1.42578125" style="216" customWidth="1"/>
    <col min="263" max="263" width="3.42578125" style="216" customWidth="1"/>
    <col min="264" max="264" width="1.42578125" style="216" customWidth="1"/>
    <col min="265" max="265" width="12.5703125" style="216" customWidth="1"/>
    <col min="266" max="266" width="3.28515625" style="216" customWidth="1"/>
    <col min="267" max="267" width="12.85546875" style="216" customWidth="1"/>
    <col min="268" max="268" width="1.42578125" style="216" customWidth="1"/>
    <col min="269" max="269" width="3.5703125" style="216" customWidth="1"/>
    <col min="270" max="270" width="1.7109375" style="216" customWidth="1"/>
    <col min="271" max="271" width="14" style="216" customWidth="1"/>
    <col min="272" max="272" width="2.140625" style="216" customWidth="1"/>
    <col min="273" max="511" width="9.140625" style="216"/>
    <col min="512" max="512" width="2.85546875" style="216" customWidth="1"/>
    <col min="513" max="513" width="6.42578125" style="216" customWidth="1"/>
    <col min="514" max="514" width="3.85546875" style="216" customWidth="1"/>
    <col min="515" max="515" width="16.5703125" style="216" customWidth="1"/>
    <col min="516" max="516" width="3" style="216" customWidth="1"/>
    <col min="517" max="517" width="11.140625" style="216" customWidth="1"/>
    <col min="518" max="518" width="1.42578125" style="216" customWidth="1"/>
    <col min="519" max="519" width="3.42578125" style="216" customWidth="1"/>
    <col min="520" max="520" width="1.42578125" style="216" customWidth="1"/>
    <col min="521" max="521" width="12.5703125" style="216" customWidth="1"/>
    <col min="522" max="522" width="3.28515625" style="216" customWidth="1"/>
    <col min="523" max="523" width="12.85546875" style="216" customWidth="1"/>
    <col min="524" max="524" width="1.42578125" style="216" customWidth="1"/>
    <col min="525" max="525" width="3.5703125" style="216" customWidth="1"/>
    <col min="526" max="526" width="1.7109375" style="216" customWidth="1"/>
    <col min="527" max="527" width="14" style="216" customWidth="1"/>
    <col min="528" max="528" width="2.140625" style="216" customWidth="1"/>
    <col min="529" max="767" width="9.140625" style="216"/>
    <col min="768" max="768" width="2.85546875" style="216" customWidth="1"/>
    <col min="769" max="769" width="6.42578125" style="216" customWidth="1"/>
    <col min="770" max="770" width="3.85546875" style="216" customWidth="1"/>
    <col min="771" max="771" width="16.5703125" style="216" customWidth="1"/>
    <col min="772" max="772" width="3" style="216" customWidth="1"/>
    <col min="773" max="773" width="11.140625" style="216" customWidth="1"/>
    <col min="774" max="774" width="1.42578125" style="216" customWidth="1"/>
    <col min="775" max="775" width="3.42578125" style="216" customWidth="1"/>
    <col min="776" max="776" width="1.42578125" style="216" customWidth="1"/>
    <col min="777" max="777" width="12.5703125" style="216" customWidth="1"/>
    <col min="778" max="778" width="3.28515625" style="216" customWidth="1"/>
    <col min="779" max="779" width="12.85546875" style="216" customWidth="1"/>
    <col min="780" max="780" width="1.42578125" style="216" customWidth="1"/>
    <col min="781" max="781" width="3.5703125" style="216" customWidth="1"/>
    <col min="782" max="782" width="1.7109375" style="216" customWidth="1"/>
    <col min="783" max="783" width="14" style="216" customWidth="1"/>
    <col min="784" max="784" width="2.140625" style="216" customWidth="1"/>
    <col min="785" max="1023" width="9.140625" style="216"/>
    <col min="1024" max="1024" width="2.85546875" style="216" customWidth="1"/>
    <col min="1025" max="1025" width="6.42578125" style="216" customWidth="1"/>
    <col min="1026" max="1026" width="3.85546875" style="216" customWidth="1"/>
    <col min="1027" max="1027" width="16.5703125" style="216" customWidth="1"/>
    <col min="1028" max="1028" width="3" style="216" customWidth="1"/>
    <col min="1029" max="1029" width="11.140625" style="216" customWidth="1"/>
    <col min="1030" max="1030" width="1.42578125" style="216" customWidth="1"/>
    <col min="1031" max="1031" width="3.42578125" style="216" customWidth="1"/>
    <col min="1032" max="1032" width="1.42578125" style="216" customWidth="1"/>
    <col min="1033" max="1033" width="12.5703125" style="216" customWidth="1"/>
    <col min="1034" max="1034" width="3.28515625" style="216" customWidth="1"/>
    <col min="1035" max="1035" width="12.85546875" style="216" customWidth="1"/>
    <col min="1036" max="1036" width="1.42578125" style="216" customWidth="1"/>
    <col min="1037" max="1037" width="3.5703125" style="216" customWidth="1"/>
    <col min="1038" max="1038" width="1.7109375" style="216" customWidth="1"/>
    <col min="1039" max="1039" width="14" style="216" customWidth="1"/>
    <col min="1040" max="1040" width="2.140625" style="216" customWidth="1"/>
    <col min="1041" max="1279" width="9.140625" style="216"/>
    <col min="1280" max="1280" width="2.85546875" style="216" customWidth="1"/>
    <col min="1281" max="1281" width="6.42578125" style="216" customWidth="1"/>
    <col min="1282" max="1282" width="3.85546875" style="216" customWidth="1"/>
    <col min="1283" max="1283" width="16.5703125" style="216" customWidth="1"/>
    <col min="1284" max="1284" width="3" style="216" customWidth="1"/>
    <col min="1285" max="1285" width="11.140625" style="216" customWidth="1"/>
    <col min="1286" max="1286" width="1.42578125" style="216" customWidth="1"/>
    <col min="1287" max="1287" width="3.42578125" style="216" customWidth="1"/>
    <col min="1288" max="1288" width="1.42578125" style="216" customWidth="1"/>
    <col min="1289" max="1289" width="12.5703125" style="216" customWidth="1"/>
    <col min="1290" max="1290" width="3.28515625" style="216" customWidth="1"/>
    <col min="1291" max="1291" width="12.85546875" style="216" customWidth="1"/>
    <col min="1292" max="1292" width="1.42578125" style="216" customWidth="1"/>
    <col min="1293" max="1293" width="3.5703125" style="216" customWidth="1"/>
    <col min="1294" max="1294" width="1.7109375" style="216" customWidth="1"/>
    <col min="1295" max="1295" width="14" style="216" customWidth="1"/>
    <col min="1296" max="1296" width="2.140625" style="216" customWidth="1"/>
    <col min="1297" max="1535" width="9.140625" style="216"/>
    <col min="1536" max="1536" width="2.85546875" style="216" customWidth="1"/>
    <col min="1537" max="1537" width="6.42578125" style="216" customWidth="1"/>
    <col min="1538" max="1538" width="3.85546875" style="216" customWidth="1"/>
    <col min="1539" max="1539" width="16.5703125" style="216" customWidth="1"/>
    <col min="1540" max="1540" width="3" style="216" customWidth="1"/>
    <col min="1541" max="1541" width="11.140625" style="216" customWidth="1"/>
    <col min="1542" max="1542" width="1.42578125" style="216" customWidth="1"/>
    <col min="1543" max="1543" width="3.42578125" style="216" customWidth="1"/>
    <col min="1544" max="1544" width="1.42578125" style="216" customWidth="1"/>
    <col min="1545" max="1545" width="12.5703125" style="216" customWidth="1"/>
    <col min="1546" max="1546" width="3.28515625" style="216" customWidth="1"/>
    <col min="1547" max="1547" width="12.85546875" style="216" customWidth="1"/>
    <col min="1548" max="1548" width="1.42578125" style="216" customWidth="1"/>
    <col min="1549" max="1549" width="3.5703125" style="216" customWidth="1"/>
    <col min="1550" max="1550" width="1.7109375" style="216" customWidth="1"/>
    <col min="1551" max="1551" width="14" style="216" customWidth="1"/>
    <col min="1552" max="1552" width="2.140625" style="216" customWidth="1"/>
    <col min="1553" max="1791" width="9.140625" style="216"/>
    <col min="1792" max="1792" width="2.85546875" style="216" customWidth="1"/>
    <col min="1793" max="1793" width="6.42578125" style="216" customWidth="1"/>
    <col min="1794" max="1794" width="3.85546875" style="216" customWidth="1"/>
    <col min="1795" max="1795" width="16.5703125" style="216" customWidth="1"/>
    <col min="1796" max="1796" width="3" style="216" customWidth="1"/>
    <col min="1797" max="1797" width="11.140625" style="216" customWidth="1"/>
    <col min="1798" max="1798" width="1.42578125" style="216" customWidth="1"/>
    <col min="1799" max="1799" width="3.42578125" style="216" customWidth="1"/>
    <col min="1800" max="1800" width="1.42578125" style="216" customWidth="1"/>
    <col min="1801" max="1801" width="12.5703125" style="216" customWidth="1"/>
    <col min="1802" max="1802" width="3.28515625" style="216" customWidth="1"/>
    <col min="1803" max="1803" width="12.85546875" style="216" customWidth="1"/>
    <col min="1804" max="1804" width="1.42578125" style="216" customWidth="1"/>
    <col min="1805" max="1805" width="3.5703125" style="216" customWidth="1"/>
    <col min="1806" max="1806" width="1.7109375" style="216" customWidth="1"/>
    <col min="1807" max="1807" width="14" style="216" customWidth="1"/>
    <col min="1808" max="1808" width="2.140625" style="216" customWidth="1"/>
    <col min="1809" max="2047" width="9.140625" style="216"/>
    <col min="2048" max="2048" width="2.85546875" style="216" customWidth="1"/>
    <col min="2049" max="2049" width="6.42578125" style="216" customWidth="1"/>
    <col min="2050" max="2050" width="3.85546875" style="216" customWidth="1"/>
    <col min="2051" max="2051" width="16.5703125" style="216" customWidth="1"/>
    <col min="2052" max="2052" width="3" style="216" customWidth="1"/>
    <col min="2053" max="2053" width="11.140625" style="216" customWidth="1"/>
    <col min="2054" max="2054" width="1.42578125" style="216" customWidth="1"/>
    <col min="2055" max="2055" width="3.42578125" style="216" customWidth="1"/>
    <col min="2056" max="2056" width="1.42578125" style="216" customWidth="1"/>
    <col min="2057" max="2057" width="12.5703125" style="216" customWidth="1"/>
    <col min="2058" max="2058" width="3.28515625" style="216" customWidth="1"/>
    <col min="2059" max="2059" width="12.85546875" style="216" customWidth="1"/>
    <col min="2060" max="2060" width="1.42578125" style="216" customWidth="1"/>
    <col min="2061" max="2061" width="3.5703125" style="216" customWidth="1"/>
    <col min="2062" max="2062" width="1.7109375" style="216" customWidth="1"/>
    <col min="2063" max="2063" width="14" style="216" customWidth="1"/>
    <col min="2064" max="2064" width="2.140625" style="216" customWidth="1"/>
    <col min="2065" max="2303" width="9.140625" style="216"/>
    <col min="2304" max="2304" width="2.85546875" style="216" customWidth="1"/>
    <col min="2305" max="2305" width="6.42578125" style="216" customWidth="1"/>
    <col min="2306" max="2306" width="3.85546875" style="216" customWidth="1"/>
    <col min="2307" max="2307" width="16.5703125" style="216" customWidth="1"/>
    <col min="2308" max="2308" width="3" style="216" customWidth="1"/>
    <col min="2309" max="2309" width="11.140625" style="216" customWidth="1"/>
    <col min="2310" max="2310" width="1.42578125" style="216" customWidth="1"/>
    <col min="2311" max="2311" width="3.42578125" style="216" customWidth="1"/>
    <col min="2312" max="2312" width="1.42578125" style="216" customWidth="1"/>
    <col min="2313" max="2313" width="12.5703125" style="216" customWidth="1"/>
    <col min="2314" max="2314" width="3.28515625" style="216" customWidth="1"/>
    <col min="2315" max="2315" width="12.85546875" style="216" customWidth="1"/>
    <col min="2316" max="2316" width="1.42578125" style="216" customWidth="1"/>
    <col min="2317" max="2317" width="3.5703125" style="216" customWidth="1"/>
    <col min="2318" max="2318" width="1.7109375" style="216" customWidth="1"/>
    <col min="2319" max="2319" width="14" style="216" customWidth="1"/>
    <col min="2320" max="2320" width="2.140625" style="216" customWidth="1"/>
    <col min="2321" max="2559" width="9.140625" style="216"/>
    <col min="2560" max="2560" width="2.85546875" style="216" customWidth="1"/>
    <col min="2561" max="2561" width="6.42578125" style="216" customWidth="1"/>
    <col min="2562" max="2562" width="3.85546875" style="216" customWidth="1"/>
    <col min="2563" max="2563" width="16.5703125" style="216" customWidth="1"/>
    <col min="2564" max="2564" width="3" style="216" customWidth="1"/>
    <col min="2565" max="2565" width="11.140625" style="216" customWidth="1"/>
    <col min="2566" max="2566" width="1.42578125" style="216" customWidth="1"/>
    <col min="2567" max="2567" width="3.42578125" style="216" customWidth="1"/>
    <col min="2568" max="2568" width="1.42578125" style="216" customWidth="1"/>
    <col min="2569" max="2569" width="12.5703125" style="216" customWidth="1"/>
    <col min="2570" max="2570" width="3.28515625" style="216" customWidth="1"/>
    <col min="2571" max="2571" width="12.85546875" style="216" customWidth="1"/>
    <col min="2572" max="2572" width="1.42578125" style="216" customWidth="1"/>
    <col min="2573" max="2573" width="3.5703125" style="216" customWidth="1"/>
    <col min="2574" max="2574" width="1.7109375" style="216" customWidth="1"/>
    <col min="2575" max="2575" width="14" style="216" customWidth="1"/>
    <col min="2576" max="2576" width="2.140625" style="216" customWidth="1"/>
    <col min="2577" max="2815" width="9.140625" style="216"/>
    <col min="2816" max="2816" width="2.85546875" style="216" customWidth="1"/>
    <col min="2817" max="2817" width="6.42578125" style="216" customWidth="1"/>
    <col min="2818" max="2818" width="3.85546875" style="216" customWidth="1"/>
    <col min="2819" max="2819" width="16.5703125" style="216" customWidth="1"/>
    <col min="2820" max="2820" width="3" style="216" customWidth="1"/>
    <col min="2821" max="2821" width="11.140625" style="216" customWidth="1"/>
    <col min="2822" max="2822" width="1.42578125" style="216" customWidth="1"/>
    <col min="2823" max="2823" width="3.42578125" style="216" customWidth="1"/>
    <col min="2824" max="2824" width="1.42578125" style="216" customWidth="1"/>
    <col min="2825" max="2825" width="12.5703125" style="216" customWidth="1"/>
    <col min="2826" max="2826" width="3.28515625" style="216" customWidth="1"/>
    <col min="2827" max="2827" width="12.85546875" style="216" customWidth="1"/>
    <col min="2828" max="2828" width="1.42578125" style="216" customWidth="1"/>
    <col min="2829" max="2829" width="3.5703125" style="216" customWidth="1"/>
    <col min="2830" max="2830" width="1.7109375" style="216" customWidth="1"/>
    <col min="2831" max="2831" width="14" style="216" customWidth="1"/>
    <col min="2832" max="2832" width="2.140625" style="216" customWidth="1"/>
    <col min="2833" max="3071" width="9.140625" style="216"/>
    <col min="3072" max="3072" width="2.85546875" style="216" customWidth="1"/>
    <col min="3073" max="3073" width="6.42578125" style="216" customWidth="1"/>
    <col min="3074" max="3074" width="3.85546875" style="216" customWidth="1"/>
    <col min="3075" max="3075" width="16.5703125" style="216" customWidth="1"/>
    <col min="3076" max="3076" width="3" style="216" customWidth="1"/>
    <col min="3077" max="3077" width="11.140625" style="216" customWidth="1"/>
    <col min="3078" max="3078" width="1.42578125" style="216" customWidth="1"/>
    <col min="3079" max="3079" width="3.42578125" style="216" customWidth="1"/>
    <col min="3080" max="3080" width="1.42578125" style="216" customWidth="1"/>
    <col min="3081" max="3081" width="12.5703125" style="216" customWidth="1"/>
    <col min="3082" max="3082" width="3.28515625" style="216" customWidth="1"/>
    <col min="3083" max="3083" width="12.85546875" style="216" customWidth="1"/>
    <col min="3084" max="3084" width="1.42578125" style="216" customWidth="1"/>
    <col min="3085" max="3085" width="3.5703125" style="216" customWidth="1"/>
    <col min="3086" max="3086" width="1.7109375" style="216" customWidth="1"/>
    <col min="3087" max="3087" width="14" style="216" customWidth="1"/>
    <col min="3088" max="3088" width="2.140625" style="216" customWidth="1"/>
    <col min="3089" max="3327" width="9.140625" style="216"/>
    <col min="3328" max="3328" width="2.85546875" style="216" customWidth="1"/>
    <col min="3329" max="3329" width="6.42578125" style="216" customWidth="1"/>
    <col min="3330" max="3330" width="3.85546875" style="216" customWidth="1"/>
    <col min="3331" max="3331" width="16.5703125" style="216" customWidth="1"/>
    <col min="3332" max="3332" width="3" style="216" customWidth="1"/>
    <col min="3333" max="3333" width="11.140625" style="216" customWidth="1"/>
    <col min="3334" max="3334" width="1.42578125" style="216" customWidth="1"/>
    <col min="3335" max="3335" width="3.42578125" style="216" customWidth="1"/>
    <col min="3336" max="3336" width="1.42578125" style="216" customWidth="1"/>
    <col min="3337" max="3337" width="12.5703125" style="216" customWidth="1"/>
    <col min="3338" max="3338" width="3.28515625" style="216" customWidth="1"/>
    <col min="3339" max="3339" width="12.85546875" style="216" customWidth="1"/>
    <col min="3340" max="3340" width="1.42578125" style="216" customWidth="1"/>
    <col min="3341" max="3341" width="3.5703125" style="216" customWidth="1"/>
    <col min="3342" max="3342" width="1.7109375" style="216" customWidth="1"/>
    <col min="3343" max="3343" width="14" style="216" customWidth="1"/>
    <col min="3344" max="3344" width="2.140625" style="216" customWidth="1"/>
    <col min="3345" max="3583" width="9.140625" style="216"/>
    <col min="3584" max="3584" width="2.85546875" style="216" customWidth="1"/>
    <col min="3585" max="3585" width="6.42578125" style="216" customWidth="1"/>
    <col min="3586" max="3586" width="3.85546875" style="216" customWidth="1"/>
    <col min="3587" max="3587" width="16.5703125" style="216" customWidth="1"/>
    <col min="3588" max="3588" width="3" style="216" customWidth="1"/>
    <col min="3589" max="3589" width="11.140625" style="216" customWidth="1"/>
    <col min="3590" max="3590" width="1.42578125" style="216" customWidth="1"/>
    <col min="3591" max="3591" width="3.42578125" style="216" customWidth="1"/>
    <col min="3592" max="3592" width="1.42578125" style="216" customWidth="1"/>
    <col min="3593" max="3593" width="12.5703125" style="216" customWidth="1"/>
    <col min="3594" max="3594" width="3.28515625" style="216" customWidth="1"/>
    <col min="3595" max="3595" width="12.85546875" style="216" customWidth="1"/>
    <col min="3596" max="3596" width="1.42578125" style="216" customWidth="1"/>
    <col min="3597" max="3597" width="3.5703125" style="216" customWidth="1"/>
    <col min="3598" max="3598" width="1.7109375" style="216" customWidth="1"/>
    <col min="3599" max="3599" width="14" style="216" customWidth="1"/>
    <col min="3600" max="3600" width="2.140625" style="216" customWidth="1"/>
    <col min="3601" max="3839" width="9.140625" style="216"/>
    <col min="3840" max="3840" width="2.85546875" style="216" customWidth="1"/>
    <col min="3841" max="3841" width="6.42578125" style="216" customWidth="1"/>
    <col min="3842" max="3842" width="3.85546875" style="216" customWidth="1"/>
    <col min="3843" max="3843" width="16.5703125" style="216" customWidth="1"/>
    <col min="3844" max="3844" width="3" style="216" customWidth="1"/>
    <col min="3845" max="3845" width="11.140625" style="216" customWidth="1"/>
    <col min="3846" max="3846" width="1.42578125" style="216" customWidth="1"/>
    <col min="3847" max="3847" width="3.42578125" style="216" customWidth="1"/>
    <col min="3848" max="3848" width="1.42578125" style="216" customWidth="1"/>
    <col min="3849" max="3849" width="12.5703125" style="216" customWidth="1"/>
    <col min="3850" max="3850" width="3.28515625" style="216" customWidth="1"/>
    <col min="3851" max="3851" width="12.85546875" style="216" customWidth="1"/>
    <col min="3852" max="3852" width="1.42578125" style="216" customWidth="1"/>
    <col min="3853" max="3853" width="3.5703125" style="216" customWidth="1"/>
    <col min="3854" max="3854" width="1.7109375" style="216" customWidth="1"/>
    <col min="3855" max="3855" width="14" style="216" customWidth="1"/>
    <col min="3856" max="3856" width="2.140625" style="216" customWidth="1"/>
    <col min="3857" max="4095" width="9.140625" style="216"/>
    <col min="4096" max="4096" width="2.85546875" style="216" customWidth="1"/>
    <col min="4097" max="4097" width="6.42578125" style="216" customWidth="1"/>
    <col min="4098" max="4098" width="3.85546875" style="216" customWidth="1"/>
    <col min="4099" max="4099" width="16.5703125" style="216" customWidth="1"/>
    <col min="4100" max="4100" width="3" style="216" customWidth="1"/>
    <col min="4101" max="4101" width="11.140625" style="216" customWidth="1"/>
    <col min="4102" max="4102" width="1.42578125" style="216" customWidth="1"/>
    <col min="4103" max="4103" width="3.42578125" style="216" customWidth="1"/>
    <col min="4104" max="4104" width="1.42578125" style="216" customWidth="1"/>
    <col min="4105" max="4105" width="12.5703125" style="216" customWidth="1"/>
    <col min="4106" max="4106" width="3.28515625" style="216" customWidth="1"/>
    <col min="4107" max="4107" width="12.85546875" style="216" customWidth="1"/>
    <col min="4108" max="4108" width="1.42578125" style="216" customWidth="1"/>
    <col min="4109" max="4109" width="3.5703125" style="216" customWidth="1"/>
    <col min="4110" max="4110" width="1.7109375" style="216" customWidth="1"/>
    <col min="4111" max="4111" width="14" style="216" customWidth="1"/>
    <col min="4112" max="4112" width="2.140625" style="216" customWidth="1"/>
    <col min="4113" max="4351" width="9.140625" style="216"/>
    <col min="4352" max="4352" width="2.85546875" style="216" customWidth="1"/>
    <col min="4353" max="4353" width="6.42578125" style="216" customWidth="1"/>
    <col min="4354" max="4354" width="3.85546875" style="216" customWidth="1"/>
    <col min="4355" max="4355" width="16.5703125" style="216" customWidth="1"/>
    <col min="4356" max="4356" width="3" style="216" customWidth="1"/>
    <col min="4357" max="4357" width="11.140625" style="216" customWidth="1"/>
    <col min="4358" max="4358" width="1.42578125" style="216" customWidth="1"/>
    <col min="4359" max="4359" width="3.42578125" style="216" customWidth="1"/>
    <col min="4360" max="4360" width="1.42578125" style="216" customWidth="1"/>
    <col min="4361" max="4361" width="12.5703125" style="216" customWidth="1"/>
    <col min="4362" max="4362" width="3.28515625" style="216" customWidth="1"/>
    <col min="4363" max="4363" width="12.85546875" style="216" customWidth="1"/>
    <col min="4364" max="4364" width="1.42578125" style="216" customWidth="1"/>
    <col min="4365" max="4365" width="3.5703125" style="216" customWidth="1"/>
    <col min="4366" max="4366" width="1.7109375" style="216" customWidth="1"/>
    <col min="4367" max="4367" width="14" style="216" customWidth="1"/>
    <col min="4368" max="4368" width="2.140625" style="216" customWidth="1"/>
    <col min="4369" max="4607" width="9.140625" style="216"/>
    <col min="4608" max="4608" width="2.85546875" style="216" customWidth="1"/>
    <col min="4609" max="4609" width="6.42578125" style="216" customWidth="1"/>
    <col min="4610" max="4610" width="3.85546875" style="216" customWidth="1"/>
    <col min="4611" max="4611" width="16.5703125" style="216" customWidth="1"/>
    <col min="4612" max="4612" width="3" style="216" customWidth="1"/>
    <col min="4613" max="4613" width="11.140625" style="216" customWidth="1"/>
    <col min="4614" max="4614" width="1.42578125" style="216" customWidth="1"/>
    <col min="4615" max="4615" width="3.42578125" style="216" customWidth="1"/>
    <col min="4616" max="4616" width="1.42578125" style="216" customWidth="1"/>
    <col min="4617" max="4617" width="12.5703125" style="216" customWidth="1"/>
    <col min="4618" max="4618" width="3.28515625" style="216" customWidth="1"/>
    <col min="4619" max="4619" width="12.85546875" style="216" customWidth="1"/>
    <col min="4620" max="4620" width="1.42578125" style="216" customWidth="1"/>
    <col min="4621" max="4621" width="3.5703125" style="216" customWidth="1"/>
    <col min="4622" max="4622" width="1.7109375" style="216" customWidth="1"/>
    <col min="4623" max="4623" width="14" style="216" customWidth="1"/>
    <col min="4624" max="4624" width="2.140625" style="216" customWidth="1"/>
    <col min="4625" max="4863" width="9.140625" style="216"/>
    <col min="4864" max="4864" width="2.85546875" style="216" customWidth="1"/>
    <col min="4865" max="4865" width="6.42578125" style="216" customWidth="1"/>
    <col min="4866" max="4866" width="3.85546875" style="216" customWidth="1"/>
    <col min="4867" max="4867" width="16.5703125" style="216" customWidth="1"/>
    <col min="4868" max="4868" width="3" style="216" customWidth="1"/>
    <col min="4869" max="4869" width="11.140625" style="216" customWidth="1"/>
    <col min="4870" max="4870" width="1.42578125" style="216" customWidth="1"/>
    <col min="4871" max="4871" width="3.42578125" style="216" customWidth="1"/>
    <col min="4872" max="4872" width="1.42578125" style="216" customWidth="1"/>
    <col min="4873" max="4873" width="12.5703125" style="216" customWidth="1"/>
    <col min="4874" max="4874" width="3.28515625" style="216" customWidth="1"/>
    <col min="4875" max="4875" width="12.85546875" style="216" customWidth="1"/>
    <col min="4876" max="4876" width="1.42578125" style="216" customWidth="1"/>
    <col min="4877" max="4877" width="3.5703125" style="216" customWidth="1"/>
    <col min="4878" max="4878" width="1.7109375" style="216" customWidth="1"/>
    <col min="4879" max="4879" width="14" style="216" customWidth="1"/>
    <col min="4880" max="4880" width="2.140625" style="216" customWidth="1"/>
    <col min="4881" max="5119" width="9.140625" style="216"/>
    <col min="5120" max="5120" width="2.85546875" style="216" customWidth="1"/>
    <col min="5121" max="5121" width="6.42578125" style="216" customWidth="1"/>
    <col min="5122" max="5122" width="3.85546875" style="216" customWidth="1"/>
    <col min="5123" max="5123" width="16.5703125" style="216" customWidth="1"/>
    <col min="5124" max="5124" width="3" style="216" customWidth="1"/>
    <col min="5125" max="5125" width="11.140625" style="216" customWidth="1"/>
    <col min="5126" max="5126" width="1.42578125" style="216" customWidth="1"/>
    <col min="5127" max="5127" width="3.42578125" style="216" customWidth="1"/>
    <col min="5128" max="5128" width="1.42578125" style="216" customWidth="1"/>
    <col min="5129" max="5129" width="12.5703125" style="216" customWidth="1"/>
    <col min="5130" max="5130" width="3.28515625" style="216" customWidth="1"/>
    <col min="5131" max="5131" width="12.85546875" style="216" customWidth="1"/>
    <col min="5132" max="5132" width="1.42578125" style="216" customWidth="1"/>
    <col min="5133" max="5133" width="3.5703125" style="216" customWidth="1"/>
    <col min="5134" max="5134" width="1.7109375" style="216" customWidth="1"/>
    <col min="5135" max="5135" width="14" style="216" customWidth="1"/>
    <col min="5136" max="5136" width="2.140625" style="216" customWidth="1"/>
    <col min="5137" max="5375" width="9.140625" style="216"/>
    <col min="5376" max="5376" width="2.85546875" style="216" customWidth="1"/>
    <col min="5377" max="5377" width="6.42578125" style="216" customWidth="1"/>
    <col min="5378" max="5378" width="3.85546875" style="216" customWidth="1"/>
    <col min="5379" max="5379" width="16.5703125" style="216" customWidth="1"/>
    <col min="5380" max="5380" width="3" style="216" customWidth="1"/>
    <col min="5381" max="5381" width="11.140625" style="216" customWidth="1"/>
    <col min="5382" max="5382" width="1.42578125" style="216" customWidth="1"/>
    <col min="5383" max="5383" width="3.42578125" style="216" customWidth="1"/>
    <col min="5384" max="5384" width="1.42578125" style="216" customWidth="1"/>
    <col min="5385" max="5385" width="12.5703125" style="216" customWidth="1"/>
    <col min="5386" max="5386" width="3.28515625" style="216" customWidth="1"/>
    <col min="5387" max="5387" width="12.85546875" style="216" customWidth="1"/>
    <col min="5388" max="5388" width="1.42578125" style="216" customWidth="1"/>
    <col min="5389" max="5389" width="3.5703125" style="216" customWidth="1"/>
    <col min="5390" max="5390" width="1.7109375" style="216" customWidth="1"/>
    <col min="5391" max="5391" width="14" style="216" customWidth="1"/>
    <col min="5392" max="5392" width="2.140625" style="216" customWidth="1"/>
    <col min="5393" max="5631" width="9.140625" style="216"/>
    <col min="5632" max="5632" width="2.85546875" style="216" customWidth="1"/>
    <col min="5633" max="5633" width="6.42578125" style="216" customWidth="1"/>
    <col min="5634" max="5634" width="3.85546875" style="216" customWidth="1"/>
    <col min="5635" max="5635" width="16.5703125" style="216" customWidth="1"/>
    <col min="5636" max="5636" width="3" style="216" customWidth="1"/>
    <col min="5637" max="5637" width="11.140625" style="216" customWidth="1"/>
    <col min="5638" max="5638" width="1.42578125" style="216" customWidth="1"/>
    <col min="5639" max="5639" width="3.42578125" style="216" customWidth="1"/>
    <col min="5640" max="5640" width="1.42578125" style="216" customWidth="1"/>
    <col min="5641" max="5641" width="12.5703125" style="216" customWidth="1"/>
    <col min="5642" max="5642" width="3.28515625" style="216" customWidth="1"/>
    <col min="5643" max="5643" width="12.85546875" style="216" customWidth="1"/>
    <col min="5644" max="5644" width="1.42578125" style="216" customWidth="1"/>
    <col min="5645" max="5645" width="3.5703125" style="216" customWidth="1"/>
    <col min="5646" max="5646" width="1.7109375" style="216" customWidth="1"/>
    <col min="5647" max="5647" width="14" style="216" customWidth="1"/>
    <col min="5648" max="5648" width="2.140625" style="216" customWidth="1"/>
    <col min="5649" max="5887" width="9.140625" style="216"/>
    <col min="5888" max="5888" width="2.85546875" style="216" customWidth="1"/>
    <col min="5889" max="5889" width="6.42578125" style="216" customWidth="1"/>
    <col min="5890" max="5890" width="3.85546875" style="216" customWidth="1"/>
    <col min="5891" max="5891" width="16.5703125" style="216" customWidth="1"/>
    <col min="5892" max="5892" width="3" style="216" customWidth="1"/>
    <col min="5893" max="5893" width="11.140625" style="216" customWidth="1"/>
    <col min="5894" max="5894" width="1.42578125" style="216" customWidth="1"/>
    <col min="5895" max="5895" width="3.42578125" style="216" customWidth="1"/>
    <col min="5896" max="5896" width="1.42578125" style="216" customWidth="1"/>
    <col min="5897" max="5897" width="12.5703125" style="216" customWidth="1"/>
    <col min="5898" max="5898" width="3.28515625" style="216" customWidth="1"/>
    <col min="5899" max="5899" width="12.85546875" style="216" customWidth="1"/>
    <col min="5900" max="5900" width="1.42578125" style="216" customWidth="1"/>
    <col min="5901" max="5901" width="3.5703125" style="216" customWidth="1"/>
    <col min="5902" max="5902" width="1.7109375" style="216" customWidth="1"/>
    <col min="5903" max="5903" width="14" style="216" customWidth="1"/>
    <col min="5904" max="5904" width="2.140625" style="216" customWidth="1"/>
    <col min="5905" max="6143" width="9.140625" style="216"/>
    <col min="6144" max="6144" width="2.85546875" style="216" customWidth="1"/>
    <col min="6145" max="6145" width="6.42578125" style="216" customWidth="1"/>
    <col min="6146" max="6146" width="3.85546875" style="216" customWidth="1"/>
    <col min="6147" max="6147" width="16.5703125" style="216" customWidth="1"/>
    <col min="6148" max="6148" width="3" style="216" customWidth="1"/>
    <col min="6149" max="6149" width="11.140625" style="216" customWidth="1"/>
    <col min="6150" max="6150" width="1.42578125" style="216" customWidth="1"/>
    <col min="6151" max="6151" width="3.42578125" style="216" customWidth="1"/>
    <col min="6152" max="6152" width="1.42578125" style="216" customWidth="1"/>
    <col min="6153" max="6153" width="12.5703125" style="216" customWidth="1"/>
    <col min="6154" max="6154" width="3.28515625" style="216" customWidth="1"/>
    <col min="6155" max="6155" width="12.85546875" style="216" customWidth="1"/>
    <col min="6156" max="6156" width="1.42578125" style="216" customWidth="1"/>
    <col min="6157" max="6157" width="3.5703125" style="216" customWidth="1"/>
    <col min="6158" max="6158" width="1.7109375" style="216" customWidth="1"/>
    <col min="6159" max="6159" width="14" style="216" customWidth="1"/>
    <col min="6160" max="6160" width="2.140625" style="216" customWidth="1"/>
    <col min="6161" max="6399" width="9.140625" style="216"/>
    <col min="6400" max="6400" width="2.85546875" style="216" customWidth="1"/>
    <col min="6401" max="6401" width="6.42578125" style="216" customWidth="1"/>
    <col min="6402" max="6402" width="3.85546875" style="216" customWidth="1"/>
    <col min="6403" max="6403" width="16.5703125" style="216" customWidth="1"/>
    <col min="6404" max="6404" width="3" style="216" customWidth="1"/>
    <col min="6405" max="6405" width="11.140625" style="216" customWidth="1"/>
    <col min="6406" max="6406" width="1.42578125" style="216" customWidth="1"/>
    <col min="6407" max="6407" width="3.42578125" style="216" customWidth="1"/>
    <col min="6408" max="6408" width="1.42578125" style="216" customWidth="1"/>
    <col min="6409" max="6409" width="12.5703125" style="216" customWidth="1"/>
    <col min="6410" max="6410" width="3.28515625" style="216" customWidth="1"/>
    <col min="6411" max="6411" width="12.85546875" style="216" customWidth="1"/>
    <col min="6412" max="6412" width="1.42578125" style="216" customWidth="1"/>
    <col min="6413" max="6413" width="3.5703125" style="216" customWidth="1"/>
    <col min="6414" max="6414" width="1.7109375" style="216" customWidth="1"/>
    <col min="6415" max="6415" width="14" style="216" customWidth="1"/>
    <col min="6416" max="6416" width="2.140625" style="216" customWidth="1"/>
    <col min="6417" max="6655" width="9.140625" style="216"/>
    <col min="6656" max="6656" width="2.85546875" style="216" customWidth="1"/>
    <col min="6657" max="6657" width="6.42578125" style="216" customWidth="1"/>
    <col min="6658" max="6658" width="3.85546875" style="216" customWidth="1"/>
    <col min="6659" max="6659" width="16.5703125" style="216" customWidth="1"/>
    <col min="6660" max="6660" width="3" style="216" customWidth="1"/>
    <col min="6661" max="6661" width="11.140625" style="216" customWidth="1"/>
    <col min="6662" max="6662" width="1.42578125" style="216" customWidth="1"/>
    <col min="6663" max="6663" width="3.42578125" style="216" customWidth="1"/>
    <col min="6664" max="6664" width="1.42578125" style="216" customWidth="1"/>
    <col min="6665" max="6665" width="12.5703125" style="216" customWidth="1"/>
    <col min="6666" max="6666" width="3.28515625" style="216" customWidth="1"/>
    <col min="6667" max="6667" width="12.85546875" style="216" customWidth="1"/>
    <col min="6668" max="6668" width="1.42578125" style="216" customWidth="1"/>
    <col min="6669" max="6669" width="3.5703125" style="216" customWidth="1"/>
    <col min="6670" max="6670" width="1.7109375" style="216" customWidth="1"/>
    <col min="6671" max="6671" width="14" style="216" customWidth="1"/>
    <col min="6672" max="6672" width="2.140625" style="216" customWidth="1"/>
    <col min="6673" max="6911" width="9.140625" style="216"/>
    <col min="6912" max="6912" width="2.85546875" style="216" customWidth="1"/>
    <col min="6913" max="6913" width="6.42578125" style="216" customWidth="1"/>
    <col min="6914" max="6914" width="3.85546875" style="216" customWidth="1"/>
    <col min="6915" max="6915" width="16.5703125" style="216" customWidth="1"/>
    <col min="6916" max="6916" width="3" style="216" customWidth="1"/>
    <col min="6917" max="6917" width="11.140625" style="216" customWidth="1"/>
    <col min="6918" max="6918" width="1.42578125" style="216" customWidth="1"/>
    <col min="6919" max="6919" width="3.42578125" style="216" customWidth="1"/>
    <col min="6920" max="6920" width="1.42578125" style="216" customWidth="1"/>
    <col min="6921" max="6921" width="12.5703125" style="216" customWidth="1"/>
    <col min="6922" max="6922" width="3.28515625" style="216" customWidth="1"/>
    <col min="6923" max="6923" width="12.85546875" style="216" customWidth="1"/>
    <col min="6924" max="6924" width="1.42578125" style="216" customWidth="1"/>
    <col min="6925" max="6925" width="3.5703125" style="216" customWidth="1"/>
    <col min="6926" max="6926" width="1.7109375" style="216" customWidth="1"/>
    <col min="6927" max="6927" width="14" style="216" customWidth="1"/>
    <col min="6928" max="6928" width="2.140625" style="216" customWidth="1"/>
    <col min="6929" max="7167" width="9.140625" style="216"/>
    <col min="7168" max="7168" width="2.85546875" style="216" customWidth="1"/>
    <col min="7169" max="7169" width="6.42578125" style="216" customWidth="1"/>
    <col min="7170" max="7170" width="3.85546875" style="216" customWidth="1"/>
    <col min="7171" max="7171" width="16.5703125" style="216" customWidth="1"/>
    <col min="7172" max="7172" width="3" style="216" customWidth="1"/>
    <col min="7173" max="7173" width="11.140625" style="216" customWidth="1"/>
    <col min="7174" max="7174" width="1.42578125" style="216" customWidth="1"/>
    <col min="7175" max="7175" width="3.42578125" style="216" customWidth="1"/>
    <col min="7176" max="7176" width="1.42578125" style="216" customWidth="1"/>
    <col min="7177" max="7177" width="12.5703125" style="216" customWidth="1"/>
    <col min="7178" max="7178" width="3.28515625" style="216" customWidth="1"/>
    <col min="7179" max="7179" width="12.85546875" style="216" customWidth="1"/>
    <col min="7180" max="7180" width="1.42578125" style="216" customWidth="1"/>
    <col min="7181" max="7181" width="3.5703125" style="216" customWidth="1"/>
    <col min="7182" max="7182" width="1.7109375" style="216" customWidth="1"/>
    <col min="7183" max="7183" width="14" style="216" customWidth="1"/>
    <col min="7184" max="7184" width="2.140625" style="216" customWidth="1"/>
    <col min="7185" max="7423" width="9.140625" style="216"/>
    <col min="7424" max="7424" width="2.85546875" style="216" customWidth="1"/>
    <col min="7425" max="7425" width="6.42578125" style="216" customWidth="1"/>
    <col min="7426" max="7426" width="3.85546875" style="216" customWidth="1"/>
    <col min="7427" max="7427" width="16.5703125" style="216" customWidth="1"/>
    <col min="7428" max="7428" width="3" style="216" customWidth="1"/>
    <col min="7429" max="7429" width="11.140625" style="216" customWidth="1"/>
    <col min="7430" max="7430" width="1.42578125" style="216" customWidth="1"/>
    <col min="7431" max="7431" width="3.42578125" style="216" customWidth="1"/>
    <col min="7432" max="7432" width="1.42578125" style="216" customWidth="1"/>
    <col min="7433" max="7433" width="12.5703125" style="216" customWidth="1"/>
    <col min="7434" max="7434" width="3.28515625" style="216" customWidth="1"/>
    <col min="7435" max="7435" width="12.85546875" style="216" customWidth="1"/>
    <col min="7436" max="7436" width="1.42578125" style="216" customWidth="1"/>
    <col min="7437" max="7437" width="3.5703125" style="216" customWidth="1"/>
    <col min="7438" max="7438" width="1.7109375" style="216" customWidth="1"/>
    <col min="7439" max="7439" width="14" style="216" customWidth="1"/>
    <col min="7440" max="7440" width="2.140625" style="216" customWidth="1"/>
    <col min="7441" max="7679" width="9.140625" style="216"/>
    <col min="7680" max="7680" width="2.85546875" style="216" customWidth="1"/>
    <col min="7681" max="7681" width="6.42578125" style="216" customWidth="1"/>
    <col min="7682" max="7682" width="3.85546875" style="216" customWidth="1"/>
    <col min="7683" max="7683" width="16.5703125" style="216" customWidth="1"/>
    <col min="7684" max="7684" width="3" style="216" customWidth="1"/>
    <col min="7685" max="7685" width="11.140625" style="216" customWidth="1"/>
    <col min="7686" max="7686" width="1.42578125" style="216" customWidth="1"/>
    <col min="7687" max="7687" width="3.42578125" style="216" customWidth="1"/>
    <col min="7688" max="7688" width="1.42578125" style="216" customWidth="1"/>
    <col min="7689" max="7689" width="12.5703125" style="216" customWidth="1"/>
    <col min="7690" max="7690" width="3.28515625" style="216" customWidth="1"/>
    <col min="7691" max="7691" width="12.85546875" style="216" customWidth="1"/>
    <col min="7692" max="7692" width="1.42578125" style="216" customWidth="1"/>
    <col min="7693" max="7693" width="3.5703125" style="216" customWidth="1"/>
    <col min="7694" max="7694" width="1.7109375" style="216" customWidth="1"/>
    <col min="7695" max="7695" width="14" style="216" customWidth="1"/>
    <col min="7696" max="7696" width="2.140625" style="216" customWidth="1"/>
    <col min="7697" max="7935" width="9.140625" style="216"/>
    <col min="7936" max="7936" width="2.85546875" style="216" customWidth="1"/>
    <col min="7937" max="7937" width="6.42578125" style="216" customWidth="1"/>
    <col min="7938" max="7938" width="3.85546875" style="216" customWidth="1"/>
    <col min="7939" max="7939" width="16.5703125" style="216" customWidth="1"/>
    <col min="7940" max="7940" width="3" style="216" customWidth="1"/>
    <col min="7941" max="7941" width="11.140625" style="216" customWidth="1"/>
    <col min="7942" max="7942" width="1.42578125" style="216" customWidth="1"/>
    <col min="7943" max="7943" width="3.42578125" style="216" customWidth="1"/>
    <col min="7944" max="7944" width="1.42578125" style="216" customWidth="1"/>
    <col min="7945" max="7945" width="12.5703125" style="216" customWidth="1"/>
    <col min="7946" max="7946" width="3.28515625" style="216" customWidth="1"/>
    <col min="7947" max="7947" width="12.85546875" style="216" customWidth="1"/>
    <col min="7948" max="7948" width="1.42578125" style="216" customWidth="1"/>
    <col min="7949" max="7949" width="3.5703125" style="216" customWidth="1"/>
    <col min="7950" max="7950" width="1.7109375" style="216" customWidth="1"/>
    <col min="7951" max="7951" width="14" style="216" customWidth="1"/>
    <col min="7952" max="7952" width="2.140625" style="216" customWidth="1"/>
    <col min="7953" max="8191" width="9.140625" style="216"/>
    <col min="8192" max="8192" width="2.85546875" style="216" customWidth="1"/>
    <col min="8193" max="8193" width="6.42578125" style="216" customWidth="1"/>
    <col min="8194" max="8194" width="3.85546875" style="216" customWidth="1"/>
    <col min="8195" max="8195" width="16.5703125" style="216" customWidth="1"/>
    <col min="8196" max="8196" width="3" style="216" customWidth="1"/>
    <col min="8197" max="8197" width="11.140625" style="216" customWidth="1"/>
    <col min="8198" max="8198" width="1.42578125" style="216" customWidth="1"/>
    <col min="8199" max="8199" width="3.42578125" style="216" customWidth="1"/>
    <col min="8200" max="8200" width="1.42578125" style="216" customWidth="1"/>
    <col min="8201" max="8201" width="12.5703125" style="216" customWidth="1"/>
    <col min="8202" max="8202" width="3.28515625" style="216" customWidth="1"/>
    <col min="8203" max="8203" width="12.85546875" style="216" customWidth="1"/>
    <col min="8204" max="8204" width="1.42578125" style="216" customWidth="1"/>
    <col min="8205" max="8205" width="3.5703125" style="216" customWidth="1"/>
    <col min="8206" max="8206" width="1.7109375" style="216" customWidth="1"/>
    <col min="8207" max="8207" width="14" style="216" customWidth="1"/>
    <col min="8208" max="8208" width="2.140625" style="216" customWidth="1"/>
    <col min="8209" max="8447" width="9.140625" style="216"/>
    <col min="8448" max="8448" width="2.85546875" style="216" customWidth="1"/>
    <col min="8449" max="8449" width="6.42578125" style="216" customWidth="1"/>
    <col min="8450" max="8450" width="3.85546875" style="216" customWidth="1"/>
    <col min="8451" max="8451" width="16.5703125" style="216" customWidth="1"/>
    <col min="8452" max="8452" width="3" style="216" customWidth="1"/>
    <col min="8453" max="8453" width="11.140625" style="216" customWidth="1"/>
    <col min="8454" max="8454" width="1.42578125" style="216" customWidth="1"/>
    <col min="8455" max="8455" width="3.42578125" style="216" customWidth="1"/>
    <col min="8456" max="8456" width="1.42578125" style="216" customWidth="1"/>
    <col min="8457" max="8457" width="12.5703125" style="216" customWidth="1"/>
    <col min="8458" max="8458" width="3.28515625" style="216" customWidth="1"/>
    <col min="8459" max="8459" width="12.85546875" style="216" customWidth="1"/>
    <col min="8460" max="8460" width="1.42578125" style="216" customWidth="1"/>
    <col min="8461" max="8461" width="3.5703125" style="216" customWidth="1"/>
    <col min="8462" max="8462" width="1.7109375" style="216" customWidth="1"/>
    <col min="8463" max="8463" width="14" style="216" customWidth="1"/>
    <col min="8464" max="8464" width="2.140625" style="216" customWidth="1"/>
    <col min="8465" max="8703" width="9.140625" style="216"/>
    <col min="8704" max="8704" width="2.85546875" style="216" customWidth="1"/>
    <col min="8705" max="8705" width="6.42578125" style="216" customWidth="1"/>
    <col min="8706" max="8706" width="3.85546875" style="216" customWidth="1"/>
    <col min="8707" max="8707" width="16.5703125" style="216" customWidth="1"/>
    <col min="8708" max="8708" width="3" style="216" customWidth="1"/>
    <col min="8709" max="8709" width="11.140625" style="216" customWidth="1"/>
    <col min="8710" max="8710" width="1.42578125" style="216" customWidth="1"/>
    <col min="8711" max="8711" width="3.42578125" style="216" customWidth="1"/>
    <col min="8712" max="8712" width="1.42578125" style="216" customWidth="1"/>
    <col min="8713" max="8713" width="12.5703125" style="216" customWidth="1"/>
    <col min="8714" max="8714" width="3.28515625" style="216" customWidth="1"/>
    <col min="8715" max="8715" width="12.85546875" style="216" customWidth="1"/>
    <col min="8716" max="8716" width="1.42578125" style="216" customWidth="1"/>
    <col min="8717" max="8717" width="3.5703125" style="216" customWidth="1"/>
    <col min="8718" max="8718" width="1.7109375" style="216" customWidth="1"/>
    <col min="8719" max="8719" width="14" style="216" customWidth="1"/>
    <col min="8720" max="8720" width="2.140625" style="216" customWidth="1"/>
    <col min="8721" max="8959" width="9.140625" style="216"/>
    <col min="8960" max="8960" width="2.85546875" style="216" customWidth="1"/>
    <col min="8961" max="8961" width="6.42578125" style="216" customWidth="1"/>
    <col min="8962" max="8962" width="3.85546875" style="216" customWidth="1"/>
    <col min="8963" max="8963" width="16.5703125" style="216" customWidth="1"/>
    <col min="8964" max="8964" width="3" style="216" customWidth="1"/>
    <col min="8965" max="8965" width="11.140625" style="216" customWidth="1"/>
    <col min="8966" max="8966" width="1.42578125" style="216" customWidth="1"/>
    <col min="8967" max="8967" width="3.42578125" style="216" customWidth="1"/>
    <col min="8968" max="8968" width="1.42578125" style="216" customWidth="1"/>
    <col min="8969" max="8969" width="12.5703125" style="216" customWidth="1"/>
    <col min="8970" max="8970" width="3.28515625" style="216" customWidth="1"/>
    <col min="8971" max="8971" width="12.85546875" style="216" customWidth="1"/>
    <col min="8972" max="8972" width="1.42578125" style="216" customWidth="1"/>
    <col min="8973" max="8973" width="3.5703125" style="216" customWidth="1"/>
    <col min="8974" max="8974" width="1.7109375" style="216" customWidth="1"/>
    <col min="8975" max="8975" width="14" style="216" customWidth="1"/>
    <col min="8976" max="8976" width="2.140625" style="216" customWidth="1"/>
    <col min="8977" max="9215" width="9.140625" style="216"/>
    <col min="9216" max="9216" width="2.85546875" style="216" customWidth="1"/>
    <col min="9217" max="9217" width="6.42578125" style="216" customWidth="1"/>
    <col min="9218" max="9218" width="3.85546875" style="216" customWidth="1"/>
    <col min="9219" max="9219" width="16.5703125" style="216" customWidth="1"/>
    <col min="9220" max="9220" width="3" style="216" customWidth="1"/>
    <col min="9221" max="9221" width="11.140625" style="216" customWidth="1"/>
    <col min="9222" max="9222" width="1.42578125" style="216" customWidth="1"/>
    <col min="9223" max="9223" width="3.42578125" style="216" customWidth="1"/>
    <col min="9224" max="9224" width="1.42578125" style="216" customWidth="1"/>
    <col min="9225" max="9225" width="12.5703125" style="216" customWidth="1"/>
    <col min="9226" max="9226" width="3.28515625" style="216" customWidth="1"/>
    <col min="9227" max="9227" width="12.85546875" style="216" customWidth="1"/>
    <col min="9228" max="9228" width="1.42578125" style="216" customWidth="1"/>
    <col min="9229" max="9229" width="3.5703125" style="216" customWidth="1"/>
    <col min="9230" max="9230" width="1.7109375" style="216" customWidth="1"/>
    <col min="9231" max="9231" width="14" style="216" customWidth="1"/>
    <col min="9232" max="9232" width="2.140625" style="216" customWidth="1"/>
    <col min="9233" max="9471" width="9.140625" style="216"/>
    <col min="9472" max="9472" width="2.85546875" style="216" customWidth="1"/>
    <col min="9473" max="9473" width="6.42578125" style="216" customWidth="1"/>
    <col min="9474" max="9474" width="3.85546875" style="216" customWidth="1"/>
    <col min="9475" max="9475" width="16.5703125" style="216" customWidth="1"/>
    <col min="9476" max="9476" width="3" style="216" customWidth="1"/>
    <col min="9477" max="9477" width="11.140625" style="216" customWidth="1"/>
    <col min="9478" max="9478" width="1.42578125" style="216" customWidth="1"/>
    <col min="9479" max="9479" width="3.42578125" style="216" customWidth="1"/>
    <col min="9480" max="9480" width="1.42578125" style="216" customWidth="1"/>
    <col min="9481" max="9481" width="12.5703125" style="216" customWidth="1"/>
    <col min="9482" max="9482" width="3.28515625" style="216" customWidth="1"/>
    <col min="9483" max="9483" width="12.85546875" style="216" customWidth="1"/>
    <col min="9484" max="9484" width="1.42578125" style="216" customWidth="1"/>
    <col min="9485" max="9485" width="3.5703125" style="216" customWidth="1"/>
    <col min="9486" max="9486" width="1.7109375" style="216" customWidth="1"/>
    <col min="9487" max="9487" width="14" style="216" customWidth="1"/>
    <col min="9488" max="9488" width="2.140625" style="216" customWidth="1"/>
    <col min="9489" max="9727" width="9.140625" style="216"/>
    <col min="9728" max="9728" width="2.85546875" style="216" customWidth="1"/>
    <col min="9729" max="9729" width="6.42578125" style="216" customWidth="1"/>
    <col min="9730" max="9730" width="3.85546875" style="216" customWidth="1"/>
    <col min="9731" max="9731" width="16.5703125" style="216" customWidth="1"/>
    <col min="9732" max="9732" width="3" style="216" customWidth="1"/>
    <col min="9733" max="9733" width="11.140625" style="216" customWidth="1"/>
    <col min="9734" max="9734" width="1.42578125" style="216" customWidth="1"/>
    <col min="9735" max="9735" width="3.42578125" style="216" customWidth="1"/>
    <col min="9736" max="9736" width="1.42578125" style="216" customWidth="1"/>
    <col min="9737" max="9737" width="12.5703125" style="216" customWidth="1"/>
    <col min="9738" max="9738" width="3.28515625" style="216" customWidth="1"/>
    <col min="9739" max="9739" width="12.85546875" style="216" customWidth="1"/>
    <col min="9740" max="9740" width="1.42578125" style="216" customWidth="1"/>
    <col min="9741" max="9741" width="3.5703125" style="216" customWidth="1"/>
    <col min="9742" max="9742" width="1.7109375" style="216" customWidth="1"/>
    <col min="9743" max="9743" width="14" style="216" customWidth="1"/>
    <col min="9744" max="9744" width="2.140625" style="216" customWidth="1"/>
    <col min="9745" max="9983" width="9.140625" style="216"/>
    <col min="9984" max="9984" width="2.85546875" style="216" customWidth="1"/>
    <col min="9985" max="9985" width="6.42578125" style="216" customWidth="1"/>
    <col min="9986" max="9986" width="3.85546875" style="216" customWidth="1"/>
    <col min="9987" max="9987" width="16.5703125" style="216" customWidth="1"/>
    <col min="9988" max="9988" width="3" style="216" customWidth="1"/>
    <col min="9989" max="9989" width="11.140625" style="216" customWidth="1"/>
    <col min="9990" max="9990" width="1.42578125" style="216" customWidth="1"/>
    <col min="9991" max="9991" width="3.42578125" style="216" customWidth="1"/>
    <col min="9992" max="9992" width="1.42578125" style="216" customWidth="1"/>
    <col min="9993" max="9993" width="12.5703125" style="216" customWidth="1"/>
    <col min="9994" max="9994" width="3.28515625" style="216" customWidth="1"/>
    <col min="9995" max="9995" width="12.85546875" style="216" customWidth="1"/>
    <col min="9996" max="9996" width="1.42578125" style="216" customWidth="1"/>
    <col min="9997" max="9997" width="3.5703125" style="216" customWidth="1"/>
    <col min="9998" max="9998" width="1.7109375" style="216" customWidth="1"/>
    <col min="9999" max="9999" width="14" style="216" customWidth="1"/>
    <col min="10000" max="10000" width="2.140625" style="216" customWidth="1"/>
    <col min="10001" max="10239" width="9.140625" style="216"/>
    <col min="10240" max="10240" width="2.85546875" style="216" customWidth="1"/>
    <col min="10241" max="10241" width="6.42578125" style="216" customWidth="1"/>
    <col min="10242" max="10242" width="3.85546875" style="216" customWidth="1"/>
    <col min="10243" max="10243" width="16.5703125" style="216" customWidth="1"/>
    <col min="10244" max="10244" width="3" style="216" customWidth="1"/>
    <col min="10245" max="10245" width="11.140625" style="216" customWidth="1"/>
    <col min="10246" max="10246" width="1.42578125" style="216" customWidth="1"/>
    <col min="10247" max="10247" width="3.42578125" style="216" customWidth="1"/>
    <col min="10248" max="10248" width="1.42578125" style="216" customWidth="1"/>
    <col min="10249" max="10249" width="12.5703125" style="216" customWidth="1"/>
    <col min="10250" max="10250" width="3.28515625" style="216" customWidth="1"/>
    <col min="10251" max="10251" width="12.85546875" style="216" customWidth="1"/>
    <col min="10252" max="10252" width="1.42578125" style="216" customWidth="1"/>
    <col min="10253" max="10253" width="3.5703125" style="216" customWidth="1"/>
    <col min="10254" max="10254" width="1.7109375" style="216" customWidth="1"/>
    <col min="10255" max="10255" width="14" style="216" customWidth="1"/>
    <col min="10256" max="10256" width="2.140625" style="216" customWidth="1"/>
    <col min="10257" max="10495" width="9.140625" style="216"/>
    <col min="10496" max="10496" width="2.85546875" style="216" customWidth="1"/>
    <col min="10497" max="10497" width="6.42578125" style="216" customWidth="1"/>
    <col min="10498" max="10498" width="3.85546875" style="216" customWidth="1"/>
    <col min="10499" max="10499" width="16.5703125" style="216" customWidth="1"/>
    <col min="10500" max="10500" width="3" style="216" customWidth="1"/>
    <col min="10501" max="10501" width="11.140625" style="216" customWidth="1"/>
    <col min="10502" max="10502" width="1.42578125" style="216" customWidth="1"/>
    <col min="10503" max="10503" width="3.42578125" style="216" customWidth="1"/>
    <col min="10504" max="10504" width="1.42578125" style="216" customWidth="1"/>
    <col min="10505" max="10505" width="12.5703125" style="216" customWidth="1"/>
    <col min="10506" max="10506" width="3.28515625" style="216" customWidth="1"/>
    <col min="10507" max="10507" width="12.85546875" style="216" customWidth="1"/>
    <col min="10508" max="10508" width="1.42578125" style="216" customWidth="1"/>
    <col min="10509" max="10509" width="3.5703125" style="216" customWidth="1"/>
    <col min="10510" max="10510" width="1.7109375" style="216" customWidth="1"/>
    <col min="10511" max="10511" width="14" style="216" customWidth="1"/>
    <col min="10512" max="10512" width="2.140625" style="216" customWidth="1"/>
    <col min="10513" max="10751" width="9.140625" style="216"/>
    <col min="10752" max="10752" width="2.85546875" style="216" customWidth="1"/>
    <col min="10753" max="10753" width="6.42578125" style="216" customWidth="1"/>
    <col min="10754" max="10754" width="3.85546875" style="216" customWidth="1"/>
    <col min="10755" max="10755" width="16.5703125" style="216" customWidth="1"/>
    <col min="10756" max="10756" width="3" style="216" customWidth="1"/>
    <col min="10757" max="10757" width="11.140625" style="216" customWidth="1"/>
    <col min="10758" max="10758" width="1.42578125" style="216" customWidth="1"/>
    <col min="10759" max="10759" width="3.42578125" style="216" customWidth="1"/>
    <col min="10760" max="10760" width="1.42578125" style="216" customWidth="1"/>
    <col min="10761" max="10761" width="12.5703125" style="216" customWidth="1"/>
    <col min="10762" max="10762" width="3.28515625" style="216" customWidth="1"/>
    <col min="10763" max="10763" width="12.85546875" style="216" customWidth="1"/>
    <col min="10764" max="10764" width="1.42578125" style="216" customWidth="1"/>
    <col min="10765" max="10765" width="3.5703125" style="216" customWidth="1"/>
    <col min="10766" max="10766" width="1.7109375" style="216" customWidth="1"/>
    <col min="10767" max="10767" width="14" style="216" customWidth="1"/>
    <col min="10768" max="10768" width="2.140625" style="216" customWidth="1"/>
    <col min="10769" max="11007" width="9.140625" style="216"/>
    <col min="11008" max="11008" width="2.85546875" style="216" customWidth="1"/>
    <col min="11009" max="11009" width="6.42578125" style="216" customWidth="1"/>
    <col min="11010" max="11010" width="3.85546875" style="216" customWidth="1"/>
    <col min="11011" max="11011" width="16.5703125" style="216" customWidth="1"/>
    <col min="11012" max="11012" width="3" style="216" customWidth="1"/>
    <col min="11013" max="11013" width="11.140625" style="216" customWidth="1"/>
    <col min="11014" max="11014" width="1.42578125" style="216" customWidth="1"/>
    <col min="11015" max="11015" width="3.42578125" style="216" customWidth="1"/>
    <col min="11016" max="11016" width="1.42578125" style="216" customWidth="1"/>
    <col min="11017" max="11017" width="12.5703125" style="216" customWidth="1"/>
    <col min="11018" max="11018" width="3.28515625" style="216" customWidth="1"/>
    <col min="11019" max="11019" width="12.85546875" style="216" customWidth="1"/>
    <col min="11020" max="11020" width="1.42578125" style="216" customWidth="1"/>
    <col min="11021" max="11021" width="3.5703125" style="216" customWidth="1"/>
    <col min="11022" max="11022" width="1.7109375" style="216" customWidth="1"/>
    <col min="11023" max="11023" width="14" style="216" customWidth="1"/>
    <col min="11024" max="11024" width="2.140625" style="216" customWidth="1"/>
    <col min="11025" max="11263" width="9.140625" style="216"/>
    <col min="11264" max="11264" width="2.85546875" style="216" customWidth="1"/>
    <col min="11265" max="11265" width="6.42578125" style="216" customWidth="1"/>
    <col min="11266" max="11266" width="3.85546875" style="216" customWidth="1"/>
    <col min="11267" max="11267" width="16.5703125" style="216" customWidth="1"/>
    <col min="11268" max="11268" width="3" style="216" customWidth="1"/>
    <col min="11269" max="11269" width="11.140625" style="216" customWidth="1"/>
    <col min="11270" max="11270" width="1.42578125" style="216" customWidth="1"/>
    <col min="11271" max="11271" width="3.42578125" style="216" customWidth="1"/>
    <col min="11272" max="11272" width="1.42578125" style="216" customWidth="1"/>
    <col min="11273" max="11273" width="12.5703125" style="216" customWidth="1"/>
    <col min="11274" max="11274" width="3.28515625" style="216" customWidth="1"/>
    <col min="11275" max="11275" width="12.85546875" style="216" customWidth="1"/>
    <col min="11276" max="11276" width="1.42578125" style="216" customWidth="1"/>
    <col min="11277" max="11277" width="3.5703125" style="216" customWidth="1"/>
    <col min="11278" max="11278" width="1.7109375" style="216" customWidth="1"/>
    <col min="11279" max="11279" width="14" style="216" customWidth="1"/>
    <col min="11280" max="11280" width="2.140625" style="216" customWidth="1"/>
    <col min="11281" max="11519" width="9.140625" style="216"/>
    <col min="11520" max="11520" width="2.85546875" style="216" customWidth="1"/>
    <col min="11521" max="11521" width="6.42578125" style="216" customWidth="1"/>
    <col min="11522" max="11522" width="3.85546875" style="216" customWidth="1"/>
    <col min="11523" max="11523" width="16.5703125" style="216" customWidth="1"/>
    <col min="11524" max="11524" width="3" style="216" customWidth="1"/>
    <col min="11525" max="11525" width="11.140625" style="216" customWidth="1"/>
    <col min="11526" max="11526" width="1.42578125" style="216" customWidth="1"/>
    <col min="11527" max="11527" width="3.42578125" style="216" customWidth="1"/>
    <col min="11528" max="11528" width="1.42578125" style="216" customWidth="1"/>
    <col min="11529" max="11529" width="12.5703125" style="216" customWidth="1"/>
    <col min="11530" max="11530" width="3.28515625" style="216" customWidth="1"/>
    <col min="11531" max="11531" width="12.85546875" style="216" customWidth="1"/>
    <col min="11532" max="11532" width="1.42578125" style="216" customWidth="1"/>
    <col min="11533" max="11533" width="3.5703125" style="216" customWidth="1"/>
    <col min="11534" max="11534" width="1.7109375" style="216" customWidth="1"/>
    <col min="11535" max="11535" width="14" style="216" customWidth="1"/>
    <col min="11536" max="11536" width="2.140625" style="216" customWidth="1"/>
    <col min="11537" max="11775" width="9.140625" style="216"/>
    <col min="11776" max="11776" width="2.85546875" style="216" customWidth="1"/>
    <col min="11777" max="11777" width="6.42578125" style="216" customWidth="1"/>
    <col min="11778" max="11778" width="3.85546875" style="216" customWidth="1"/>
    <col min="11779" max="11779" width="16.5703125" style="216" customWidth="1"/>
    <col min="11780" max="11780" width="3" style="216" customWidth="1"/>
    <col min="11781" max="11781" width="11.140625" style="216" customWidth="1"/>
    <col min="11782" max="11782" width="1.42578125" style="216" customWidth="1"/>
    <col min="11783" max="11783" width="3.42578125" style="216" customWidth="1"/>
    <col min="11784" max="11784" width="1.42578125" style="216" customWidth="1"/>
    <col min="11785" max="11785" width="12.5703125" style="216" customWidth="1"/>
    <col min="11786" max="11786" width="3.28515625" style="216" customWidth="1"/>
    <col min="11787" max="11787" width="12.85546875" style="216" customWidth="1"/>
    <col min="11788" max="11788" width="1.42578125" style="216" customWidth="1"/>
    <col min="11789" max="11789" width="3.5703125" style="216" customWidth="1"/>
    <col min="11790" max="11790" width="1.7109375" style="216" customWidth="1"/>
    <col min="11791" max="11791" width="14" style="216" customWidth="1"/>
    <col min="11792" max="11792" width="2.140625" style="216" customWidth="1"/>
    <col min="11793" max="12031" width="9.140625" style="216"/>
    <col min="12032" max="12032" width="2.85546875" style="216" customWidth="1"/>
    <col min="12033" max="12033" width="6.42578125" style="216" customWidth="1"/>
    <col min="12034" max="12034" width="3.85546875" style="216" customWidth="1"/>
    <col min="12035" max="12035" width="16.5703125" style="216" customWidth="1"/>
    <col min="12036" max="12036" width="3" style="216" customWidth="1"/>
    <col min="12037" max="12037" width="11.140625" style="216" customWidth="1"/>
    <col min="12038" max="12038" width="1.42578125" style="216" customWidth="1"/>
    <col min="12039" max="12039" width="3.42578125" style="216" customWidth="1"/>
    <col min="12040" max="12040" width="1.42578125" style="216" customWidth="1"/>
    <col min="12041" max="12041" width="12.5703125" style="216" customWidth="1"/>
    <col min="12042" max="12042" width="3.28515625" style="216" customWidth="1"/>
    <col min="12043" max="12043" width="12.85546875" style="216" customWidth="1"/>
    <col min="12044" max="12044" width="1.42578125" style="216" customWidth="1"/>
    <col min="12045" max="12045" width="3.5703125" style="216" customWidth="1"/>
    <col min="12046" max="12046" width="1.7109375" style="216" customWidth="1"/>
    <col min="12047" max="12047" width="14" style="216" customWidth="1"/>
    <col min="12048" max="12048" width="2.140625" style="216" customWidth="1"/>
    <col min="12049" max="12287" width="9.140625" style="216"/>
    <col min="12288" max="12288" width="2.85546875" style="216" customWidth="1"/>
    <col min="12289" max="12289" width="6.42578125" style="216" customWidth="1"/>
    <col min="12290" max="12290" width="3.85546875" style="216" customWidth="1"/>
    <col min="12291" max="12291" width="16.5703125" style="216" customWidth="1"/>
    <col min="12292" max="12292" width="3" style="216" customWidth="1"/>
    <col min="12293" max="12293" width="11.140625" style="216" customWidth="1"/>
    <col min="12294" max="12294" width="1.42578125" style="216" customWidth="1"/>
    <col min="12295" max="12295" width="3.42578125" style="216" customWidth="1"/>
    <col min="12296" max="12296" width="1.42578125" style="216" customWidth="1"/>
    <col min="12297" max="12297" width="12.5703125" style="216" customWidth="1"/>
    <col min="12298" max="12298" width="3.28515625" style="216" customWidth="1"/>
    <col min="12299" max="12299" width="12.85546875" style="216" customWidth="1"/>
    <col min="12300" max="12300" width="1.42578125" style="216" customWidth="1"/>
    <col min="12301" max="12301" width="3.5703125" style="216" customWidth="1"/>
    <col min="12302" max="12302" width="1.7109375" style="216" customWidth="1"/>
    <col min="12303" max="12303" width="14" style="216" customWidth="1"/>
    <col min="12304" max="12304" width="2.140625" style="216" customWidth="1"/>
    <col min="12305" max="12543" width="9.140625" style="216"/>
    <col min="12544" max="12544" width="2.85546875" style="216" customWidth="1"/>
    <col min="12545" max="12545" width="6.42578125" style="216" customWidth="1"/>
    <col min="12546" max="12546" width="3.85546875" style="216" customWidth="1"/>
    <col min="12547" max="12547" width="16.5703125" style="216" customWidth="1"/>
    <col min="12548" max="12548" width="3" style="216" customWidth="1"/>
    <col min="12549" max="12549" width="11.140625" style="216" customWidth="1"/>
    <col min="12550" max="12550" width="1.42578125" style="216" customWidth="1"/>
    <col min="12551" max="12551" width="3.42578125" style="216" customWidth="1"/>
    <col min="12552" max="12552" width="1.42578125" style="216" customWidth="1"/>
    <col min="12553" max="12553" width="12.5703125" style="216" customWidth="1"/>
    <col min="12554" max="12554" width="3.28515625" style="216" customWidth="1"/>
    <col min="12555" max="12555" width="12.85546875" style="216" customWidth="1"/>
    <col min="12556" max="12556" width="1.42578125" style="216" customWidth="1"/>
    <col min="12557" max="12557" width="3.5703125" style="216" customWidth="1"/>
    <col min="12558" max="12558" width="1.7109375" style="216" customWidth="1"/>
    <col min="12559" max="12559" width="14" style="216" customWidth="1"/>
    <col min="12560" max="12560" width="2.140625" style="216" customWidth="1"/>
    <col min="12561" max="12799" width="9.140625" style="216"/>
    <col min="12800" max="12800" width="2.85546875" style="216" customWidth="1"/>
    <col min="12801" max="12801" width="6.42578125" style="216" customWidth="1"/>
    <col min="12802" max="12802" width="3.85546875" style="216" customWidth="1"/>
    <col min="12803" max="12803" width="16.5703125" style="216" customWidth="1"/>
    <col min="12804" max="12804" width="3" style="216" customWidth="1"/>
    <col min="12805" max="12805" width="11.140625" style="216" customWidth="1"/>
    <col min="12806" max="12806" width="1.42578125" style="216" customWidth="1"/>
    <col min="12807" max="12807" width="3.42578125" style="216" customWidth="1"/>
    <col min="12808" max="12808" width="1.42578125" style="216" customWidth="1"/>
    <col min="12809" max="12809" width="12.5703125" style="216" customWidth="1"/>
    <col min="12810" max="12810" width="3.28515625" style="216" customWidth="1"/>
    <col min="12811" max="12811" width="12.85546875" style="216" customWidth="1"/>
    <col min="12812" max="12812" width="1.42578125" style="216" customWidth="1"/>
    <col min="12813" max="12813" width="3.5703125" style="216" customWidth="1"/>
    <col min="12814" max="12814" width="1.7109375" style="216" customWidth="1"/>
    <col min="12815" max="12815" width="14" style="216" customWidth="1"/>
    <col min="12816" max="12816" width="2.140625" style="216" customWidth="1"/>
    <col min="12817" max="13055" width="9.140625" style="216"/>
    <col min="13056" max="13056" width="2.85546875" style="216" customWidth="1"/>
    <col min="13057" max="13057" width="6.42578125" style="216" customWidth="1"/>
    <col min="13058" max="13058" width="3.85546875" style="216" customWidth="1"/>
    <col min="13059" max="13059" width="16.5703125" style="216" customWidth="1"/>
    <col min="13060" max="13060" width="3" style="216" customWidth="1"/>
    <col min="13061" max="13061" width="11.140625" style="216" customWidth="1"/>
    <col min="13062" max="13062" width="1.42578125" style="216" customWidth="1"/>
    <col min="13063" max="13063" width="3.42578125" style="216" customWidth="1"/>
    <col min="13064" max="13064" width="1.42578125" style="216" customWidth="1"/>
    <col min="13065" max="13065" width="12.5703125" style="216" customWidth="1"/>
    <col min="13066" max="13066" width="3.28515625" style="216" customWidth="1"/>
    <col min="13067" max="13067" width="12.85546875" style="216" customWidth="1"/>
    <col min="13068" max="13068" width="1.42578125" style="216" customWidth="1"/>
    <col min="13069" max="13069" width="3.5703125" style="216" customWidth="1"/>
    <col min="13070" max="13070" width="1.7109375" style="216" customWidth="1"/>
    <col min="13071" max="13071" width="14" style="216" customWidth="1"/>
    <col min="13072" max="13072" width="2.140625" style="216" customWidth="1"/>
    <col min="13073" max="13311" width="9.140625" style="216"/>
    <col min="13312" max="13312" width="2.85546875" style="216" customWidth="1"/>
    <col min="13313" max="13313" width="6.42578125" style="216" customWidth="1"/>
    <col min="13314" max="13314" width="3.85546875" style="216" customWidth="1"/>
    <col min="13315" max="13315" width="16.5703125" style="216" customWidth="1"/>
    <col min="13316" max="13316" width="3" style="216" customWidth="1"/>
    <col min="13317" max="13317" width="11.140625" style="216" customWidth="1"/>
    <col min="13318" max="13318" width="1.42578125" style="216" customWidth="1"/>
    <col min="13319" max="13319" width="3.42578125" style="216" customWidth="1"/>
    <col min="13320" max="13320" width="1.42578125" style="216" customWidth="1"/>
    <col min="13321" max="13321" width="12.5703125" style="216" customWidth="1"/>
    <col min="13322" max="13322" width="3.28515625" style="216" customWidth="1"/>
    <col min="13323" max="13323" width="12.85546875" style="216" customWidth="1"/>
    <col min="13324" max="13324" width="1.42578125" style="216" customWidth="1"/>
    <col min="13325" max="13325" width="3.5703125" style="216" customWidth="1"/>
    <col min="13326" max="13326" width="1.7109375" style="216" customWidth="1"/>
    <col min="13327" max="13327" width="14" style="216" customWidth="1"/>
    <col min="13328" max="13328" width="2.140625" style="216" customWidth="1"/>
    <col min="13329" max="13567" width="9.140625" style="216"/>
    <col min="13568" max="13568" width="2.85546875" style="216" customWidth="1"/>
    <col min="13569" max="13569" width="6.42578125" style="216" customWidth="1"/>
    <col min="13570" max="13570" width="3.85546875" style="216" customWidth="1"/>
    <col min="13571" max="13571" width="16.5703125" style="216" customWidth="1"/>
    <col min="13572" max="13572" width="3" style="216" customWidth="1"/>
    <col min="13573" max="13573" width="11.140625" style="216" customWidth="1"/>
    <col min="13574" max="13574" width="1.42578125" style="216" customWidth="1"/>
    <col min="13575" max="13575" width="3.42578125" style="216" customWidth="1"/>
    <col min="13576" max="13576" width="1.42578125" style="216" customWidth="1"/>
    <col min="13577" max="13577" width="12.5703125" style="216" customWidth="1"/>
    <col min="13578" max="13578" width="3.28515625" style="216" customWidth="1"/>
    <col min="13579" max="13579" width="12.85546875" style="216" customWidth="1"/>
    <col min="13580" max="13580" width="1.42578125" style="216" customWidth="1"/>
    <col min="13581" max="13581" width="3.5703125" style="216" customWidth="1"/>
    <col min="13582" max="13582" width="1.7109375" style="216" customWidth="1"/>
    <col min="13583" max="13583" width="14" style="216" customWidth="1"/>
    <col min="13584" max="13584" width="2.140625" style="216" customWidth="1"/>
    <col min="13585" max="13823" width="9.140625" style="216"/>
    <col min="13824" max="13824" width="2.85546875" style="216" customWidth="1"/>
    <col min="13825" max="13825" width="6.42578125" style="216" customWidth="1"/>
    <col min="13826" max="13826" width="3.85546875" style="216" customWidth="1"/>
    <col min="13827" max="13827" width="16.5703125" style="216" customWidth="1"/>
    <col min="13828" max="13828" width="3" style="216" customWidth="1"/>
    <col min="13829" max="13829" width="11.140625" style="216" customWidth="1"/>
    <col min="13830" max="13830" width="1.42578125" style="216" customWidth="1"/>
    <col min="13831" max="13831" width="3.42578125" style="216" customWidth="1"/>
    <col min="13832" max="13832" width="1.42578125" style="216" customWidth="1"/>
    <col min="13833" max="13833" width="12.5703125" style="216" customWidth="1"/>
    <col min="13834" max="13834" width="3.28515625" style="216" customWidth="1"/>
    <col min="13835" max="13835" width="12.85546875" style="216" customWidth="1"/>
    <col min="13836" max="13836" width="1.42578125" style="216" customWidth="1"/>
    <col min="13837" max="13837" width="3.5703125" style="216" customWidth="1"/>
    <col min="13838" max="13838" width="1.7109375" style="216" customWidth="1"/>
    <col min="13839" max="13839" width="14" style="216" customWidth="1"/>
    <col min="13840" max="13840" width="2.140625" style="216" customWidth="1"/>
    <col min="13841" max="14079" width="9.140625" style="216"/>
    <col min="14080" max="14080" width="2.85546875" style="216" customWidth="1"/>
    <col min="14081" max="14081" width="6.42578125" style="216" customWidth="1"/>
    <col min="14082" max="14082" width="3.85546875" style="216" customWidth="1"/>
    <col min="14083" max="14083" width="16.5703125" style="216" customWidth="1"/>
    <col min="14084" max="14084" width="3" style="216" customWidth="1"/>
    <col min="14085" max="14085" width="11.140625" style="216" customWidth="1"/>
    <col min="14086" max="14086" width="1.42578125" style="216" customWidth="1"/>
    <col min="14087" max="14087" width="3.42578125" style="216" customWidth="1"/>
    <col min="14088" max="14088" width="1.42578125" style="216" customWidth="1"/>
    <col min="14089" max="14089" width="12.5703125" style="216" customWidth="1"/>
    <col min="14090" max="14090" width="3.28515625" style="216" customWidth="1"/>
    <col min="14091" max="14091" width="12.85546875" style="216" customWidth="1"/>
    <col min="14092" max="14092" width="1.42578125" style="216" customWidth="1"/>
    <col min="14093" max="14093" width="3.5703125" style="216" customWidth="1"/>
    <col min="14094" max="14094" width="1.7109375" style="216" customWidth="1"/>
    <col min="14095" max="14095" width="14" style="216" customWidth="1"/>
    <col min="14096" max="14096" width="2.140625" style="216" customWidth="1"/>
    <col min="14097" max="14335" width="9.140625" style="216"/>
    <col min="14336" max="14336" width="2.85546875" style="216" customWidth="1"/>
    <col min="14337" max="14337" width="6.42578125" style="216" customWidth="1"/>
    <col min="14338" max="14338" width="3.85546875" style="216" customWidth="1"/>
    <col min="14339" max="14339" width="16.5703125" style="216" customWidth="1"/>
    <col min="14340" max="14340" width="3" style="216" customWidth="1"/>
    <col min="14341" max="14341" width="11.140625" style="216" customWidth="1"/>
    <col min="14342" max="14342" width="1.42578125" style="216" customWidth="1"/>
    <col min="14343" max="14343" width="3.42578125" style="216" customWidth="1"/>
    <col min="14344" max="14344" width="1.42578125" style="216" customWidth="1"/>
    <col min="14345" max="14345" width="12.5703125" style="216" customWidth="1"/>
    <col min="14346" max="14346" width="3.28515625" style="216" customWidth="1"/>
    <col min="14347" max="14347" width="12.85546875" style="216" customWidth="1"/>
    <col min="14348" max="14348" width="1.42578125" style="216" customWidth="1"/>
    <col min="14349" max="14349" width="3.5703125" style="216" customWidth="1"/>
    <col min="14350" max="14350" width="1.7109375" style="216" customWidth="1"/>
    <col min="14351" max="14351" width="14" style="216" customWidth="1"/>
    <col min="14352" max="14352" width="2.140625" style="216" customWidth="1"/>
    <col min="14353" max="14591" width="9.140625" style="216"/>
    <col min="14592" max="14592" width="2.85546875" style="216" customWidth="1"/>
    <col min="14593" max="14593" width="6.42578125" style="216" customWidth="1"/>
    <col min="14594" max="14594" width="3.85546875" style="216" customWidth="1"/>
    <col min="14595" max="14595" width="16.5703125" style="216" customWidth="1"/>
    <col min="14596" max="14596" width="3" style="216" customWidth="1"/>
    <col min="14597" max="14597" width="11.140625" style="216" customWidth="1"/>
    <col min="14598" max="14598" width="1.42578125" style="216" customWidth="1"/>
    <col min="14599" max="14599" width="3.42578125" style="216" customWidth="1"/>
    <col min="14600" max="14600" width="1.42578125" style="216" customWidth="1"/>
    <col min="14601" max="14601" width="12.5703125" style="216" customWidth="1"/>
    <col min="14602" max="14602" width="3.28515625" style="216" customWidth="1"/>
    <col min="14603" max="14603" width="12.85546875" style="216" customWidth="1"/>
    <col min="14604" max="14604" width="1.42578125" style="216" customWidth="1"/>
    <col min="14605" max="14605" width="3.5703125" style="216" customWidth="1"/>
    <col min="14606" max="14606" width="1.7109375" style="216" customWidth="1"/>
    <col min="14607" max="14607" width="14" style="216" customWidth="1"/>
    <col min="14608" max="14608" width="2.140625" style="216" customWidth="1"/>
    <col min="14609" max="14847" width="9.140625" style="216"/>
    <col min="14848" max="14848" width="2.85546875" style="216" customWidth="1"/>
    <col min="14849" max="14849" width="6.42578125" style="216" customWidth="1"/>
    <col min="14850" max="14850" width="3.85546875" style="216" customWidth="1"/>
    <col min="14851" max="14851" width="16.5703125" style="216" customWidth="1"/>
    <col min="14852" max="14852" width="3" style="216" customWidth="1"/>
    <col min="14853" max="14853" width="11.140625" style="216" customWidth="1"/>
    <col min="14854" max="14854" width="1.42578125" style="216" customWidth="1"/>
    <col min="14855" max="14855" width="3.42578125" style="216" customWidth="1"/>
    <col min="14856" max="14856" width="1.42578125" style="216" customWidth="1"/>
    <col min="14857" max="14857" width="12.5703125" style="216" customWidth="1"/>
    <col min="14858" max="14858" width="3.28515625" style="216" customWidth="1"/>
    <col min="14859" max="14859" width="12.85546875" style="216" customWidth="1"/>
    <col min="14860" max="14860" width="1.42578125" style="216" customWidth="1"/>
    <col min="14861" max="14861" width="3.5703125" style="216" customWidth="1"/>
    <col min="14862" max="14862" width="1.7109375" style="216" customWidth="1"/>
    <col min="14863" max="14863" width="14" style="216" customWidth="1"/>
    <col min="14864" max="14864" width="2.140625" style="216" customWidth="1"/>
    <col min="14865" max="15103" width="9.140625" style="216"/>
    <col min="15104" max="15104" width="2.85546875" style="216" customWidth="1"/>
    <col min="15105" max="15105" width="6.42578125" style="216" customWidth="1"/>
    <col min="15106" max="15106" width="3.85546875" style="216" customWidth="1"/>
    <col min="15107" max="15107" width="16.5703125" style="216" customWidth="1"/>
    <col min="15108" max="15108" width="3" style="216" customWidth="1"/>
    <col min="15109" max="15109" width="11.140625" style="216" customWidth="1"/>
    <col min="15110" max="15110" width="1.42578125" style="216" customWidth="1"/>
    <col min="15111" max="15111" width="3.42578125" style="216" customWidth="1"/>
    <col min="15112" max="15112" width="1.42578125" style="216" customWidth="1"/>
    <col min="15113" max="15113" width="12.5703125" style="216" customWidth="1"/>
    <col min="15114" max="15114" width="3.28515625" style="216" customWidth="1"/>
    <col min="15115" max="15115" width="12.85546875" style="216" customWidth="1"/>
    <col min="15116" max="15116" width="1.42578125" style="216" customWidth="1"/>
    <col min="15117" max="15117" width="3.5703125" style="216" customWidth="1"/>
    <col min="15118" max="15118" width="1.7109375" style="216" customWidth="1"/>
    <col min="15119" max="15119" width="14" style="216" customWidth="1"/>
    <col min="15120" max="15120" width="2.140625" style="216" customWidth="1"/>
    <col min="15121" max="15359" width="9.140625" style="216"/>
    <col min="15360" max="15360" width="2.85546875" style="216" customWidth="1"/>
    <col min="15361" max="15361" width="6.42578125" style="216" customWidth="1"/>
    <col min="15362" max="15362" width="3.85546875" style="216" customWidth="1"/>
    <col min="15363" max="15363" width="16.5703125" style="216" customWidth="1"/>
    <col min="15364" max="15364" width="3" style="216" customWidth="1"/>
    <col min="15365" max="15365" width="11.140625" style="216" customWidth="1"/>
    <col min="15366" max="15366" width="1.42578125" style="216" customWidth="1"/>
    <col min="15367" max="15367" width="3.42578125" style="216" customWidth="1"/>
    <col min="15368" max="15368" width="1.42578125" style="216" customWidth="1"/>
    <col min="15369" max="15369" width="12.5703125" style="216" customWidth="1"/>
    <col min="15370" max="15370" width="3.28515625" style="216" customWidth="1"/>
    <col min="15371" max="15371" width="12.85546875" style="216" customWidth="1"/>
    <col min="15372" max="15372" width="1.42578125" style="216" customWidth="1"/>
    <col min="15373" max="15373" width="3.5703125" style="216" customWidth="1"/>
    <col min="15374" max="15374" width="1.7109375" style="216" customWidth="1"/>
    <col min="15375" max="15375" width="14" style="216" customWidth="1"/>
    <col min="15376" max="15376" width="2.140625" style="216" customWidth="1"/>
    <col min="15377" max="15615" width="9.140625" style="216"/>
    <col min="15616" max="15616" width="2.85546875" style="216" customWidth="1"/>
    <col min="15617" max="15617" width="6.42578125" style="216" customWidth="1"/>
    <col min="15618" max="15618" width="3.85546875" style="216" customWidth="1"/>
    <col min="15619" max="15619" width="16.5703125" style="216" customWidth="1"/>
    <col min="15620" max="15620" width="3" style="216" customWidth="1"/>
    <col min="15621" max="15621" width="11.140625" style="216" customWidth="1"/>
    <col min="15622" max="15622" width="1.42578125" style="216" customWidth="1"/>
    <col min="15623" max="15623" width="3.42578125" style="216" customWidth="1"/>
    <col min="15624" max="15624" width="1.42578125" style="216" customWidth="1"/>
    <col min="15625" max="15625" width="12.5703125" style="216" customWidth="1"/>
    <col min="15626" max="15626" width="3.28515625" style="216" customWidth="1"/>
    <col min="15627" max="15627" width="12.85546875" style="216" customWidth="1"/>
    <col min="15628" max="15628" width="1.42578125" style="216" customWidth="1"/>
    <col min="15629" max="15629" width="3.5703125" style="216" customWidth="1"/>
    <col min="15630" max="15630" width="1.7109375" style="216" customWidth="1"/>
    <col min="15631" max="15631" width="14" style="216" customWidth="1"/>
    <col min="15632" max="15632" width="2.140625" style="216" customWidth="1"/>
    <col min="15633" max="15871" width="9.140625" style="216"/>
    <col min="15872" max="15872" width="2.85546875" style="216" customWidth="1"/>
    <col min="15873" max="15873" width="6.42578125" style="216" customWidth="1"/>
    <col min="15874" max="15874" width="3.85546875" style="216" customWidth="1"/>
    <col min="15875" max="15875" width="16.5703125" style="216" customWidth="1"/>
    <col min="15876" max="15876" width="3" style="216" customWidth="1"/>
    <col min="15877" max="15877" width="11.140625" style="216" customWidth="1"/>
    <col min="15878" max="15878" width="1.42578125" style="216" customWidth="1"/>
    <col min="15879" max="15879" width="3.42578125" style="216" customWidth="1"/>
    <col min="15880" max="15880" width="1.42578125" style="216" customWidth="1"/>
    <col min="15881" max="15881" width="12.5703125" style="216" customWidth="1"/>
    <col min="15882" max="15882" width="3.28515625" style="216" customWidth="1"/>
    <col min="15883" max="15883" width="12.85546875" style="216" customWidth="1"/>
    <col min="15884" max="15884" width="1.42578125" style="216" customWidth="1"/>
    <col min="15885" max="15885" width="3.5703125" style="216" customWidth="1"/>
    <col min="15886" max="15886" width="1.7109375" style="216" customWidth="1"/>
    <col min="15887" max="15887" width="14" style="216" customWidth="1"/>
    <col min="15888" max="15888" width="2.140625" style="216" customWidth="1"/>
    <col min="15889" max="16127" width="9.140625" style="216"/>
    <col min="16128" max="16128" width="2.85546875" style="216" customWidth="1"/>
    <col min="16129" max="16129" width="6.42578125" style="216" customWidth="1"/>
    <col min="16130" max="16130" width="3.85546875" style="216" customWidth="1"/>
    <col min="16131" max="16131" width="16.5703125" style="216" customWidth="1"/>
    <col min="16132" max="16132" width="3" style="216" customWidth="1"/>
    <col min="16133" max="16133" width="11.140625" style="216" customWidth="1"/>
    <col min="16134" max="16134" width="1.42578125" style="216" customWidth="1"/>
    <col min="16135" max="16135" width="3.42578125" style="216" customWidth="1"/>
    <col min="16136" max="16136" width="1.42578125" style="216" customWidth="1"/>
    <col min="16137" max="16137" width="12.5703125" style="216" customWidth="1"/>
    <col min="16138" max="16138" width="3.28515625" style="216" customWidth="1"/>
    <col min="16139" max="16139" width="12.85546875" style="216" customWidth="1"/>
    <col min="16140" max="16140" width="1.42578125" style="216" customWidth="1"/>
    <col min="16141" max="16141" width="3.5703125" style="216" customWidth="1"/>
    <col min="16142" max="16142" width="1.7109375" style="216" customWidth="1"/>
    <col min="16143" max="16143" width="14" style="216" customWidth="1"/>
    <col min="16144" max="16144" width="2.140625" style="216" customWidth="1"/>
    <col min="16145" max="16384" width="9.140625" style="216"/>
  </cols>
  <sheetData>
    <row r="1" spans="1:33" x14ac:dyDescent="0.2">
      <c r="K1" s="278" t="s">
        <v>419</v>
      </c>
      <c r="O1" s="208" t="str">
        <f>EBNUMBER</f>
        <v>EB-2014-0113</v>
      </c>
      <c r="AC1" s="278" t="s">
        <v>419</v>
      </c>
      <c r="AG1" s="208" t="str">
        <f>EBNUMBER</f>
        <v>EB-2014-0113</v>
      </c>
    </row>
    <row r="2" spans="1:33" x14ac:dyDescent="0.2">
      <c r="K2" s="278" t="s">
        <v>420</v>
      </c>
      <c r="O2" s="209">
        <v>5</v>
      </c>
      <c r="AC2" s="278" t="s">
        <v>420</v>
      </c>
      <c r="AG2" s="209">
        <v>5</v>
      </c>
    </row>
    <row r="3" spans="1:33" x14ac:dyDescent="0.2">
      <c r="K3" s="278" t="s">
        <v>421</v>
      </c>
      <c r="O3" s="209">
        <v>2</v>
      </c>
      <c r="AC3" s="278" t="s">
        <v>421</v>
      </c>
      <c r="AG3" s="209">
        <v>2</v>
      </c>
    </row>
    <row r="4" spans="1:33" x14ac:dyDescent="0.2">
      <c r="K4" s="278" t="s">
        <v>422</v>
      </c>
      <c r="O4" s="209">
        <v>2</v>
      </c>
      <c r="AC4" s="278" t="s">
        <v>422</v>
      </c>
      <c r="AG4" s="209">
        <v>2</v>
      </c>
    </row>
    <row r="5" spans="1:33" x14ac:dyDescent="0.2">
      <c r="K5" s="278" t="s">
        <v>423</v>
      </c>
      <c r="O5" s="210"/>
      <c r="AC5" s="278" t="s">
        <v>423</v>
      </c>
      <c r="AG5" s="210"/>
    </row>
    <row r="6" spans="1:33" x14ac:dyDescent="0.2">
      <c r="K6" s="278"/>
      <c r="O6" s="208"/>
      <c r="AC6" s="278"/>
      <c r="AG6" s="208"/>
    </row>
    <row r="7" spans="1:33" x14ac:dyDescent="0.2">
      <c r="K7" s="278" t="s">
        <v>424</v>
      </c>
      <c r="O7" s="1466">
        <v>42119</v>
      </c>
      <c r="AC7" s="278" t="s">
        <v>424</v>
      </c>
      <c r="AG7" s="1466">
        <v>42119</v>
      </c>
    </row>
    <row r="10" spans="1:33" ht="18" x14ac:dyDescent="0.25">
      <c r="C10" s="1856" t="s">
        <v>703</v>
      </c>
      <c r="D10" s="1856"/>
      <c r="E10" s="1856"/>
      <c r="F10" s="1856"/>
      <c r="G10" s="1856"/>
      <c r="H10" s="1856"/>
      <c r="I10" s="1856"/>
      <c r="J10" s="1856"/>
      <c r="K10" s="1856"/>
      <c r="L10" s="1856"/>
      <c r="M10" s="1856"/>
      <c r="N10" s="1856"/>
      <c r="O10" s="1856"/>
      <c r="U10" s="1856" t="s">
        <v>703</v>
      </c>
      <c r="V10" s="1856"/>
      <c r="W10" s="1856"/>
      <c r="X10" s="1856"/>
      <c r="Y10" s="1856"/>
      <c r="Z10" s="1856"/>
      <c r="AA10" s="1856"/>
      <c r="AB10" s="1856"/>
      <c r="AC10" s="1856"/>
      <c r="AD10" s="1856"/>
      <c r="AE10" s="1856"/>
      <c r="AF10" s="1856"/>
      <c r="AG10" s="1856"/>
    </row>
    <row r="11" spans="1:33" ht="18" x14ac:dyDescent="0.2">
      <c r="A11" s="617"/>
      <c r="B11" s="617"/>
      <c r="C11" s="2129" t="s">
        <v>688</v>
      </c>
      <c r="D11" s="2129"/>
      <c r="E11" s="2129"/>
      <c r="F11" s="2129"/>
      <c r="G11" s="2129"/>
      <c r="H11" s="2129"/>
      <c r="I11" s="2129"/>
      <c r="J11" s="2129"/>
      <c r="K11" s="2129"/>
      <c r="L11" s="2129"/>
      <c r="M11" s="2129"/>
      <c r="N11" s="2129"/>
      <c r="O11" s="2129"/>
      <c r="S11" s="617"/>
      <c r="T11" s="617"/>
      <c r="U11" s="2129" t="s">
        <v>688</v>
      </c>
      <c r="V11" s="2129"/>
      <c r="W11" s="2129"/>
      <c r="X11" s="2129"/>
      <c r="Y11" s="2129"/>
      <c r="Z11" s="2129"/>
      <c r="AA11" s="2129"/>
      <c r="AB11" s="2129"/>
      <c r="AC11" s="2129"/>
      <c r="AD11" s="2129"/>
      <c r="AE11" s="2129"/>
      <c r="AF11" s="2129"/>
      <c r="AG11" s="2129"/>
    </row>
    <row r="12" spans="1:33" x14ac:dyDescent="0.2">
      <c r="A12" s="617"/>
      <c r="B12" s="617"/>
      <c r="C12" s="617"/>
      <c r="D12" s="617"/>
      <c r="E12" s="617"/>
      <c r="F12" s="617"/>
      <c r="G12" s="617"/>
      <c r="H12" s="617"/>
      <c r="J12" s="617"/>
      <c r="K12" s="617"/>
      <c r="L12" s="617"/>
      <c r="M12" s="617"/>
      <c r="N12" s="617"/>
      <c r="O12" s="617"/>
      <c r="S12" s="617"/>
      <c r="T12" s="617"/>
      <c r="U12" s="617"/>
      <c r="V12" s="617"/>
      <c r="W12" s="617"/>
      <c r="X12" s="617"/>
      <c r="Y12" s="617"/>
      <c r="Z12" s="617"/>
      <c r="AB12" s="617"/>
      <c r="AC12" s="617"/>
      <c r="AD12" s="617"/>
      <c r="AE12" s="617"/>
      <c r="AF12" s="617"/>
      <c r="AG12" s="617"/>
    </row>
    <row r="13" spans="1:33" x14ac:dyDescent="0.2">
      <c r="A13" s="2135" t="s">
        <v>1038</v>
      </c>
      <c r="B13" s="2135"/>
      <c r="C13" s="2135"/>
      <c r="D13" s="2135"/>
      <c r="E13" s="2135"/>
      <c r="F13" s="2135"/>
      <c r="G13" s="2135"/>
      <c r="H13" s="2135"/>
      <c r="I13" s="2135"/>
      <c r="J13" s="2135"/>
      <c r="K13" s="2135"/>
      <c r="L13" s="2135"/>
      <c r="M13" s="2135"/>
      <c r="N13" s="2135"/>
      <c r="O13" s="2135"/>
      <c r="S13" s="2135" t="s">
        <v>1038</v>
      </c>
      <c r="T13" s="2135"/>
      <c r="U13" s="2135"/>
      <c r="V13" s="2135"/>
      <c r="W13" s="2135"/>
      <c r="X13" s="2135"/>
      <c r="Y13" s="2135"/>
      <c r="Z13" s="2135"/>
      <c r="AA13" s="2135"/>
      <c r="AB13" s="2135"/>
      <c r="AC13" s="2135"/>
      <c r="AD13" s="2135"/>
      <c r="AE13" s="2135"/>
      <c r="AF13" s="2135"/>
      <c r="AG13" s="2135"/>
    </row>
    <row r="14" spans="1:33" x14ac:dyDescent="0.2">
      <c r="A14" s="941"/>
      <c r="B14" s="941"/>
      <c r="C14" s="941"/>
      <c r="D14" s="941"/>
      <c r="E14" s="941"/>
      <c r="F14" s="941"/>
      <c r="G14" s="941"/>
      <c r="H14" s="941"/>
      <c r="I14" s="941"/>
      <c r="J14" s="941"/>
      <c r="K14" s="941"/>
      <c r="L14" s="941"/>
      <c r="M14" s="941"/>
      <c r="N14" s="941"/>
      <c r="O14" s="941"/>
      <c r="S14" s="1540"/>
      <c r="T14" s="1540"/>
      <c r="U14" s="1540"/>
      <c r="V14" s="1540"/>
      <c r="W14" s="1540"/>
      <c r="X14" s="1540"/>
      <c r="Y14" s="1540"/>
      <c r="Z14" s="1540"/>
      <c r="AA14" s="1540"/>
      <c r="AB14" s="1540"/>
      <c r="AC14" s="1540"/>
      <c r="AD14" s="1540"/>
      <c r="AE14" s="1540"/>
      <c r="AF14" s="1540"/>
      <c r="AG14" s="1540"/>
    </row>
    <row r="15" spans="1:33" customFormat="1" x14ac:dyDescent="0.2">
      <c r="B15" s="216"/>
      <c r="C15" s="216"/>
      <c r="G15" s="101" t="s">
        <v>51</v>
      </c>
      <c r="H15" s="2133">
        <v>2011</v>
      </c>
      <c r="I15" s="2133"/>
      <c r="J15" s="2133"/>
      <c r="T15" s="216"/>
      <c r="U15" s="216"/>
      <c r="Y15" s="101" t="s">
        <v>51</v>
      </c>
      <c r="Z15" s="2133">
        <v>2015</v>
      </c>
      <c r="AA15" s="2133"/>
      <c r="AB15" s="2133"/>
    </row>
    <row r="16" spans="1:33" x14ac:dyDescent="0.2">
      <c r="A16" s="617"/>
      <c r="B16" s="617"/>
      <c r="C16" s="617"/>
      <c r="D16" s="617"/>
      <c r="E16" s="617"/>
      <c r="F16" s="617"/>
      <c r="G16" s="617"/>
      <c r="H16" s="617"/>
      <c r="J16" s="617"/>
      <c r="K16" s="617"/>
      <c r="L16" s="617"/>
      <c r="M16" s="617"/>
      <c r="N16" s="617"/>
      <c r="O16" s="617"/>
      <c r="S16" s="617"/>
      <c r="T16" s="617"/>
      <c r="U16" s="617"/>
      <c r="V16" s="617"/>
      <c r="W16" s="617"/>
      <c r="X16" s="617"/>
      <c r="Y16" s="617"/>
      <c r="Z16" s="617"/>
      <c r="AB16" s="617"/>
      <c r="AC16" s="617"/>
      <c r="AD16" s="617"/>
      <c r="AE16" s="617"/>
      <c r="AF16" s="617"/>
      <c r="AG16" s="617"/>
    </row>
    <row r="17" spans="1:34" x14ac:dyDescent="0.2">
      <c r="A17" s="2130" t="s">
        <v>689</v>
      </c>
      <c r="B17" s="618"/>
      <c r="C17" s="618"/>
      <c r="D17" s="618"/>
      <c r="E17" s="618"/>
      <c r="F17" s="618"/>
      <c r="G17" s="618"/>
      <c r="H17" s="618"/>
      <c r="I17" s="618"/>
      <c r="J17" s="618"/>
      <c r="K17" s="618"/>
      <c r="L17" s="618"/>
      <c r="M17" s="618"/>
      <c r="N17" s="618"/>
      <c r="O17" s="618"/>
      <c r="S17" s="2130" t="s">
        <v>689</v>
      </c>
      <c r="T17" s="618"/>
      <c r="U17" s="618"/>
      <c r="V17" s="618"/>
      <c r="W17" s="618"/>
      <c r="X17" s="618"/>
      <c r="Y17" s="618"/>
      <c r="Z17" s="618"/>
      <c r="AA17" s="618"/>
      <c r="AB17" s="618"/>
      <c r="AC17" s="618"/>
      <c r="AD17" s="618"/>
      <c r="AE17" s="618"/>
      <c r="AF17" s="618"/>
      <c r="AG17" s="618"/>
    </row>
    <row r="18" spans="1:34" x14ac:dyDescent="0.2">
      <c r="A18" s="2131"/>
      <c r="B18" s="618"/>
      <c r="C18" s="619" t="s">
        <v>690</v>
      </c>
      <c r="D18" s="618"/>
      <c r="E18" s="2132" t="s">
        <v>691</v>
      </c>
      <c r="F18" s="2132"/>
      <c r="G18" s="2132"/>
      <c r="H18" s="2132"/>
      <c r="I18" s="2132"/>
      <c r="J18" s="620"/>
      <c r="K18" s="619" t="s">
        <v>425</v>
      </c>
      <c r="L18" s="621"/>
      <c r="M18" s="618"/>
      <c r="N18" s="618"/>
      <c r="O18" s="619" t="s">
        <v>692</v>
      </c>
      <c r="S18" s="2131"/>
      <c r="T18" s="618"/>
      <c r="U18" s="1541" t="s">
        <v>690</v>
      </c>
      <c r="V18" s="618"/>
      <c r="W18" s="2132" t="s">
        <v>691</v>
      </c>
      <c r="X18" s="2132"/>
      <c r="Y18" s="2132"/>
      <c r="Z18" s="2132"/>
      <c r="AA18" s="2132"/>
      <c r="AB18" s="620"/>
      <c r="AC18" s="1541" t="s">
        <v>425</v>
      </c>
      <c r="AD18" s="621"/>
      <c r="AE18" s="618"/>
      <c r="AF18" s="618"/>
      <c r="AG18" s="1541" t="s">
        <v>692</v>
      </c>
    </row>
    <row r="19" spans="1:34" x14ac:dyDescent="0.2">
      <c r="A19" s="622"/>
      <c r="B19" s="618"/>
      <c r="C19" s="618"/>
      <c r="D19" s="618"/>
      <c r="E19" s="618"/>
      <c r="F19" s="618"/>
      <c r="G19" s="618"/>
      <c r="H19" s="618"/>
      <c r="I19" s="623"/>
      <c r="J19" s="623"/>
      <c r="K19" s="618"/>
      <c r="L19" s="618"/>
      <c r="M19" s="618"/>
      <c r="N19" s="618"/>
      <c r="O19" s="618"/>
      <c r="S19" s="622"/>
      <c r="T19" s="618"/>
      <c r="U19" s="618"/>
      <c r="V19" s="618"/>
      <c r="W19" s="618"/>
      <c r="X19" s="618"/>
      <c r="Y19" s="618"/>
      <c r="Z19" s="618"/>
      <c r="AA19" s="623"/>
      <c r="AB19" s="623"/>
      <c r="AC19" s="618"/>
      <c r="AD19" s="618"/>
      <c r="AE19" s="618"/>
      <c r="AF19" s="618"/>
      <c r="AG19" s="618"/>
    </row>
    <row r="20" spans="1:34" x14ac:dyDescent="0.2">
      <c r="A20" s="624"/>
      <c r="B20" s="618"/>
      <c r="C20" s="618"/>
      <c r="D20" s="618"/>
      <c r="E20" s="625" t="s">
        <v>426</v>
      </c>
      <c r="F20" s="626"/>
      <c r="G20" s="626"/>
      <c r="H20" s="626"/>
      <c r="I20" s="625" t="s">
        <v>427</v>
      </c>
      <c r="J20" s="618"/>
      <c r="K20" s="625" t="s">
        <v>426</v>
      </c>
      <c r="L20" s="626"/>
      <c r="M20" s="618"/>
      <c r="N20" s="618"/>
      <c r="O20" s="623" t="s">
        <v>427</v>
      </c>
      <c r="P20" s="252"/>
      <c r="S20" s="624"/>
      <c r="T20" s="618"/>
      <c r="U20" s="618"/>
      <c r="V20" s="618"/>
      <c r="W20" s="625" t="s">
        <v>426</v>
      </c>
      <c r="X20" s="626"/>
      <c r="Y20" s="626"/>
      <c r="Z20" s="626"/>
      <c r="AA20" s="625" t="s">
        <v>427</v>
      </c>
      <c r="AB20" s="618"/>
      <c r="AC20" s="625" t="s">
        <v>426</v>
      </c>
      <c r="AD20" s="626"/>
      <c r="AE20" s="618"/>
      <c r="AF20" s="618"/>
      <c r="AG20" s="623" t="s">
        <v>427</v>
      </c>
      <c r="AH20" s="252"/>
    </row>
    <row r="21" spans="1:34" x14ac:dyDescent="0.2">
      <c r="A21" s="624"/>
      <c r="B21" s="618"/>
      <c r="C21" s="627" t="s">
        <v>693</v>
      </c>
      <c r="D21" s="618"/>
      <c r="E21" s="618"/>
      <c r="F21" s="618"/>
      <c r="G21" s="618"/>
      <c r="H21" s="618"/>
      <c r="I21" s="618"/>
      <c r="J21" s="618"/>
      <c r="K21" s="618"/>
      <c r="L21" s="618"/>
      <c r="M21" s="618"/>
      <c r="N21" s="618"/>
      <c r="O21" s="618"/>
      <c r="P21" s="252"/>
      <c r="S21" s="624"/>
      <c r="T21" s="618"/>
      <c r="U21" s="627" t="s">
        <v>693</v>
      </c>
      <c r="V21" s="618"/>
      <c r="W21" s="618"/>
      <c r="X21" s="618"/>
      <c r="Y21" s="618"/>
      <c r="Z21" s="618"/>
      <c r="AA21" s="618"/>
      <c r="AB21" s="618"/>
      <c r="AC21" s="618"/>
      <c r="AD21" s="618"/>
      <c r="AE21" s="618"/>
      <c r="AF21" s="618"/>
      <c r="AG21" s="618"/>
      <c r="AH21" s="252"/>
    </row>
    <row r="22" spans="1:34" x14ac:dyDescent="0.2">
      <c r="A22" s="624">
        <v>1</v>
      </c>
      <c r="B22" s="618"/>
      <c r="C22" s="628" t="s">
        <v>694</v>
      </c>
      <c r="D22" s="618"/>
      <c r="E22" s="654">
        <v>0.56000000000000005</v>
      </c>
      <c r="F22" s="629"/>
      <c r="G22" s="658"/>
      <c r="H22" s="630"/>
      <c r="I22" s="1545">
        <f>+E22*I31</f>
        <v>13371496.880000001</v>
      </c>
      <c r="J22" s="618"/>
      <c r="K22" s="654">
        <v>5.6000000000000001E-2</v>
      </c>
      <c r="L22" s="629"/>
      <c r="M22" s="658"/>
      <c r="N22" s="630"/>
      <c r="O22" s="631">
        <v>748803.82528000011</v>
      </c>
      <c r="P22" s="252"/>
      <c r="S22" s="624">
        <v>1</v>
      </c>
      <c r="T22" s="618"/>
      <c r="U22" s="628" t="s">
        <v>694</v>
      </c>
      <c r="V22" s="618"/>
      <c r="W22" s="654">
        <v>0.56000000000000005</v>
      </c>
      <c r="X22" s="629"/>
      <c r="Y22" s="658"/>
      <c r="Z22" s="630"/>
      <c r="AA22" s="1545">
        <f>+W22*AA31</f>
        <v>17619949.200000003</v>
      </c>
      <c r="AB22" s="618"/>
      <c r="AC22" s="654">
        <v>4.8800000000000003E-2</v>
      </c>
      <c r="AD22" s="629"/>
      <c r="AE22" s="658"/>
      <c r="AF22" s="630"/>
      <c r="AG22" s="631">
        <f>AC22*AA22</f>
        <v>859853.52096000023</v>
      </c>
      <c r="AH22" s="252"/>
    </row>
    <row r="23" spans="1:34" x14ac:dyDescent="0.2">
      <c r="A23" s="624">
        <v>2</v>
      </c>
      <c r="B23" s="618"/>
      <c r="C23" s="628" t="s">
        <v>695</v>
      </c>
      <c r="D23" s="618"/>
      <c r="E23" s="655">
        <v>0.04</v>
      </c>
      <c r="F23" s="629"/>
      <c r="G23" s="632" t="s">
        <v>428</v>
      </c>
      <c r="H23" s="632"/>
      <c r="I23" s="1546">
        <f>+E23*I31</f>
        <v>955106.92</v>
      </c>
      <c r="J23" s="618"/>
      <c r="K23" s="655">
        <v>2.46E-2</v>
      </c>
      <c r="L23" s="629"/>
      <c r="M23" s="658"/>
      <c r="N23" s="630"/>
      <c r="O23" s="633">
        <v>23495.630232000003</v>
      </c>
      <c r="P23" s="252"/>
      <c r="S23" s="624">
        <v>2</v>
      </c>
      <c r="T23" s="618"/>
      <c r="U23" s="628" t="s">
        <v>695</v>
      </c>
      <c r="V23" s="618"/>
      <c r="W23" s="655">
        <v>0.04</v>
      </c>
      <c r="X23" s="629"/>
      <c r="Y23" s="632" t="s">
        <v>428</v>
      </c>
      <c r="Z23" s="632"/>
      <c r="AA23" s="1546">
        <f>+W23*AA31</f>
        <v>1258567.8</v>
      </c>
      <c r="AB23" s="618"/>
      <c r="AC23" s="655">
        <v>2.1100000000000001E-2</v>
      </c>
      <c r="AD23" s="629"/>
      <c r="AE23" s="658"/>
      <c r="AF23" s="630"/>
      <c r="AG23" s="633">
        <f>AC23*AA23</f>
        <v>26555.780580000002</v>
      </c>
      <c r="AH23" s="252"/>
    </row>
    <row r="24" spans="1:34" ht="13.5" thickBot="1" x14ac:dyDescent="0.25">
      <c r="A24" s="624">
        <v>3</v>
      </c>
      <c r="B24" s="618"/>
      <c r="C24" s="624" t="s">
        <v>696</v>
      </c>
      <c r="D24" s="618"/>
      <c r="E24" s="634">
        <v>0.60000000000000009</v>
      </c>
      <c r="F24" s="635"/>
      <c r="G24" s="634"/>
      <c r="H24" s="635"/>
      <c r="I24" s="1547">
        <f>SUM(I22:I23)</f>
        <v>14326603.800000001</v>
      </c>
      <c r="J24" s="618"/>
      <c r="K24" s="637">
        <v>5.3906666666666665E-2</v>
      </c>
      <c r="L24" s="629"/>
      <c r="M24" s="659"/>
      <c r="N24" s="638"/>
      <c r="O24" s="636">
        <v>772299.45551200013</v>
      </c>
      <c r="P24" s="252"/>
      <c r="S24" s="624">
        <v>3</v>
      </c>
      <c r="T24" s="618"/>
      <c r="U24" s="624" t="s">
        <v>696</v>
      </c>
      <c r="V24" s="618"/>
      <c r="W24" s="634">
        <f>SUM(W22:W23)</f>
        <v>0.60000000000000009</v>
      </c>
      <c r="X24" s="635"/>
      <c r="Y24" s="634"/>
      <c r="Z24" s="635"/>
      <c r="AA24" s="1547">
        <f>SUM(AA22:AA23)</f>
        <v>18878517.000000004</v>
      </c>
      <c r="AB24" s="618"/>
      <c r="AC24" s="637">
        <f>IF(W24=0,0,SUMPRODUCT(W22:W23,AC22:AC23)/W24)</f>
        <v>4.6953333333333333E-2</v>
      </c>
      <c r="AD24" s="629"/>
      <c r="AE24" s="659"/>
      <c r="AF24" s="638"/>
      <c r="AG24" s="636">
        <f>SUM(AG22:AG23)</f>
        <v>886409.30154000025</v>
      </c>
      <c r="AH24" s="252"/>
    </row>
    <row r="25" spans="1:34" ht="13.5" thickTop="1" x14ac:dyDescent="0.2">
      <c r="A25" s="624"/>
      <c r="B25" s="618"/>
      <c r="C25" s="618"/>
      <c r="D25" s="618"/>
      <c r="E25" s="639"/>
      <c r="F25" s="640"/>
      <c r="G25" s="639"/>
      <c r="H25" s="640"/>
      <c r="I25" s="1548"/>
      <c r="J25" s="618"/>
      <c r="K25" s="642"/>
      <c r="L25" s="629"/>
      <c r="M25" s="638"/>
      <c r="N25" s="638"/>
      <c r="O25" s="641"/>
      <c r="P25" s="252"/>
      <c r="S25" s="624"/>
      <c r="T25" s="618"/>
      <c r="U25" s="618"/>
      <c r="V25" s="618"/>
      <c r="W25" s="639"/>
      <c r="X25" s="640"/>
      <c r="Y25" s="639"/>
      <c r="Z25" s="640"/>
      <c r="AA25" s="1548"/>
      <c r="AB25" s="618"/>
      <c r="AC25" s="642"/>
      <c r="AD25" s="629"/>
      <c r="AE25" s="638"/>
      <c r="AF25" s="638"/>
      <c r="AG25" s="641"/>
      <c r="AH25" s="252"/>
    </row>
    <row r="26" spans="1:34" x14ac:dyDescent="0.2">
      <c r="A26" s="624"/>
      <c r="B26" s="618"/>
      <c r="C26" s="627" t="s">
        <v>697</v>
      </c>
      <c r="D26" s="618"/>
      <c r="E26" s="639"/>
      <c r="F26" s="640"/>
      <c r="G26" s="639"/>
      <c r="H26" s="640"/>
      <c r="I26" s="1548"/>
      <c r="J26" s="618"/>
      <c r="K26" s="642"/>
      <c r="L26" s="629"/>
      <c r="M26" s="638"/>
      <c r="N26" s="638"/>
      <c r="O26" s="641"/>
      <c r="P26" s="252"/>
      <c r="S26" s="624"/>
      <c r="T26" s="618"/>
      <c r="U26" s="627" t="s">
        <v>697</v>
      </c>
      <c r="V26" s="618"/>
      <c r="W26" s="639"/>
      <c r="X26" s="640"/>
      <c r="Y26" s="639"/>
      <c r="Z26" s="640"/>
      <c r="AA26" s="1548"/>
      <c r="AB26" s="618"/>
      <c r="AC26" s="642"/>
      <c r="AD26" s="629"/>
      <c r="AE26" s="638"/>
      <c r="AF26" s="638"/>
      <c r="AG26" s="641"/>
      <c r="AH26" s="252"/>
    </row>
    <row r="27" spans="1:34" x14ac:dyDescent="0.2">
      <c r="A27" s="643">
        <v>4</v>
      </c>
      <c r="B27" s="644"/>
      <c r="C27" s="645" t="s">
        <v>698</v>
      </c>
      <c r="D27" s="644"/>
      <c r="E27" s="656">
        <v>0.4</v>
      </c>
      <c r="F27" s="646"/>
      <c r="G27" s="658"/>
      <c r="H27" s="630"/>
      <c r="I27" s="1549">
        <f>+E27*I31</f>
        <v>9551069.2000000011</v>
      </c>
      <c r="J27" s="644"/>
      <c r="K27" s="656">
        <v>9.5799999999999996E-2</v>
      </c>
      <c r="L27" s="646"/>
      <c r="M27" s="658"/>
      <c r="N27" s="630"/>
      <c r="O27" s="647">
        <v>914992.42936000007</v>
      </c>
      <c r="P27" s="252"/>
      <c r="S27" s="643">
        <v>4</v>
      </c>
      <c r="T27" s="644"/>
      <c r="U27" s="645" t="s">
        <v>698</v>
      </c>
      <c r="V27" s="644"/>
      <c r="W27" s="656">
        <v>0.4</v>
      </c>
      <c r="X27" s="646"/>
      <c r="Y27" s="658"/>
      <c r="Z27" s="630"/>
      <c r="AA27" s="1549">
        <f>+W27*AA31</f>
        <v>12585678</v>
      </c>
      <c r="AB27" s="644"/>
      <c r="AC27" s="656">
        <v>9.3600000000000003E-2</v>
      </c>
      <c r="AD27" s="646"/>
      <c r="AE27" s="658"/>
      <c r="AF27" s="630"/>
      <c r="AG27" s="647">
        <f>AC27*AA27</f>
        <v>1178019.4608</v>
      </c>
      <c r="AH27" s="252"/>
    </row>
    <row r="28" spans="1:34" x14ac:dyDescent="0.2">
      <c r="A28" s="643">
        <v>5</v>
      </c>
      <c r="B28" s="644"/>
      <c r="C28" s="645" t="s">
        <v>699</v>
      </c>
      <c r="D28" s="644"/>
      <c r="E28" s="657"/>
      <c r="F28" s="646"/>
      <c r="G28" s="658"/>
      <c r="H28" s="630"/>
      <c r="I28" s="1550">
        <f>+E28*I31</f>
        <v>0</v>
      </c>
      <c r="J28" s="644"/>
      <c r="K28" s="657"/>
      <c r="L28" s="646"/>
      <c r="M28" s="658"/>
      <c r="N28" s="630"/>
      <c r="O28" s="648">
        <v>0</v>
      </c>
      <c r="P28" s="252"/>
      <c r="S28" s="643">
        <v>5</v>
      </c>
      <c r="T28" s="644"/>
      <c r="U28" s="645" t="s">
        <v>699</v>
      </c>
      <c r="V28" s="644"/>
      <c r="W28" s="657">
        <v>0</v>
      </c>
      <c r="X28" s="646"/>
      <c r="Y28" s="658"/>
      <c r="Z28" s="630"/>
      <c r="AA28" s="1550">
        <f>+W28*AA31</f>
        <v>0</v>
      </c>
      <c r="AB28" s="644"/>
      <c r="AC28" s="657"/>
      <c r="AD28" s="646"/>
      <c r="AE28" s="658"/>
      <c r="AF28" s="630"/>
      <c r="AG28" s="648">
        <f>AC28*AA28</f>
        <v>0</v>
      </c>
      <c r="AH28" s="252"/>
    </row>
    <row r="29" spans="1:34" ht="13.5" thickBot="1" x14ac:dyDescent="0.25">
      <c r="A29" s="624">
        <v>6</v>
      </c>
      <c r="B29" s="618"/>
      <c r="C29" s="624" t="s">
        <v>700</v>
      </c>
      <c r="D29" s="618"/>
      <c r="E29" s="634">
        <v>0.4</v>
      </c>
      <c r="F29" s="634"/>
      <c r="G29" s="634"/>
      <c r="H29" s="635"/>
      <c r="I29" s="1547">
        <f>SUM(I27:I28)</f>
        <v>9551069.2000000011</v>
      </c>
      <c r="J29" s="618"/>
      <c r="K29" s="637">
        <v>9.5799999999999996E-2</v>
      </c>
      <c r="L29" s="629"/>
      <c r="M29" s="638"/>
      <c r="N29" s="638"/>
      <c r="O29" s="636">
        <v>914992.42936000007</v>
      </c>
      <c r="P29" s="252"/>
      <c r="S29" s="624">
        <v>6</v>
      </c>
      <c r="T29" s="618"/>
      <c r="U29" s="624" t="s">
        <v>700</v>
      </c>
      <c r="V29" s="618"/>
      <c r="W29" s="634">
        <f>SUM(W27:W28)</f>
        <v>0.4</v>
      </c>
      <c r="X29" s="634"/>
      <c r="Y29" s="634"/>
      <c r="Z29" s="635"/>
      <c r="AA29" s="1547">
        <f>SUM(AA27:AA28)</f>
        <v>12585678</v>
      </c>
      <c r="AB29" s="618"/>
      <c r="AC29" s="637">
        <f>IF(W29=0,0,SUMPRODUCT(W27:W28,AC27:AC28)/W29)</f>
        <v>9.3600000000000003E-2</v>
      </c>
      <c r="AD29" s="629"/>
      <c r="AE29" s="638"/>
      <c r="AF29" s="638"/>
      <c r="AG29" s="636">
        <f>SUM(AG27:AG28)</f>
        <v>1178019.4608</v>
      </c>
      <c r="AH29" s="252"/>
    </row>
    <row r="30" spans="1:34" ht="13.5" thickTop="1" x14ac:dyDescent="0.2">
      <c r="A30" s="624"/>
      <c r="B30" s="618"/>
      <c r="C30" s="618"/>
      <c r="D30" s="618"/>
      <c r="E30" s="618"/>
      <c r="F30" s="618"/>
      <c r="G30" s="618"/>
      <c r="H30" s="618"/>
      <c r="I30" s="1548"/>
      <c r="J30" s="618"/>
      <c r="K30" s="642"/>
      <c r="L30" s="642"/>
      <c r="M30" s="638"/>
      <c r="N30" s="638"/>
      <c r="O30" s="641"/>
      <c r="P30" s="252"/>
      <c r="S30" s="624"/>
      <c r="T30" s="618"/>
      <c r="U30" s="618"/>
      <c r="V30" s="618"/>
      <c r="W30" s="618"/>
      <c r="X30" s="618"/>
      <c r="Y30" s="618"/>
      <c r="Z30" s="618"/>
      <c r="AA30" s="1548"/>
      <c r="AB30" s="618"/>
      <c r="AC30" s="642"/>
      <c r="AD30" s="642"/>
      <c r="AE30" s="638"/>
      <c r="AF30" s="638"/>
      <c r="AG30" s="641"/>
      <c r="AH30" s="252"/>
    </row>
    <row r="31" spans="1:34" ht="13.5" thickBot="1" x14ac:dyDescent="0.25">
      <c r="A31" s="624">
        <v>7</v>
      </c>
      <c r="B31" s="618"/>
      <c r="C31" s="627" t="s">
        <v>413</v>
      </c>
      <c r="D31" s="618"/>
      <c r="E31" s="649">
        <v>1</v>
      </c>
      <c r="F31" s="649"/>
      <c r="G31" s="650"/>
      <c r="H31" s="650"/>
      <c r="I31" s="1551">
        <v>23877673</v>
      </c>
      <c r="J31" s="618"/>
      <c r="K31" s="651">
        <v>7.0664000000000005E-2</v>
      </c>
      <c r="L31" s="642"/>
      <c r="M31" s="618"/>
      <c r="N31" s="618"/>
      <c r="O31" s="652">
        <v>1687291.8848720002</v>
      </c>
      <c r="P31" s="252"/>
      <c r="S31" s="624">
        <v>7</v>
      </c>
      <c r="T31" s="618"/>
      <c r="U31" s="627" t="s">
        <v>413</v>
      </c>
      <c r="V31" s="618"/>
      <c r="W31" s="649">
        <v>1</v>
      </c>
      <c r="X31" s="649"/>
      <c r="Y31" s="650"/>
      <c r="Z31" s="650"/>
      <c r="AA31" s="1551">
        <v>31464195</v>
      </c>
      <c r="AB31" s="618"/>
      <c r="AC31" s="651">
        <f>(AC24*W24)+(AC29*W29)</f>
        <v>6.5612000000000004E-2</v>
      </c>
      <c r="AD31" s="642"/>
      <c r="AE31" s="618"/>
      <c r="AF31" s="618"/>
      <c r="AG31" s="652">
        <f>AG24+AG29</f>
        <v>2064428.7623400004</v>
      </c>
      <c r="AH31" s="252"/>
    </row>
    <row r="32" spans="1:34" ht="13.5" thickTop="1" x14ac:dyDescent="0.2">
      <c r="A32" s="624"/>
      <c r="B32" s="618"/>
      <c r="C32" s="618"/>
      <c r="D32" s="618"/>
      <c r="E32" s="618"/>
      <c r="F32" s="618"/>
      <c r="G32" s="618"/>
      <c r="H32" s="618"/>
      <c r="I32" s="618"/>
      <c r="J32" s="618"/>
      <c r="K32" s="618"/>
      <c r="L32" s="618"/>
      <c r="M32" s="618"/>
      <c r="N32" s="618"/>
      <c r="O32" s="618"/>
      <c r="P32" s="252"/>
      <c r="S32" s="624"/>
      <c r="T32" s="618"/>
      <c r="U32" s="618"/>
      <c r="V32" s="618"/>
      <c r="W32" s="618"/>
      <c r="X32" s="618"/>
      <c r="Y32" s="618"/>
      <c r="Z32" s="618"/>
      <c r="AA32" s="618"/>
      <c r="AB32" s="618"/>
      <c r="AC32" s="618"/>
      <c r="AD32" s="618"/>
      <c r="AE32" s="618"/>
      <c r="AF32" s="618"/>
      <c r="AG32" s="618"/>
      <c r="AH32" s="252"/>
    </row>
    <row r="33" spans="1:34" x14ac:dyDescent="0.2">
      <c r="A33" s="624"/>
      <c r="B33" s="618"/>
      <c r="C33" s="618"/>
      <c r="D33" s="618"/>
      <c r="E33" s="618"/>
      <c r="F33" s="618"/>
      <c r="G33" s="618"/>
      <c r="H33" s="618"/>
      <c r="I33" s="618"/>
      <c r="J33" s="618"/>
      <c r="K33" s="618"/>
      <c r="L33" s="618"/>
      <c r="M33" s="618"/>
      <c r="N33" s="618"/>
      <c r="O33" s="618"/>
      <c r="P33" s="252"/>
      <c r="S33" s="624"/>
      <c r="T33" s="618"/>
      <c r="U33" s="618"/>
      <c r="V33" s="618"/>
      <c r="W33" s="618"/>
      <c r="X33" s="618"/>
      <c r="Y33" s="618"/>
      <c r="Z33" s="618"/>
      <c r="AA33" s="618"/>
      <c r="AB33" s="618"/>
      <c r="AC33" s="618"/>
      <c r="AD33" s="618"/>
      <c r="AE33" s="618"/>
      <c r="AF33" s="618"/>
      <c r="AG33" s="618"/>
      <c r="AH33" s="252"/>
    </row>
    <row r="34" spans="1:34" x14ac:dyDescent="0.2">
      <c r="A34" s="2137" t="s">
        <v>429</v>
      </c>
      <c r="B34" s="2137"/>
      <c r="C34" s="2137"/>
      <c r="D34" s="2137"/>
      <c r="E34" s="2137"/>
      <c r="F34" s="2137"/>
      <c r="G34" s="2137"/>
      <c r="H34" s="2137"/>
      <c r="I34" s="2137"/>
      <c r="J34" s="2137"/>
      <c r="K34" s="2137"/>
      <c r="L34" s="2137"/>
      <c r="M34" s="2137"/>
      <c r="N34" s="2137"/>
      <c r="O34" s="2137"/>
      <c r="S34" s="2137" t="s">
        <v>429</v>
      </c>
      <c r="T34" s="2137"/>
      <c r="U34" s="2137"/>
      <c r="V34" s="2137"/>
      <c r="W34" s="2137"/>
      <c r="X34" s="2137"/>
      <c r="Y34" s="2137"/>
      <c r="Z34" s="2137"/>
      <c r="AA34" s="2137"/>
      <c r="AB34" s="2137"/>
      <c r="AC34" s="2137"/>
      <c r="AD34" s="2137"/>
      <c r="AE34" s="2137"/>
      <c r="AF34" s="2137"/>
      <c r="AG34" s="2137"/>
    </row>
    <row r="35" spans="1:34" x14ac:dyDescent="0.2">
      <c r="A35" s="660" t="s">
        <v>428</v>
      </c>
      <c r="B35" s="617"/>
      <c r="C35" s="2136" t="s">
        <v>701</v>
      </c>
      <c r="D35" s="2136"/>
      <c r="E35" s="2136"/>
      <c r="F35" s="2136"/>
      <c r="G35" s="2136"/>
      <c r="H35" s="2136"/>
      <c r="I35" s="2136"/>
      <c r="J35" s="2136"/>
      <c r="K35" s="2136"/>
      <c r="L35" s="2136"/>
      <c r="M35" s="2136"/>
      <c r="N35" s="2136"/>
      <c r="O35" s="2136"/>
      <c r="S35" s="660" t="s">
        <v>428</v>
      </c>
      <c r="T35" s="617"/>
      <c r="U35" s="2136" t="s">
        <v>701</v>
      </c>
      <c r="V35" s="2136"/>
      <c r="W35" s="2136"/>
      <c r="X35" s="2136"/>
      <c r="Y35" s="2136"/>
      <c r="Z35" s="2136"/>
      <c r="AA35" s="2136"/>
      <c r="AB35" s="2136"/>
      <c r="AC35" s="2136"/>
      <c r="AD35" s="2136"/>
      <c r="AE35" s="2136"/>
      <c r="AF35" s="2136"/>
      <c r="AG35" s="2136"/>
    </row>
    <row r="36" spans="1:34" x14ac:dyDescent="0.2">
      <c r="A36" s="661"/>
      <c r="B36" s="617"/>
      <c r="C36" s="2134"/>
      <c r="D36" s="2134"/>
      <c r="E36" s="2134"/>
      <c r="F36" s="2134"/>
      <c r="G36" s="2134"/>
      <c r="H36" s="2134"/>
      <c r="I36" s="2134"/>
      <c r="J36" s="2134"/>
      <c r="K36" s="2134"/>
      <c r="L36" s="2134"/>
      <c r="M36" s="2134"/>
      <c r="N36" s="2134"/>
      <c r="O36" s="2134"/>
      <c r="S36" s="661"/>
      <c r="T36" s="617"/>
      <c r="U36" s="2134"/>
      <c r="V36" s="2134"/>
      <c r="W36" s="2134"/>
      <c r="X36" s="2134"/>
      <c r="Y36" s="2134"/>
      <c r="Z36" s="2134"/>
      <c r="AA36" s="2134"/>
      <c r="AB36" s="2134"/>
      <c r="AC36" s="2134"/>
      <c r="AD36" s="2134"/>
      <c r="AE36" s="2134"/>
      <c r="AF36" s="2134"/>
      <c r="AG36" s="2134"/>
    </row>
    <row r="37" spans="1:34" x14ac:dyDescent="0.2">
      <c r="A37" s="661"/>
      <c r="B37" s="617"/>
      <c r="C37" s="2134"/>
      <c r="D37" s="2134"/>
      <c r="E37" s="2134"/>
      <c r="F37" s="2134"/>
      <c r="G37" s="2134"/>
      <c r="H37" s="2134"/>
      <c r="I37" s="2134"/>
      <c r="J37" s="2134"/>
      <c r="K37" s="2134"/>
      <c r="L37" s="2134"/>
      <c r="M37" s="2134"/>
      <c r="N37" s="2134"/>
      <c r="O37" s="2134"/>
      <c r="S37" s="661"/>
      <c r="T37" s="617"/>
      <c r="U37" s="2134"/>
      <c r="V37" s="2134"/>
      <c r="W37" s="2134"/>
      <c r="X37" s="2134"/>
      <c r="Y37" s="2134"/>
      <c r="Z37" s="2134"/>
      <c r="AA37" s="2134"/>
      <c r="AB37" s="2134"/>
      <c r="AC37" s="2134"/>
      <c r="AD37" s="2134"/>
      <c r="AE37" s="2134"/>
      <c r="AF37" s="2134"/>
      <c r="AG37" s="2134"/>
    </row>
    <row r="38" spans="1:34" x14ac:dyDescent="0.2">
      <c r="A38" s="661"/>
      <c r="B38" s="617"/>
      <c r="C38" s="2134"/>
      <c r="D38" s="2134"/>
      <c r="E38" s="2134"/>
      <c r="F38" s="2134"/>
      <c r="G38" s="2134"/>
      <c r="H38" s="2134"/>
      <c r="I38" s="2134"/>
      <c r="J38" s="2134"/>
      <c r="K38" s="2134"/>
      <c r="L38" s="2134"/>
      <c r="M38" s="2134"/>
      <c r="N38" s="2134"/>
      <c r="O38" s="2134"/>
      <c r="S38" s="661"/>
      <c r="T38" s="617"/>
      <c r="U38" s="2134"/>
      <c r="V38" s="2134"/>
      <c r="W38" s="2134"/>
      <c r="X38" s="2134"/>
      <c r="Y38" s="2134"/>
      <c r="Z38" s="2134"/>
      <c r="AA38" s="2134"/>
      <c r="AB38" s="2134"/>
      <c r="AC38" s="2134"/>
      <c r="AD38" s="2134"/>
      <c r="AE38" s="2134"/>
      <c r="AF38" s="2134"/>
      <c r="AG38" s="2134"/>
    </row>
    <row r="39" spans="1:34" x14ac:dyDescent="0.2">
      <c r="A39" s="661"/>
      <c r="B39" s="617"/>
      <c r="C39" s="2134"/>
      <c r="D39" s="2134"/>
      <c r="E39" s="2134"/>
      <c r="F39" s="2134"/>
      <c r="G39" s="2134"/>
      <c r="H39" s="2134"/>
      <c r="I39" s="2134"/>
      <c r="J39" s="2134"/>
      <c r="K39" s="2134"/>
      <c r="L39" s="2134"/>
      <c r="M39" s="2134"/>
      <c r="N39" s="2134"/>
      <c r="O39" s="2134"/>
      <c r="S39" s="661"/>
      <c r="T39" s="617"/>
      <c r="U39" s="2134"/>
      <c r="V39" s="2134"/>
      <c r="W39" s="2134"/>
      <c r="X39" s="2134"/>
      <c r="Y39" s="2134"/>
      <c r="Z39" s="2134"/>
      <c r="AA39" s="2134"/>
      <c r="AB39" s="2134"/>
      <c r="AC39" s="2134"/>
      <c r="AD39" s="2134"/>
      <c r="AE39" s="2134"/>
      <c r="AF39" s="2134"/>
      <c r="AG39" s="2134"/>
    </row>
    <row r="40" spans="1:34" x14ac:dyDescent="0.2">
      <c r="A40" s="661"/>
      <c r="B40" s="617"/>
      <c r="C40" s="2134"/>
      <c r="D40" s="2134"/>
      <c r="E40" s="2134"/>
      <c r="F40" s="2134"/>
      <c r="G40" s="2134"/>
      <c r="H40" s="2134"/>
      <c r="I40" s="2134"/>
      <c r="J40" s="2134"/>
      <c r="K40" s="2134"/>
      <c r="L40" s="2134"/>
      <c r="M40" s="2134"/>
      <c r="N40" s="2134"/>
      <c r="O40" s="2134"/>
      <c r="S40" s="661"/>
      <c r="T40" s="617"/>
      <c r="U40" s="2134"/>
      <c r="V40" s="2134"/>
      <c r="W40" s="2134"/>
      <c r="X40" s="2134"/>
      <c r="Y40" s="2134"/>
      <c r="Z40" s="2134"/>
      <c r="AA40" s="2134"/>
      <c r="AB40" s="2134"/>
      <c r="AC40" s="2134"/>
      <c r="AD40" s="2134"/>
      <c r="AE40" s="2134"/>
      <c r="AF40" s="2134"/>
      <c r="AG40" s="2134"/>
    </row>
    <row r="41" spans="1:34" x14ac:dyDescent="0.2">
      <c r="A41" s="661"/>
      <c r="B41" s="617"/>
      <c r="C41" s="2134"/>
      <c r="D41" s="2134"/>
      <c r="E41" s="2134"/>
      <c r="F41" s="2134"/>
      <c r="G41" s="2134"/>
      <c r="H41" s="2134"/>
      <c r="I41" s="2134"/>
      <c r="J41" s="2134"/>
      <c r="K41" s="2134"/>
      <c r="L41" s="2134"/>
      <c r="M41" s="2134"/>
      <c r="N41" s="2134"/>
      <c r="O41" s="2134"/>
      <c r="S41" s="661"/>
      <c r="T41" s="617"/>
      <c r="U41" s="2134"/>
      <c r="V41" s="2134"/>
      <c r="W41" s="2134"/>
      <c r="X41" s="2134"/>
      <c r="Y41" s="2134"/>
      <c r="Z41" s="2134"/>
      <c r="AA41" s="2134"/>
      <c r="AB41" s="2134"/>
      <c r="AC41" s="2134"/>
      <c r="AD41" s="2134"/>
      <c r="AE41" s="2134"/>
      <c r="AF41" s="2134"/>
      <c r="AG41" s="2134"/>
    </row>
    <row r="44" spans="1:34" ht="18" x14ac:dyDescent="0.25">
      <c r="C44" s="653"/>
    </row>
  </sheetData>
  <mergeCells count="28">
    <mergeCell ref="U39:AG39"/>
    <mergeCell ref="U40:AG40"/>
    <mergeCell ref="U41:AG41"/>
    <mergeCell ref="S34:AG34"/>
    <mergeCell ref="U35:AG35"/>
    <mergeCell ref="U36:AG36"/>
    <mergeCell ref="U37:AG37"/>
    <mergeCell ref="U38:AG38"/>
    <mergeCell ref="U10:AG10"/>
    <mergeCell ref="U11:AG11"/>
    <mergeCell ref="S13:AG13"/>
    <mergeCell ref="Z15:AB15"/>
    <mergeCell ref="S17:S18"/>
    <mergeCell ref="W18:AA18"/>
    <mergeCell ref="C41:O41"/>
    <mergeCell ref="A13:O13"/>
    <mergeCell ref="C35:O35"/>
    <mergeCell ref="C36:O36"/>
    <mergeCell ref="C37:O37"/>
    <mergeCell ref="C38:O38"/>
    <mergeCell ref="C39:O39"/>
    <mergeCell ref="C40:O40"/>
    <mergeCell ref="A34:O34"/>
    <mergeCell ref="C10:O10"/>
    <mergeCell ref="C11:O11"/>
    <mergeCell ref="A17:A18"/>
    <mergeCell ref="E18:I18"/>
    <mergeCell ref="H15:J15"/>
  </mergeCells>
  <dataValidations disablePrompts="1"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AG7"/>
  </dataValidations>
  <pageMargins left="0.75" right="0.75" top="1" bottom="1" header="0.5" footer="0.5"/>
  <pageSetup scale="8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fitToPage="1"/>
  </sheetPr>
  <dimension ref="B1:L81"/>
  <sheetViews>
    <sheetView showGridLines="0" topLeftCell="A56" zoomScaleNormal="100" workbookViewId="0">
      <selection activeCell="Q27" sqref="Q27"/>
    </sheetView>
  </sheetViews>
  <sheetFormatPr defaultRowHeight="12.75" x14ac:dyDescent="0.2"/>
  <cols>
    <col min="1" max="1" width="5.85546875" bestFit="1" customWidth="1"/>
    <col min="2" max="2" width="6" bestFit="1" customWidth="1"/>
    <col min="3" max="3" width="17.140625" customWidth="1"/>
    <col min="4" max="4" width="15.42578125" bestFit="1" customWidth="1"/>
    <col min="5" max="5" width="14" customWidth="1"/>
    <col min="6" max="6" width="12.28515625" customWidth="1"/>
    <col min="7" max="7" width="9.42578125" bestFit="1" customWidth="1"/>
    <col min="8" max="8" width="13.140625" customWidth="1"/>
    <col min="9" max="9" width="12.28515625" bestFit="1" customWidth="1"/>
    <col min="10" max="10" width="13.5703125" customWidth="1"/>
    <col min="11" max="11" width="18.140625" customWidth="1"/>
    <col min="12" max="12" width="15.7109375" bestFit="1" customWidth="1"/>
    <col min="13" max="13" width="3.5703125" customWidth="1"/>
    <col min="14" max="14" width="1.7109375" customWidth="1"/>
    <col min="15" max="15" width="14" customWidth="1"/>
    <col min="16" max="16" width="2.140625" customWidth="1"/>
  </cols>
  <sheetData>
    <row r="1" spans="2:12" x14ac:dyDescent="0.2">
      <c r="J1" s="452" t="s">
        <v>419</v>
      </c>
      <c r="K1" s="766" t="str">
        <f>EBNUMBER</f>
        <v>EB-2014-0113</v>
      </c>
    </row>
    <row r="2" spans="2:12" x14ac:dyDescent="0.2">
      <c r="J2" s="452" t="s">
        <v>420</v>
      </c>
      <c r="K2" s="209">
        <v>5</v>
      </c>
    </row>
    <row r="3" spans="2:12" x14ac:dyDescent="0.2">
      <c r="J3" s="452" t="s">
        <v>421</v>
      </c>
      <c r="K3" s="209">
        <v>2</v>
      </c>
    </row>
    <row r="4" spans="2:12" x14ac:dyDescent="0.2">
      <c r="J4" s="452" t="s">
        <v>422</v>
      </c>
      <c r="K4" s="209">
        <v>2</v>
      </c>
    </row>
    <row r="5" spans="2:12" x14ac:dyDescent="0.2">
      <c r="J5" s="452" t="s">
        <v>423</v>
      </c>
      <c r="K5" s="210"/>
    </row>
    <row r="6" spans="2:12" x14ac:dyDescent="0.2">
      <c r="J6" s="547"/>
      <c r="K6" s="208"/>
    </row>
    <row r="7" spans="2:12" x14ac:dyDescent="0.2">
      <c r="J7" s="452" t="s">
        <v>424</v>
      </c>
      <c r="K7" s="1466">
        <v>42119</v>
      </c>
    </row>
    <row r="11" spans="2:12" ht="18" x14ac:dyDescent="0.25">
      <c r="B11" s="1746" t="s">
        <v>702</v>
      </c>
      <c r="C11" s="1746"/>
      <c r="D11" s="1746"/>
      <c r="E11" s="1746"/>
      <c r="F11" s="1746"/>
      <c r="G11" s="1746"/>
      <c r="H11" s="1746"/>
      <c r="I11" s="1746"/>
      <c r="J11" s="1746"/>
      <c r="K11" s="1746"/>
      <c r="L11" s="1746"/>
    </row>
    <row r="12" spans="2:12" ht="18" x14ac:dyDescent="0.25">
      <c r="B12" s="1746" t="s">
        <v>664</v>
      </c>
      <c r="C12" s="1746"/>
      <c r="D12" s="1746"/>
      <c r="E12" s="1746"/>
      <c r="F12" s="1746"/>
      <c r="G12" s="1746"/>
      <c r="H12" s="1746"/>
      <c r="I12" s="1746"/>
      <c r="J12" s="1746"/>
      <c r="K12" s="1746"/>
      <c r="L12" s="1746"/>
    </row>
    <row r="14" spans="2:12" x14ac:dyDescent="0.2">
      <c r="B14" s="2138" t="s">
        <v>1037</v>
      </c>
      <c r="C14" s="2138"/>
      <c r="D14" s="2138"/>
      <c r="E14" s="2138"/>
      <c r="F14" s="2138"/>
      <c r="G14" s="2138"/>
      <c r="H14" s="2138"/>
      <c r="I14" s="2138"/>
      <c r="J14" s="2138"/>
      <c r="K14" s="2138"/>
      <c r="L14" s="2138"/>
    </row>
    <row r="15" spans="2:12" ht="15.75" x14ac:dyDescent="0.2">
      <c r="E15" s="616" t="s">
        <v>40</v>
      </c>
      <c r="F15" s="557"/>
      <c r="G15">
        <v>2011</v>
      </c>
    </row>
    <row r="16" spans="2:12" ht="13.5" thickBot="1" x14ac:dyDescent="0.25"/>
    <row r="17" spans="2:12" ht="27.75" customHeight="1" x14ac:dyDescent="0.2">
      <c r="B17" s="945" t="s">
        <v>666</v>
      </c>
      <c r="C17" s="1539" t="s">
        <v>346</v>
      </c>
      <c r="D17" s="1539" t="s">
        <v>656</v>
      </c>
      <c r="E17" s="947" t="s">
        <v>657</v>
      </c>
      <c r="F17" s="947" t="s">
        <v>658</v>
      </c>
      <c r="G17" s="1539" t="s">
        <v>659</v>
      </c>
      <c r="H17" s="948" t="s">
        <v>668</v>
      </c>
      <c r="I17" s="948" t="s">
        <v>667</v>
      </c>
      <c r="J17" s="947" t="s">
        <v>665</v>
      </c>
      <c r="K17" s="947" t="s">
        <v>660</v>
      </c>
      <c r="L17" s="959" t="s">
        <v>1036</v>
      </c>
    </row>
    <row r="18" spans="2:12" x14ac:dyDescent="0.2">
      <c r="B18" s="375">
        <v>1</v>
      </c>
      <c r="C18" s="205" t="s">
        <v>2073</v>
      </c>
      <c r="D18" s="205" t="s">
        <v>2074</v>
      </c>
      <c r="E18" s="557" t="s">
        <v>2075</v>
      </c>
      <c r="F18" s="557" t="s">
        <v>2076</v>
      </c>
      <c r="G18" s="555">
        <v>40497</v>
      </c>
      <c r="H18" s="205">
        <v>6</v>
      </c>
      <c r="I18" s="204">
        <v>7714426</v>
      </c>
      <c r="J18" s="1552">
        <v>0.09</v>
      </c>
      <c r="K18" s="556">
        <f>I18*J18</f>
        <v>694298.34</v>
      </c>
      <c r="L18" s="70"/>
    </row>
    <row r="19" spans="2:12" x14ac:dyDescent="0.2">
      <c r="B19" s="375">
        <v>2</v>
      </c>
      <c r="C19" s="205" t="s">
        <v>2077</v>
      </c>
      <c r="D19" s="205" t="s">
        <v>2078</v>
      </c>
      <c r="E19" s="557" t="s">
        <v>2079</v>
      </c>
      <c r="F19" s="557" t="s">
        <v>2080</v>
      </c>
      <c r="G19" s="555"/>
      <c r="H19" s="205">
        <v>2</v>
      </c>
      <c r="I19" s="204">
        <v>2500000</v>
      </c>
      <c r="J19" s="1552">
        <f>+K19/I19*1.2</f>
        <v>4.1119017600000002E-2</v>
      </c>
      <c r="K19" s="556">
        <v>85664.62</v>
      </c>
      <c r="L19" s="70" t="s">
        <v>2081</v>
      </c>
    </row>
    <row r="20" spans="2:12" x14ac:dyDescent="0.2">
      <c r="B20" s="375">
        <v>2</v>
      </c>
      <c r="C20" s="205" t="s">
        <v>2077</v>
      </c>
      <c r="D20" s="205" t="s">
        <v>2078</v>
      </c>
      <c r="E20" s="557" t="s">
        <v>2079</v>
      </c>
      <c r="F20" s="557" t="s">
        <v>2080</v>
      </c>
      <c r="G20" s="555">
        <v>40848</v>
      </c>
      <c r="H20" s="205">
        <v>2</v>
      </c>
      <c r="I20" s="204">
        <v>3500000</v>
      </c>
      <c r="J20" s="1552">
        <f>+K20/I20/2*12</f>
        <v>4.2327308571428572E-2</v>
      </c>
      <c r="K20" s="556">
        <v>24690.93</v>
      </c>
      <c r="L20" s="70" t="s">
        <v>2082</v>
      </c>
    </row>
    <row r="21" spans="2:12" x14ac:dyDescent="0.2">
      <c r="B21" s="375">
        <v>11</v>
      </c>
      <c r="C21" s="205"/>
      <c r="D21" s="205"/>
      <c r="E21" s="557"/>
      <c r="F21" s="557"/>
      <c r="G21" s="555"/>
      <c r="H21" s="205"/>
      <c r="I21" s="204"/>
      <c r="J21" s="1552"/>
      <c r="K21" s="556">
        <f t="shared" ref="K21:K22" si="0">I21*J21</f>
        <v>0</v>
      </c>
      <c r="L21" s="70"/>
    </row>
    <row r="22" spans="2:12" x14ac:dyDescent="0.2">
      <c r="B22" s="375">
        <v>12</v>
      </c>
      <c r="C22" s="205"/>
      <c r="D22" s="205"/>
      <c r="E22" s="557"/>
      <c r="F22" s="557"/>
      <c r="G22" s="555"/>
      <c r="H22" s="205"/>
      <c r="I22" s="204"/>
      <c r="J22" s="1552"/>
      <c r="K22" s="556">
        <f t="shared" si="0"/>
        <v>0</v>
      </c>
      <c r="L22" s="70"/>
    </row>
    <row r="23" spans="2:12" ht="13.5" thickBot="1" x14ac:dyDescent="0.25">
      <c r="B23" s="548"/>
      <c r="C23" s="549"/>
      <c r="D23" s="550"/>
      <c r="E23" s="550"/>
      <c r="F23" s="550"/>
      <c r="G23" s="549"/>
      <c r="H23" s="550"/>
      <c r="I23" s="550"/>
      <c r="J23" s="1553"/>
      <c r="K23" s="549"/>
      <c r="L23" s="70"/>
    </row>
    <row r="24" spans="2:12" ht="14.25" thickTop="1" thickBot="1" x14ac:dyDescent="0.25">
      <c r="B24" s="551" t="s">
        <v>413</v>
      </c>
      <c r="C24" s="103"/>
      <c r="D24" s="552"/>
      <c r="E24" s="552"/>
      <c r="F24" s="552"/>
      <c r="G24" s="103"/>
      <c r="H24" s="552"/>
      <c r="I24" s="64">
        <f>+I18+I20</f>
        <v>11214426</v>
      </c>
      <c r="J24" s="1554">
        <f>IF(I24=0,"",K24/I24)</f>
        <v>7.1751678596835899E-2</v>
      </c>
      <c r="K24" s="553">
        <f>SUM(K18:K22)</f>
        <v>804653.89</v>
      </c>
      <c r="L24" s="554"/>
    </row>
    <row r="27" spans="2:12" ht="15.75" x14ac:dyDescent="0.2">
      <c r="E27" s="616" t="s">
        <v>40</v>
      </c>
      <c r="F27" s="557">
        <v>2012</v>
      </c>
    </row>
    <row r="28" spans="2:12" ht="13.5" thickBot="1" x14ac:dyDescent="0.25"/>
    <row r="29" spans="2:12" ht="60.75" customHeight="1" x14ac:dyDescent="0.2">
      <c r="B29" s="945" t="s">
        <v>666</v>
      </c>
      <c r="C29" s="1539" t="s">
        <v>346</v>
      </c>
      <c r="D29" s="1539" t="s">
        <v>656</v>
      </c>
      <c r="E29" s="947" t="s">
        <v>657</v>
      </c>
      <c r="F29" s="947" t="s">
        <v>658</v>
      </c>
      <c r="G29" s="1539" t="s">
        <v>659</v>
      </c>
      <c r="H29" s="948" t="s">
        <v>668</v>
      </c>
      <c r="I29" s="948" t="s">
        <v>667</v>
      </c>
      <c r="J29" s="947" t="s">
        <v>665</v>
      </c>
      <c r="K29" s="947" t="s">
        <v>660</v>
      </c>
      <c r="L29" s="959" t="s">
        <v>1036</v>
      </c>
    </row>
    <row r="30" spans="2:12" x14ac:dyDescent="0.2">
      <c r="B30" s="375">
        <v>1</v>
      </c>
      <c r="C30" s="205" t="s">
        <v>2073</v>
      </c>
      <c r="D30" s="205" t="s">
        <v>2074</v>
      </c>
      <c r="E30" s="557" t="s">
        <v>2075</v>
      </c>
      <c r="F30" s="557" t="s">
        <v>2076</v>
      </c>
      <c r="G30" s="555">
        <v>40497</v>
      </c>
      <c r="H30" s="205">
        <v>6</v>
      </c>
      <c r="I30" s="204">
        <v>7714426</v>
      </c>
      <c r="J30" s="1552">
        <v>0.09</v>
      </c>
      <c r="K30" s="556">
        <f>I30*J30</f>
        <v>694298.34</v>
      </c>
      <c r="L30" s="70"/>
    </row>
    <row r="31" spans="2:12" x14ac:dyDescent="0.2">
      <c r="B31" s="375">
        <v>2</v>
      </c>
      <c r="C31" s="205" t="s">
        <v>2077</v>
      </c>
      <c r="D31" s="205" t="s">
        <v>2078</v>
      </c>
      <c r="E31" s="557" t="s">
        <v>2079</v>
      </c>
      <c r="F31" s="557" t="s">
        <v>2080</v>
      </c>
      <c r="G31" s="555"/>
      <c r="H31" s="205">
        <v>2</v>
      </c>
      <c r="I31" s="204">
        <v>3500000</v>
      </c>
      <c r="J31" s="1552">
        <f>+K31/I31</f>
        <v>4.8708308571428709E-2</v>
      </c>
      <c r="K31" s="556">
        <v>170479.08000000048</v>
      </c>
      <c r="L31" s="70"/>
    </row>
    <row r="32" spans="2:12" x14ac:dyDescent="0.2">
      <c r="B32" s="375">
        <v>3</v>
      </c>
      <c r="C32" s="205"/>
      <c r="D32" s="205"/>
      <c r="E32" s="557"/>
      <c r="F32" s="557"/>
      <c r="G32" s="555"/>
      <c r="H32" s="205"/>
      <c r="I32" s="204"/>
      <c r="J32" s="1552"/>
      <c r="K32" s="556">
        <f t="shared" ref="K32:K34" si="1">I32*J32</f>
        <v>0</v>
      </c>
      <c r="L32" s="70"/>
    </row>
    <row r="33" spans="2:12" x14ac:dyDescent="0.2">
      <c r="B33" s="375">
        <v>11</v>
      </c>
      <c r="C33" s="205"/>
      <c r="D33" s="205"/>
      <c r="E33" s="557"/>
      <c r="F33" s="557"/>
      <c r="G33" s="555"/>
      <c r="H33" s="205"/>
      <c r="I33" s="204"/>
      <c r="J33" s="1552"/>
      <c r="K33" s="556">
        <f t="shared" si="1"/>
        <v>0</v>
      </c>
      <c r="L33" s="70"/>
    </row>
    <row r="34" spans="2:12" x14ac:dyDescent="0.2">
      <c r="B34" s="375">
        <v>12</v>
      </c>
      <c r="C34" s="205"/>
      <c r="D34" s="205"/>
      <c r="E34" s="557"/>
      <c r="F34" s="557"/>
      <c r="G34" s="555"/>
      <c r="H34" s="205"/>
      <c r="I34" s="204"/>
      <c r="J34" s="1552"/>
      <c r="K34" s="556">
        <f t="shared" si="1"/>
        <v>0</v>
      </c>
      <c r="L34" s="70"/>
    </row>
    <row r="35" spans="2:12" ht="13.5" thickBot="1" x14ac:dyDescent="0.25">
      <c r="B35" s="548"/>
      <c r="C35" s="549"/>
      <c r="D35" s="550"/>
      <c r="E35" s="550"/>
      <c r="F35" s="550"/>
      <c r="G35" s="549"/>
      <c r="H35" s="550"/>
      <c r="I35" s="550"/>
      <c r="J35" s="1553"/>
      <c r="K35" s="549"/>
      <c r="L35" s="70"/>
    </row>
    <row r="36" spans="2:12" ht="14.25" thickTop="1" thickBot="1" x14ac:dyDescent="0.25">
      <c r="B36" s="551" t="s">
        <v>413</v>
      </c>
      <c r="C36" s="103"/>
      <c r="D36" s="552"/>
      <c r="E36" s="552"/>
      <c r="F36" s="552"/>
      <c r="G36" s="103"/>
      <c r="H36" s="552"/>
      <c r="I36" s="64">
        <f>SUM(I30:I34)</f>
        <v>11214426</v>
      </c>
      <c r="J36" s="1554">
        <f>IF(I36=0,"",K36/I36)</f>
        <v>7.7112945415128725E-2</v>
      </c>
      <c r="K36" s="553">
        <f>SUM(K30:K34)</f>
        <v>864777.42000000039</v>
      </c>
      <c r="L36" s="554"/>
    </row>
    <row r="39" spans="2:12" ht="15.75" x14ac:dyDescent="0.2">
      <c r="E39" s="616" t="s">
        <v>40</v>
      </c>
      <c r="F39" s="557">
        <v>2013</v>
      </c>
    </row>
    <row r="40" spans="2:12" ht="13.5" thickBot="1" x14ac:dyDescent="0.25"/>
    <row r="41" spans="2:12" ht="39" customHeight="1" x14ac:dyDescent="0.2">
      <c r="B41" s="945" t="s">
        <v>666</v>
      </c>
      <c r="C41" s="1539" t="s">
        <v>346</v>
      </c>
      <c r="D41" s="1539" t="s">
        <v>656</v>
      </c>
      <c r="E41" s="947" t="s">
        <v>657</v>
      </c>
      <c r="F41" s="947" t="s">
        <v>658</v>
      </c>
      <c r="G41" s="1539" t="s">
        <v>659</v>
      </c>
      <c r="H41" s="948" t="s">
        <v>668</v>
      </c>
      <c r="I41" s="948" t="s">
        <v>667</v>
      </c>
      <c r="J41" s="947" t="s">
        <v>665</v>
      </c>
      <c r="K41" s="947" t="s">
        <v>660</v>
      </c>
      <c r="L41" s="959" t="s">
        <v>1036</v>
      </c>
    </row>
    <row r="42" spans="2:12" x14ac:dyDescent="0.2">
      <c r="B42" s="375">
        <v>1</v>
      </c>
      <c r="C42" s="205" t="s">
        <v>2073</v>
      </c>
      <c r="D42" s="205" t="s">
        <v>2074</v>
      </c>
      <c r="E42" s="557" t="s">
        <v>2075</v>
      </c>
      <c r="F42" s="557" t="s">
        <v>2076</v>
      </c>
      <c r="G42" s="555">
        <v>40497</v>
      </c>
      <c r="H42" s="205">
        <v>6</v>
      </c>
      <c r="I42" s="204">
        <v>7714426</v>
      </c>
      <c r="J42" s="1552">
        <v>0.09</v>
      </c>
      <c r="K42" s="556">
        <f>I42*J42</f>
        <v>694298.34</v>
      </c>
      <c r="L42" s="70"/>
    </row>
    <row r="43" spans="2:12" x14ac:dyDescent="0.2">
      <c r="B43" s="375">
        <v>2</v>
      </c>
      <c r="C43" s="205" t="s">
        <v>2077</v>
      </c>
      <c r="D43" s="205" t="s">
        <v>2078</v>
      </c>
      <c r="E43" s="557" t="s">
        <v>2079</v>
      </c>
      <c r="F43" s="557" t="s">
        <v>2080</v>
      </c>
      <c r="G43" s="555"/>
      <c r="H43" s="205">
        <v>2</v>
      </c>
      <c r="I43" s="204">
        <v>3500000</v>
      </c>
      <c r="J43" s="1552">
        <f>+K43/I43</f>
        <v>5.1208308571428565E-2</v>
      </c>
      <c r="K43" s="556">
        <f>170479.08+3500000*0.0025</f>
        <v>179229.08</v>
      </c>
      <c r="L43" s="70" t="s">
        <v>2083</v>
      </c>
    </row>
    <row r="44" spans="2:12" x14ac:dyDescent="0.2">
      <c r="B44" s="375">
        <v>3</v>
      </c>
      <c r="C44" s="205"/>
      <c r="D44" s="205"/>
      <c r="E44" s="557"/>
      <c r="F44" s="557"/>
      <c r="G44" s="555"/>
      <c r="H44" s="205"/>
      <c r="I44" s="204"/>
      <c r="J44" s="1552"/>
      <c r="K44" s="556">
        <f t="shared" ref="K44:K46" si="2">I44*J44</f>
        <v>0</v>
      </c>
      <c r="L44" s="70"/>
    </row>
    <row r="45" spans="2:12" x14ac:dyDescent="0.2">
      <c r="B45" s="375">
        <v>11</v>
      </c>
      <c r="C45" s="205"/>
      <c r="D45" s="205"/>
      <c r="E45" s="557"/>
      <c r="F45" s="557"/>
      <c r="G45" s="555"/>
      <c r="H45" s="205"/>
      <c r="I45" s="204"/>
      <c r="J45" s="1552"/>
      <c r="K45" s="556">
        <f t="shared" si="2"/>
        <v>0</v>
      </c>
      <c r="L45" s="70"/>
    </row>
    <row r="46" spans="2:12" x14ac:dyDescent="0.2">
      <c r="B46" s="375">
        <v>12</v>
      </c>
      <c r="C46" s="205"/>
      <c r="D46" s="205"/>
      <c r="E46" s="557"/>
      <c r="F46" s="557"/>
      <c r="G46" s="555"/>
      <c r="H46" s="205"/>
      <c r="I46" s="204"/>
      <c r="J46" s="1552"/>
      <c r="K46" s="556">
        <f t="shared" si="2"/>
        <v>0</v>
      </c>
      <c r="L46" s="70"/>
    </row>
    <row r="47" spans="2:12" ht="13.5" thickBot="1" x14ac:dyDescent="0.25">
      <c r="B47" s="548"/>
      <c r="C47" s="549"/>
      <c r="D47" s="550"/>
      <c r="E47" s="550"/>
      <c r="F47" s="550"/>
      <c r="G47" s="549"/>
      <c r="H47" s="550"/>
      <c r="I47" s="550"/>
      <c r="J47" s="1553"/>
      <c r="K47" s="549"/>
      <c r="L47" s="70"/>
    </row>
    <row r="48" spans="2:12" ht="14.25" thickTop="1" thickBot="1" x14ac:dyDescent="0.25">
      <c r="B48" s="551" t="s">
        <v>413</v>
      </c>
      <c r="C48" s="103"/>
      <c r="D48" s="552"/>
      <c r="E48" s="552"/>
      <c r="F48" s="552"/>
      <c r="G48" s="103"/>
      <c r="H48" s="552"/>
      <c r="I48" s="64">
        <f>SUM(I42:I46)</f>
        <v>11214426</v>
      </c>
      <c r="J48" s="1554">
        <f>IF(I48=0,"",K48/I48)</f>
        <v>7.7893190431681469E-2</v>
      </c>
      <c r="K48" s="553">
        <f>SUM(K42:K46)</f>
        <v>873527.41999999993</v>
      </c>
      <c r="L48" s="554"/>
    </row>
    <row r="49" spans="2:12" x14ac:dyDescent="0.2">
      <c r="B49" s="2"/>
      <c r="C49" s="2"/>
      <c r="D49" s="2"/>
      <c r="E49" s="2"/>
      <c r="F49" s="2"/>
      <c r="G49" s="2"/>
      <c r="H49" s="2"/>
      <c r="I49" s="1555"/>
      <c r="J49" s="2"/>
      <c r="K49" s="1556"/>
      <c r="L49" s="2"/>
    </row>
    <row r="50" spans="2:12" x14ac:dyDescent="0.2">
      <c r="B50" s="2"/>
      <c r="C50" s="2"/>
      <c r="D50" s="2"/>
      <c r="E50" s="2"/>
      <c r="F50" s="2"/>
      <c r="G50" s="2"/>
      <c r="H50" s="2"/>
      <c r="I50" s="1555"/>
      <c r="J50" s="2"/>
      <c r="K50" s="1556"/>
      <c r="L50" s="2"/>
    </row>
    <row r="51" spans="2:12" ht="15.75" x14ac:dyDescent="0.2">
      <c r="E51" s="616" t="s">
        <v>40</v>
      </c>
      <c r="F51" s="557">
        <v>2014</v>
      </c>
    </row>
    <row r="52" spans="2:12" ht="13.5" thickBot="1" x14ac:dyDescent="0.25"/>
    <row r="53" spans="2:12" ht="47.25" customHeight="1" x14ac:dyDescent="0.2">
      <c r="B53" s="945" t="s">
        <v>666</v>
      </c>
      <c r="C53" s="1539" t="s">
        <v>346</v>
      </c>
      <c r="D53" s="1539" t="s">
        <v>656</v>
      </c>
      <c r="E53" s="947" t="s">
        <v>657</v>
      </c>
      <c r="F53" s="947" t="s">
        <v>658</v>
      </c>
      <c r="G53" s="1539" t="s">
        <v>659</v>
      </c>
      <c r="H53" s="948" t="s">
        <v>668</v>
      </c>
      <c r="I53" s="948" t="s">
        <v>667</v>
      </c>
      <c r="J53" s="947" t="s">
        <v>665</v>
      </c>
      <c r="K53" s="947" t="s">
        <v>660</v>
      </c>
      <c r="L53" s="959" t="s">
        <v>1036</v>
      </c>
    </row>
    <row r="54" spans="2:12" x14ac:dyDescent="0.2">
      <c r="B54" s="375">
        <v>1</v>
      </c>
      <c r="C54" s="205" t="s">
        <v>2073</v>
      </c>
      <c r="D54" s="205" t="s">
        <v>2074</v>
      </c>
      <c r="E54" s="557" t="s">
        <v>2075</v>
      </c>
      <c r="F54" s="557" t="s">
        <v>2076</v>
      </c>
      <c r="G54" s="555">
        <v>40497</v>
      </c>
      <c r="H54" s="205">
        <v>6</v>
      </c>
      <c r="I54" s="204">
        <v>7714426</v>
      </c>
      <c r="J54" s="1552">
        <v>0.09</v>
      </c>
      <c r="K54" s="556">
        <f>I54*J54</f>
        <v>694298.34</v>
      </c>
      <c r="L54" s="70"/>
    </row>
    <row r="55" spans="2:12" x14ac:dyDescent="0.2">
      <c r="B55" s="375">
        <v>2</v>
      </c>
      <c r="C55" s="205" t="s">
        <v>2077</v>
      </c>
      <c r="D55" s="205" t="s">
        <v>2078</v>
      </c>
      <c r="E55" s="557" t="s">
        <v>2079</v>
      </c>
      <c r="F55" s="557" t="s">
        <v>2080</v>
      </c>
      <c r="G55" s="555"/>
      <c r="H55" s="205">
        <v>2</v>
      </c>
      <c r="I55" s="204">
        <v>3500000</v>
      </c>
      <c r="J55" s="1552">
        <f>+J43</f>
        <v>5.1208308571428565E-2</v>
      </c>
      <c r="K55" s="556">
        <f t="shared" ref="K55:K58" si="3">I55*J55</f>
        <v>179229.08</v>
      </c>
      <c r="L55" s="70" t="s">
        <v>2084</v>
      </c>
    </row>
    <row r="56" spans="2:12" x14ac:dyDescent="0.2">
      <c r="B56" s="375">
        <v>3</v>
      </c>
      <c r="C56" s="205"/>
      <c r="D56" s="205"/>
      <c r="E56" s="557"/>
      <c r="F56" s="557"/>
      <c r="G56" s="555"/>
      <c r="H56" s="205"/>
      <c r="I56" s="204"/>
      <c r="J56" s="1552"/>
      <c r="K56" s="556">
        <f t="shared" si="3"/>
        <v>0</v>
      </c>
      <c r="L56" s="70"/>
    </row>
    <row r="57" spans="2:12" x14ac:dyDescent="0.2">
      <c r="B57" s="375">
        <v>11</v>
      </c>
      <c r="C57" s="205"/>
      <c r="D57" s="205"/>
      <c r="E57" s="557"/>
      <c r="F57" s="557"/>
      <c r="G57" s="555"/>
      <c r="H57" s="205"/>
      <c r="I57" s="204"/>
      <c r="J57" s="1552"/>
      <c r="K57" s="556">
        <f t="shared" si="3"/>
        <v>0</v>
      </c>
      <c r="L57" s="70"/>
    </row>
    <row r="58" spans="2:12" x14ac:dyDescent="0.2">
      <c r="B58" s="375">
        <v>12</v>
      </c>
      <c r="C58" s="205"/>
      <c r="D58" s="205"/>
      <c r="E58" s="557"/>
      <c r="F58" s="557"/>
      <c r="G58" s="555"/>
      <c r="H58" s="205"/>
      <c r="I58" s="204"/>
      <c r="J58" s="1552"/>
      <c r="K58" s="556">
        <f t="shared" si="3"/>
        <v>0</v>
      </c>
      <c r="L58" s="70"/>
    </row>
    <row r="59" spans="2:12" ht="13.5" thickBot="1" x14ac:dyDescent="0.25">
      <c r="B59" s="548"/>
      <c r="C59" s="549"/>
      <c r="D59" s="550"/>
      <c r="E59" s="550"/>
      <c r="F59" s="550"/>
      <c r="G59" s="549"/>
      <c r="H59" s="550"/>
      <c r="I59" s="550"/>
      <c r="J59" s="1553"/>
      <c r="K59" s="549"/>
      <c r="L59" s="70"/>
    </row>
    <row r="60" spans="2:12" ht="14.25" thickTop="1" thickBot="1" x14ac:dyDescent="0.25">
      <c r="B60" s="551" t="s">
        <v>413</v>
      </c>
      <c r="C60" s="103"/>
      <c r="D60" s="552"/>
      <c r="E60" s="552"/>
      <c r="F60" s="552"/>
      <c r="G60" s="103"/>
      <c r="H60" s="552"/>
      <c r="I60" s="64">
        <f>SUM(I54:I58)</f>
        <v>11214426</v>
      </c>
      <c r="J60" s="1554">
        <f>IF(I60=0,"",K60/I60)</f>
        <v>7.7893190431681469E-2</v>
      </c>
      <c r="K60" s="553">
        <f>SUM(K54:K58)</f>
        <v>873527.41999999993</v>
      </c>
      <c r="L60" s="554"/>
    </row>
    <row r="61" spans="2:12" x14ac:dyDescent="0.2">
      <c r="B61" s="2"/>
      <c r="C61" s="2"/>
      <c r="D61" s="2"/>
      <c r="E61" s="2"/>
      <c r="F61" s="2"/>
      <c r="G61" s="2"/>
      <c r="H61" s="2"/>
      <c r="I61" s="1555"/>
      <c r="J61" s="2"/>
      <c r="K61" s="1556"/>
      <c r="L61" s="2"/>
    </row>
    <row r="62" spans="2:12" x14ac:dyDescent="0.2">
      <c r="B62" s="2"/>
      <c r="C62" s="2"/>
      <c r="D62" s="2"/>
      <c r="E62" s="2"/>
      <c r="F62" s="2"/>
      <c r="G62" s="2"/>
      <c r="H62" s="2"/>
      <c r="I62" s="1555"/>
      <c r="J62" s="2"/>
      <c r="K62" s="1556"/>
      <c r="L62" s="2"/>
    </row>
    <row r="63" spans="2:12" ht="15.75" x14ac:dyDescent="0.2">
      <c r="E63" s="616" t="s">
        <v>40</v>
      </c>
      <c r="F63" s="557">
        <v>2015</v>
      </c>
    </row>
    <row r="64" spans="2:12" ht="13.5" thickBot="1" x14ac:dyDescent="0.25"/>
    <row r="65" spans="2:12" ht="49.5" customHeight="1" x14ac:dyDescent="0.2">
      <c r="B65" s="945" t="s">
        <v>666</v>
      </c>
      <c r="C65" s="1539" t="s">
        <v>346</v>
      </c>
      <c r="D65" s="1539" t="s">
        <v>656</v>
      </c>
      <c r="E65" s="947" t="s">
        <v>657</v>
      </c>
      <c r="F65" s="947" t="s">
        <v>658</v>
      </c>
      <c r="G65" s="1539" t="s">
        <v>659</v>
      </c>
      <c r="H65" s="948" t="s">
        <v>668</v>
      </c>
      <c r="I65" s="948" t="s">
        <v>667</v>
      </c>
      <c r="J65" s="947" t="s">
        <v>665</v>
      </c>
      <c r="K65" s="947" t="s">
        <v>660</v>
      </c>
      <c r="L65" s="959" t="s">
        <v>1036</v>
      </c>
    </row>
    <row r="66" spans="2:12" x14ac:dyDescent="0.2">
      <c r="B66" s="375">
        <v>1</v>
      </c>
      <c r="C66" s="205" t="s">
        <v>2085</v>
      </c>
      <c r="D66" s="205" t="s">
        <v>2074</v>
      </c>
      <c r="E66" s="557" t="s">
        <v>2075</v>
      </c>
      <c r="F66" s="557" t="s">
        <v>2076</v>
      </c>
      <c r="G66" s="555">
        <v>40497</v>
      </c>
      <c r="H66" s="205">
        <v>6</v>
      </c>
      <c r="I66" s="204">
        <v>7714426</v>
      </c>
      <c r="J66" s="1552">
        <v>0.09</v>
      </c>
      <c r="K66" s="556">
        <f>I66*J66*(319/365)</f>
        <v>606797.72728767118</v>
      </c>
      <c r="L66" s="109" t="s">
        <v>2086</v>
      </c>
    </row>
    <row r="67" spans="2:12" x14ac:dyDescent="0.2">
      <c r="B67" s="375"/>
      <c r="C67" s="205" t="s">
        <v>2073</v>
      </c>
      <c r="D67" s="205" t="s">
        <v>2074</v>
      </c>
      <c r="E67" s="557" t="s">
        <v>2075</v>
      </c>
      <c r="F67" s="557" t="s">
        <v>2076</v>
      </c>
      <c r="G67" s="555">
        <v>42323</v>
      </c>
      <c r="H67" s="205">
        <v>6</v>
      </c>
      <c r="I67" s="204">
        <v>7714426</v>
      </c>
      <c r="J67" s="1552">
        <v>0.05</v>
      </c>
      <c r="K67" s="556">
        <f>I67*J67*(46/365)</f>
        <v>48611.451506849327</v>
      </c>
      <c r="L67" s="109" t="s">
        <v>2087</v>
      </c>
    </row>
    <row r="68" spans="2:12" x14ac:dyDescent="0.2">
      <c r="B68" s="375">
        <v>2</v>
      </c>
      <c r="C68" s="205" t="s">
        <v>2077</v>
      </c>
      <c r="D68" s="205" t="s">
        <v>2078</v>
      </c>
      <c r="E68" s="557" t="s">
        <v>2079</v>
      </c>
      <c r="F68" s="557" t="s">
        <v>2080</v>
      </c>
      <c r="G68" s="555"/>
      <c r="H68" s="205">
        <v>2</v>
      </c>
      <c r="I68" s="204">
        <v>3500000</v>
      </c>
      <c r="J68" s="1552">
        <v>0.05</v>
      </c>
      <c r="K68" s="556">
        <f t="shared" ref="K68:K71" si="4">I68*J68</f>
        <v>175000</v>
      </c>
      <c r="L68" s="109"/>
    </row>
    <row r="69" spans="2:12" x14ac:dyDescent="0.2">
      <c r="B69" s="375">
        <v>3</v>
      </c>
      <c r="C69" s="205"/>
      <c r="D69" s="205"/>
      <c r="E69" s="557"/>
      <c r="F69" s="557"/>
      <c r="G69" s="555"/>
      <c r="H69" s="205"/>
      <c r="I69" s="204"/>
      <c r="J69" s="1552"/>
      <c r="K69" s="556">
        <f t="shared" si="4"/>
        <v>0</v>
      </c>
      <c r="L69" s="109"/>
    </row>
    <row r="70" spans="2:12" x14ac:dyDescent="0.2">
      <c r="B70" s="375">
        <v>11</v>
      </c>
      <c r="C70" s="205"/>
      <c r="D70" s="205"/>
      <c r="E70" s="557"/>
      <c r="F70" s="557"/>
      <c r="G70" s="555"/>
      <c r="H70" s="205"/>
      <c r="I70" s="204"/>
      <c r="J70" s="1552"/>
      <c r="K70" s="556">
        <f t="shared" si="4"/>
        <v>0</v>
      </c>
      <c r="L70" s="109"/>
    </row>
    <row r="71" spans="2:12" x14ac:dyDescent="0.2">
      <c r="B71" s="375">
        <v>12</v>
      </c>
      <c r="C71" s="205"/>
      <c r="D71" s="205"/>
      <c r="E71" s="557"/>
      <c r="F71" s="557"/>
      <c r="G71" s="555"/>
      <c r="H71" s="205"/>
      <c r="I71" s="204"/>
      <c r="J71" s="1552"/>
      <c r="K71" s="556">
        <f t="shared" si="4"/>
        <v>0</v>
      </c>
      <c r="L71" s="109"/>
    </row>
    <row r="72" spans="2:12" ht="13.5" thickBot="1" x14ac:dyDescent="0.25">
      <c r="B72" s="548"/>
      <c r="C72" s="549"/>
      <c r="D72" s="550"/>
      <c r="E72" s="550"/>
      <c r="F72" s="550"/>
      <c r="G72" s="549"/>
      <c r="H72" s="550"/>
      <c r="I72" s="550"/>
      <c r="J72" s="1553"/>
      <c r="K72" s="549"/>
      <c r="L72" s="70"/>
    </row>
    <row r="73" spans="2:12" ht="14.25" thickTop="1" thickBot="1" x14ac:dyDescent="0.25">
      <c r="B73" s="551" t="s">
        <v>413</v>
      </c>
      <c r="C73" s="103"/>
      <c r="D73" s="552"/>
      <c r="E73" s="552"/>
      <c r="F73" s="552"/>
      <c r="G73" s="103"/>
      <c r="H73" s="552"/>
      <c r="I73" s="64">
        <f>+I67+I68</f>
        <v>11214426</v>
      </c>
      <c r="J73" s="1554">
        <f>IF(I73=0,"",K73/I73)</f>
        <v>7.4048299823327612E-2</v>
      </c>
      <c r="K73" s="553">
        <f>SUM(K66:K71)</f>
        <v>830409.17879452056</v>
      </c>
      <c r="L73" s="554"/>
    </row>
    <row r="74" spans="2:12" x14ac:dyDescent="0.2">
      <c r="B74" s="2"/>
      <c r="C74" s="2"/>
      <c r="D74" s="2"/>
      <c r="E74" s="2"/>
      <c r="F74" s="2"/>
      <c r="G74" s="2"/>
      <c r="H74" s="2"/>
      <c r="I74" s="1555"/>
      <c r="J74" s="2"/>
      <c r="K74" s="1556"/>
      <c r="L74" s="2"/>
    </row>
    <row r="75" spans="2:12" x14ac:dyDescent="0.2">
      <c r="B75" s="2"/>
      <c r="C75" s="2"/>
      <c r="D75" s="2"/>
      <c r="E75" s="2"/>
      <c r="F75" s="2"/>
      <c r="G75" s="2"/>
      <c r="H75" s="2"/>
      <c r="I75" s="1555"/>
      <c r="J75" s="2"/>
      <c r="K75" s="1556"/>
      <c r="L75" s="2"/>
    </row>
    <row r="76" spans="2:12" x14ac:dyDescent="0.2">
      <c r="B76" s="2"/>
      <c r="C76" s="2"/>
      <c r="D76" s="2"/>
      <c r="E76" s="2"/>
      <c r="F76" s="2"/>
      <c r="G76" s="2"/>
      <c r="H76" s="2"/>
      <c r="I76" s="1555"/>
      <c r="J76" s="2"/>
      <c r="K76" s="1556"/>
      <c r="L76" s="2"/>
    </row>
    <row r="77" spans="2:12" x14ac:dyDescent="0.2">
      <c r="B77" s="14" t="s">
        <v>429</v>
      </c>
    </row>
    <row r="79" spans="2:12" x14ac:dyDescent="0.2">
      <c r="B79" s="353">
        <v>1</v>
      </c>
      <c r="C79" t="s">
        <v>661</v>
      </c>
    </row>
    <row r="80" spans="2:12" x14ac:dyDescent="0.2">
      <c r="B80" s="353">
        <v>2</v>
      </c>
      <c r="C80" t="s">
        <v>662</v>
      </c>
    </row>
    <row r="81" spans="2:3" x14ac:dyDescent="0.2">
      <c r="B81" s="353">
        <v>3</v>
      </c>
      <c r="C81" t="s">
        <v>663</v>
      </c>
    </row>
  </sheetData>
  <mergeCells count="3">
    <mergeCell ref="B14:L14"/>
    <mergeCell ref="B11:L11"/>
    <mergeCell ref="B12:L12"/>
  </mergeCells>
  <phoneticPr fontId="11" type="noConversion"/>
  <dataValidations count="4">
    <dataValidation allowBlank="1" showInputMessage="1" showErrorMessage="1" promptTitle="Date Format" prompt="E.g:  &quot;August 1, 2011&quot;" sqref="K7"/>
    <dataValidation type="list" allowBlank="1" showInputMessage="1" showErrorMessage="1" sqref="F66:F71 F30:F34 F42:F46 F54:F58 F18:F22">
      <formula1>"Fixed Rate, Variable Rate"</formula1>
    </dataValidation>
    <dataValidation type="list" allowBlank="1" showInputMessage="1" showErrorMessage="1" sqref="E66:E71 E30:E34 E42:E46 E54:E58 E18:E22">
      <formula1>"Affiliated, Third-Party"</formula1>
    </dataValidation>
    <dataValidation type="list" allowBlank="1" showInputMessage="1" showErrorMessage="1" sqref="F15 F27 F39 F51 F63">
      <formula1>"2006,2007,2008,2009,2012,2013, 2014, 2015"</formula1>
    </dataValidation>
  </dataValidations>
  <pageMargins left="0.75" right="0.75" top="1" bottom="1" header="0.5" footer="0.5"/>
  <pageSetup scale="5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124"/>
  <sheetViews>
    <sheetView showGridLines="0" topLeftCell="A50" zoomScaleNormal="100" workbookViewId="0">
      <selection activeCell="D92" sqref="D92"/>
    </sheetView>
  </sheetViews>
  <sheetFormatPr defaultRowHeight="12.75" x14ac:dyDescent="0.2"/>
  <cols>
    <col min="1" max="1" width="29" customWidth="1"/>
    <col min="2" max="2" width="15" customWidth="1"/>
    <col min="3" max="3" width="15.5703125" customWidth="1"/>
    <col min="4" max="4" width="16" customWidth="1"/>
    <col min="5" max="5" width="17.5703125" customWidth="1"/>
    <col min="6" max="6" width="16.28515625" customWidth="1"/>
  </cols>
  <sheetData>
    <row r="1" spans="1:6" x14ac:dyDescent="0.2">
      <c r="E1" s="278" t="s">
        <v>419</v>
      </c>
      <c r="F1" s="766" t="str">
        <f>EBNUMBER</f>
        <v>EB-2014-0113</v>
      </c>
    </row>
    <row r="2" spans="1:6" x14ac:dyDescent="0.2">
      <c r="E2" s="278" t="s">
        <v>420</v>
      </c>
      <c r="F2" s="209">
        <v>6</v>
      </c>
    </row>
    <row r="3" spans="1:6" x14ac:dyDescent="0.2">
      <c r="E3" s="278" t="s">
        <v>421</v>
      </c>
      <c r="F3" s="209">
        <v>2</v>
      </c>
    </row>
    <row r="4" spans="1:6" x14ac:dyDescent="0.2">
      <c r="E4" s="278" t="s">
        <v>422</v>
      </c>
      <c r="F4" s="209">
        <v>2</v>
      </c>
    </row>
    <row r="5" spans="1:6" x14ac:dyDescent="0.2">
      <c r="E5" s="278" t="s">
        <v>423</v>
      </c>
      <c r="F5" s="210"/>
    </row>
    <row r="6" spans="1:6" x14ac:dyDescent="0.2">
      <c r="E6" s="278"/>
      <c r="F6" s="208"/>
    </row>
    <row r="7" spans="1:6" x14ac:dyDescent="0.2">
      <c r="E7" s="278" t="s">
        <v>424</v>
      </c>
      <c r="F7" s="1466">
        <v>42119</v>
      </c>
    </row>
    <row r="9" spans="1:6" ht="18" x14ac:dyDescent="0.25">
      <c r="A9" s="1746" t="s">
        <v>653</v>
      </c>
      <c r="B9" s="1746"/>
      <c r="C9" s="1746"/>
      <c r="D9" s="1746"/>
      <c r="E9" s="1746"/>
      <c r="F9" s="1746"/>
    </row>
    <row r="10" spans="1:6" ht="18" x14ac:dyDescent="0.25">
      <c r="A10" s="1746" t="s">
        <v>163</v>
      </c>
      <c r="B10" s="1746"/>
      <c r="C10" s="1746"/>
      <c r="D10" s="1746"/>
      <c r="E10" s="1746"/>
      <c r="F10" s="1746"/>
    </row>
    <row r="12" spans="1:6" x14ac:dyDescent="0.2">
      <c r="A12" t="s">
        <v>289</v>
      </c>
    </row>
    <row r="14" spans="1:6" x14ac:dyDescent="0.2">
      <c r="A14" s="14" t="s">
        <v>634</v>
      </c>
      <c r="B14" s="14"/>
    </row>
    <row r="15" spans="1:6" ht="13.5" thickBot="1" x14ac:dyDescent="0.25"/>
    <row r="16" spans="1:6" ht="51" x14ac:dyDescent="0.2">
      <c r="A16" s="458" t="s">
        <v>290</v>
      </c>
      <c r="B16" s="139" t="s">
        <v>296</v>
      </c>
      <c r="C16" s="139" t="s">
        <v>230</v>
      </c>
      <c r="D16" s="139" t="s">
        <v>153</v>
      </c>
      <c r="E16" s="140" t="s">
        <v>230</v>
      </c>
    </row>
    <row r="17" spans="1:5" x14ac:dyDescent="0.2">
      <c r="A17" s="460" t="s">
        <v>117</v>
      </c>
      <c r="B17" s="204">
        <v>4225650</v>
      </c>
      <c r="C17" s="453">
        <f>IF(B$28=0,"",B17/B$28)</f>
        <v>0.60431329229106523</v>
      </c>
      <c r="D17" s="204">
        <v>5051079.4000000004</v>
      </c>
      <c r="E17" s="94">
        <f>IF(D$28=0,"",D17/D$28)</f>
        <v>0.63433929684110779</v>
      </c>
    </row>
    <row r="18" spans="1:5" x14ac:dyDescent="0.2">
      <c r="A18" s="460" t="s">
        <v>118</v>
      </c>
      <c r="B18" s="204">
        <v>1047217</v>
      </c>
      <c r="C18" s="453">
        <f t="shared" ref="C18:E27" si="0">IF(B$28=0,"",B18/B$28)</f>
        <v>0.14976326790273034</v>
      </c>
      <c r="D18" s="204">
        <v>1289995.3999999999</v>
      </c>
      <c r="E18" s="94">
        <f t="shared" si="0"/>
        <v>0.16200394216021696</v>
      </c>
    </row>
    <row r="19" spans="1:5" ht="25.5" x14ac:dyDescent="0.2">
      <c r="A19" s="461" t="s">
        <v>295</v>
      </c>
      <c r="B19" s="204">
        <v>1394746</v>
      </c>
      <c r="C19" s="453">
        <f t="shared" si="0"/>
        <v>0.19946364397661759</v>
      </c>
      <c r="D19" s="204">
        <v>1374569</v>
      </c>
      <c r="E19" s="94">
        <f t="shared" si="0"/>
        <v>0.17262510918351126</v>
      </c>
    </row>
    <row r="20" spans="1:5" hidden="1" x14ac:dyDescent="0.2">
      <c r="A20" s="461" t="s">
        <v>294</v>
      </c>
      <c r="B20" s="204"/>
      <c r="C20" s="453">
        <f t="shared" si="0"/>
        <v>0</v>
      </c>
      <c r="D20" s="204"/>
      <c r="E20" s="94">
        <f t="shared" si="0"/>
        <v>0</v>
      </c>
    </row>
    <row r="21" spans="1:5" hidden="1" x14ac:dyDescent="0.2">
      <c r="A21" s="460" t="s">
        <v>297</v>
      </c>
      <c r="B21" s="204"/>
      <c r="C21" s="453">
        <f t="shared" si="0"/>
        <v>0</v>
      </c>
      <c r="D21" s="204"/>
      <c r="E21" s="94">
        <f t="shared" si="0"/>
        <v>0</v>
      </c>
    </row>
    <row r="22" spans="1:5" x14ac:dyDescent="0.2">
      <c r="A22" s="460" t="s">
        <v>291</v>
      </c>
      <c r="B22" s="204">
        <v>317527</v>
      </c>
      <c r="C22" s="453">
        <f t="shared" si="0"/>
        <v>4.5409768144854652E-2</v>
      </c>
      <c r="D22" s="204">
        <v>243512</v>
      </c>
      <c r="E22" s="94">
        <f t="shared" si="0"/>
        <v>3.058142995185778E-2</v>
      </c>
    </row>
    <row r="23" spans="1:5" x14ac:dyDescent="0.2">
      <c r="A23" s="460" t="s">
        <v>121</v>
      </c>
      <c r="B23" s="204">
        <v>7342.3</v>
      </c>
      <c r="C23" s="453">
        <f t="shared" si="0"/>
        <v>1.0500276847322161E-3</v>
      </c>
      <c r="D23" s="204">
        <v>3585</v>
      </c>
      <c r="E23" s="94">
        <f t="shared" si="0"/>
        <v>4.5022186330616207E-4</v>
      </c>
    </row>
    <row r="24" spans="1:5" hidden="1" x14ac:dyDescent="0.2">
      <c r="A24" s="460" t="s">
        <v>292</v>
      </c>
      <c r="B24" s="204"/>
      <c r="C24" s="453">
        <f t="shared" si="0"/>
        <v>0</v>
      </c>
      <c r="D24" s="204"/>
      <c r="E24" s="94">
        <f t="shared" si="0"/>
        <v>0</v>
      </c>
    </row>
    <row r="25" spans="1:5" hidden="1" x14ac:dyDescent="0.2">
      <c r="A25" s="461" t="s">
        <v>293</v>
      </c>
      <c r="B25" s="204"/>
      <c r="C25" s="453">
        <f t="shared" si="0"/>
        <v>0</v>
      </c>
      <c r="D25" s="204"/>
      <c r="E25" s="94">
        <f t="shared" si="0"/>
        <v>0</v>
      </c>
    </row>
    <row r="26" spans="1:5" hidden="1" x14ac:dyDescent="0.2">
      <c r="A26" s="461"/>
      <c r="B26" s="204"/>
      <c r="C26" s="453">
        <f t="shared" si="0"/>
        <v>0</v>
      </c>
      <c r="D26" s="204"/>
      <c r="E26" s="94">
        <f t="shared" si="0"/>
        <v>0</v>
      </c>
    </row>
    <row r="27" spans="1:5" hidden="1" x14ac:dyDescent="0.2">
      <c r="A27" s="579" t="s">
        <v>671</v>
      </c>
      <c r="B27" s="204"/>
      <c r="C27" s="453">
        <f t="shared" si="0"/>
        <v>0</v>
      </c>
      <c r="D27" s="204"/>
      <c r="E27" s="94">
        <f t="shared" si="0"/>
        <v>0</v>
      </c>
    </row>
    <row r="28" spans="1:5" ht="13.5" thickBot="1" x14ac:dyDescent="0.25">
      <c r="A28" s="459" t="s">
        <v>413</v>
      </c>
      <c r="B28" s="29">
        <f>SUM(B17:B27)</f>
        <v>6992482.2999999998</v>
      </c>
      <c r="C28" s="104">
        <f>SUM(C17:C27)</f>
        <v>0.99999999999999989</v>
      </c>
      <c r="D28" s="29">
        <f>SUM(D17:D27)</f>
        <v>7962740.8000000007</v>
      </c>
      <c r="E28" s="105">
        <f>SUM(E17:E27)</f>
        <v>0.99999999999999989</v>
      </c>
    </row>
    <row r="30" spans="1:5" x14ac:dyDescent="0.2">
      <c r="A30" s="14" t="s">
        <v>429</v>
      </c>
    </row>
    <row r="32" spans="1:5" ht="12.75" customHeight="1" x14ac:dyDescent="0.2">
      <c r="A32" s="2139" t="s">
        <v>635</v>
      </c>
      <c r="B32" s="2139"/>
      <c r="C32" s="2139"/>
      <c r="D32" s="2139"/>
      <c r="E32" s="2139"/>
    </row>
    <row r="33" spans="1:6" x14ac:dyDescent="0.2">
      <c r="A33" s="2139"/>
      <c r="B33" s="2139"/>
      <c r="C33" s="2139"/>
      <c r="D33" s="2139"/>
      <c r="E33" s="2139"/>
    </row>
    <row r="34" spans="1:6" ht="12.75" customHeight="1" x14ac:dyDescent="0.2">
      <c r="B34" s="462"/>
      <c r="C34" s="462"/>
      <c r="D34" s="462"/>
      <c r="E34" s="462"/>
      <c r="F34" s="462"/>
    </row>
    <row r="35" spans="1:6" ht="12.75" customHeight="1" x14ac:dyDescent="0.2">
      <c r="A35" s="2140" t="s">
        <v>673</v>
      </c>
      <c r="B35" s="2140"/>
      <c r="C35" s="2140"/>
      <c r="D35" s="2140"/>
      <c r="E35" s="2140"/>
      <c r="F35" s="462"/>
    </row>
    <row r="36" spans="1:6" ht="12.75" customHeight="1" x14ac:dyDescent="0.2">
      <c r="A36" s="2140"/>
      <c r="B36" s="2140"/>
      <c r="C36" s="2140"/>
      <c r="D36" s="2140"/>
      <c r="E36" s="2140"/>
      <c r="F36" s="561"/>
    </row>
    <row r="37" spans="1:6" x14ac:dyDescent="0.2">
      <c r="A37" s="2140"/>
      <c r="B37" s="2140"/>
      <c r="C37" s="2140"/>
      <c r="D37" s="2140"/>
      <c r="E37" s="2140"/>
      <c r="F37" s="561"/>
    </row>
    <row r="38" spans="1:6" x14ac:dyDescent="0.2">
      <c r="A38" s="560" t="s">
        <v>636</v>
      </c>
      <c r="B38" s="560"/>
      <c r="C38" s="560"/>
      <c r="D38" s="560"/>
      <c r="E38" s="560"/>
      <c r="F38" s="560"/>
    </row>
    <row r="39" spans="1:6" ht="20.25" customHeight="1" x14ac:dyDescent="0.2">
      <c r="A39" s="2140" t="s">
        <v>672</v>
      </c>
      <c r="B39" s="2140"/>
      <c r="C39" s="2140"/>
      <c r="D39" s="2140"/>
      <c r="E39" s="2140"/>
      <c r="F39" s="464"/>
    </row>
    <row r="40" spans="1:6" ht="20.25" customHeight="1" x14ac:dyDescent="0.2">
      <c r="A40" s="2140"/>
      <c r="B40" s="2140"/>
      <c r="C40" s="2140"/>
      <c r="D40" s="2140"/>
      <c r="E40" s="2140"/>
    </row>
    <row r="41" spans="1:6" ht="12.75" customHeight="1" x14ac:dyDescent="0.2"/>
    <row r="43" spans="1:6" ht="12.75" customHeight="1" x14ac:dyDescent="0.2">
      <c r="A43" s="68" t="s">
        <v>637</v>
      </c>
      <c r="B43" s="1750"/>
      <c r="C43" s="1750"/>
      <c r="D43" s="1750"/>
      <c r="E43" s="1750"/>
      <c r="F43" s="1750"/>
    </row>
    <row r="44" spans="1:6" ht="13.5" thickBot="1" x14ac:dyDescent="0.25">
      <c r="A44" s="68"/>
      <c r="B44" s="102"/>
    </row>
    <row r="45" spans="1:6" x14ac:dyDescent="0.2">
      <c r="A45" s="2149"/>
      <c r="B45" s="2150"/>
      <c r="C45" s="558" t="s">
        <v>299</v>
      </c>
      <c r="D45" s="558" t="s">
        <v>300</v>
      </c>
      <c r="E45" s="558" t="s">
        <v>301</v>
      </c>
      <c r="F45" s="142" t="s">
        <v>302</v>
      </c>
    </row>
    <row r="46" spans="1:6" ht="12.75" customHeight="1" x14ac:dyDescent="0.2">
      <c r="A46" s="2143" t="s">
        <v>298</v>
      </c>
      <c r="B46" s="2144"/>
      <c r="C46" s="2147" t="s">
        <v>303</v>
      </c>
      <c r="D46" s="2147" t="s">
        <v>358</v>
      </c>
      <c r="E46" s="2147" t="s">
        <v>304</v>
      </c>
      <c r="F46" s="2151" t="s">
        <v>305</v>
      </c>
    </row>
    <row r="47" spans="1:6" x14ac:dyDescent="0.2">
      <c r="A47" s="2145"/>
      <c r="B47" s="2146"/>
      <c r="C47" s="2148"/>
      <c r="D47" s="2148"/>
      <c r="E47" s="2148"/>
      <c r="F47" s="2152"/>
    </row>
    <row r="48" spans="1:6" x14ac:dyDescent="0.2">
      <c r="A48" s="2141" t="str">
        <f t="shared" ref="A48:A56" si="1">A17</f>
        <v>Residential</v>
      </c>
      <c r="B48" s="2142"/>
      <c r="C48" s="204">
        <v>4396743.4719999991</v>
      </c>
      <c r="D48" s="204">
        <v>4890222.282621217</v>
      </c>
      <c r="E48" s="204">
        <v>4890222</v>
      </c>
      <c r="F48" s="344">
        <v>344003.3957849305</v>
      </c>
    </row>
    <row r="49" spans="1:6" x14ac:dyDescent="0.2">
      <c r="A49" s="2141" t="str">
        <f t="shared" si="1"/>
        <v>GS &lt; 50 kW</v>
      </c>
      <c r="B49" s="2142"/>
      <c r="C49" s="204">
        <v>1078064.9527999999</v>
      </c>
      <c r="D49" s="204">
        <v>1199064.100025245</v>
      </c>
      <c r="E49" s="204">
        <v>1199589</v>
      </c>
      <c r="F49" s="344">
        <v>72721.211373021724</v>
      </c>
    </row>
    <row r="50" spans="1:6" ht="25.5" customHeight="1" x14ac:dyDescent="0.2">
      <c r="A50" s="2141" t="str">
        <f t="shared" si="1"/>
        <v>GS &gt; 50 kW (or 50 kW &lt; GS &lt; xxx kW, if applicable)</v>
      </c>
      <c r="B50" s="2142"/>
      <c r="C50" s="204">
        <v>1032052.4504000001</v>
      </c>
      <c r="D50" s="204">
        <v>1147887.2765538297</v>
      </c>
      <c r="E50" s="204">
        <v>1148442</v>
      </c>
      <c r="F50" s="344">
        <v>71430.71693189576</v>
      </c>
    </row>
    <row r="51" spans="1:6" hidden="1" x14ac:dyDescent="0.2">
      <c r="A51" s="2141" t="str">
        <f t="shared" si="1"/>
        <v>GS &gt; xxx kW, if applicable</v>
      </c>
      <c r="B51" s="2142"/>
      <c r="C51" s="204"/>
      <c r="D51" s="204"/>
      <c r="E51" s="204"/>
      <c r="F51" s="344"/>
    </row>
    <row r="52" spans="1:6" hidden="1" x14ac:dyDescent="0.2">
      <c r="A52" s="2141" t="str">
        <f t="shared" si="1"/>
        <v>Large User, if applicable</v>
      </c>
      <c r="B52" s="2142"/>
      <c r="C52" s="204"/>
      <c r="D52" s="204"/>
      <c r="E52" s="204"/>
      <c r="F52" s="344"/>
    </row>
    <row r="53" spans="1:6" x14ac:dyDescent="0.2">
      <c r="A53" s="2141" t="str">
        <f t="shared" si="1"/>
        <v>Street Lighting</v>
      </c>
      <c r="B53" s="2142"/>
      <c r="C53" s="204">
        <v>201534</v>
      </c>
      <c r="D53" s="204">
        <v>224153</v>
      </c>
      <c r="E53" s="204">
        <v>224263</v>
      </c>
      <c r="F53" s="344">
        <v>7768</v>
      </c>
    </row>
    <row r="54" spans="1:6" ht="13.5" thickBot="1" x14ac:dyDescent="0.25">
      <c r="A54" s="2141" t="str">
        <f t="shared" si="1"/>
        <v>Sentinel Lighting</v>
      </c>
      <c r="B54" s="2142"/>
      <c r="C54" s="204">
        <v>4828</v>
      </c>
      <c r="D54" s="204">
        <v>5370</v>
      </c>
      <c r="E54" s="204">
        <v>4182</v>
      </c>
      <c r="F54" s="344">
        <v>120</v>
      </c>
    </row>
    <row r="55" spans="1:6" hidden="1" x14ac:dyDescent="0.2">
      <c r="A55" s="2141" t="str">
        <f t="shared" si="1"/>
        <v>Unmetered Scattered Load (USL)</v>
      </c>
      <c r="B55" s="2142"/>
      <c r="C55" s="204"/>
      <c r="D55" s="204"/>
      <c r="E55" s="204"/>
      <c r="F55" s="344"/>
    </row>
    <row r="56" spans="1:6" hidden="1" x14ac:dyDescent="0.2">
      <c r="A56" s="2141" t="str">
        <f t="shared" si="1"/>
        <v>Other class, if applicable</v>
      </c>
      <c r="B56" s="2142"/>
      <c r="C56" s="204"/>
      <c r="D56" s="204"/>
      <c r="E56" s="204"/>
      <c r="F56" s="344"/>
    </row>
    <row r="57" spans="1:6" hidden="1" x14ac:dyDescent="0.2">
      <c r="A57" s="2156"/>
      <c r="B57" s="2157"/>
      <c r="C57" s="204"/>
      <c r="D57" s="204"/>
      <c r="E57" s="204"/>
      <c r="F57" s="344"/>
    </row>
    <row r="58" spans="1:6" ht="13.5" hidden="1" thickBot="1" x14ac:dyDescent="0.25">
      <c r="A58" s="2158" t="str">
        <f>A27</f>
        <v>Embedded distributor class</v>
      </c>
      <c r="B58" s="2159"/>
      <c r="C58" s="356"/>
      <c r="D58" s="356"/>
      <c r="E58" s="356"/>
      <c r="F58" s="465"/>
    </row>
    <row r="59" spans="1:6" ht="13.5" thickTop="1" x14ac:dyDescent="0.2">
      <c r="A59" s="2160" t="str">
        <f>A28</f>
        <v>Total</v>
      </c>
      <c r="B59" s="2161"/>
      <c r="C59" s="454">
        <f>SUM(C48:C58)</f>
        <v>6713222.8751999997</v>
      </c>
      <c r="D59" s="454">
        <f>SUM(D48:D58)</f>
        <v>7466696.6592002921</v>
      </c>
      <c r="E59" s="454">
        <f>SUM(E48:E58)</f>
        <v>7466698</v>
      </c>
      <c r="F59" s="455">
        <f>SUM(F48:F58)</f>
        <v>496043.32408984797</v>
      </c>
    </row>
    <row r="61" spans="1:6" x14ac:dyDescent="0.2">
      <c r="A61" s="14" t="s">
        <v>15</v>
      </c>
      <c r="B61" s="120"/>
      <c r="C61" s="120"/>
      <c r="D61" s="120"/>
      <c r="E61" s="120"/>
      <c r="F61" s="120"/>
    </row>
    <row r="62" spans="1:6" x14ac:dyDescent="0.2">
      <c r="A62" s="120"/>
      <c r="B62" s="120"/>
      <c r="C62" s="120"/>
      <c r="D62" s="120"/>
      <c r="E62" s="120"/>
      <c r="F62" s="120"/>
    </row>
    <row r="63" spans="1:6" ht="12.75" customHeight="1" x14ac:dyDescent="0.2">
      <c r="A63" s="2035" t="s">
        <v>638</v>
      </c>
      <c r="B63" s="2035"/>
      <c r="C63" s="2035"/>
      <c r="D63" s="2035"/>
      <c r="E63" s="2035"/>
      <c r="F63" s="2035"/>
    </row>
    <row r="64" spans="1:6" x14ac:dyDescent="0.2">
      <c r="A64" s="2035"/>
      <c r="B64" s="2035"/>
      <c r="C64" s="2035"/>
      <c r="D64" s="2035"/>
      <c r="E64" s="2035"/>
      <c r="F64" s="2035"/>
    </row>
    <row r="65" spans="1:12" ht="12.75" customHeight="1" x14ac:dyDescent="0.2">
      <c r="A65" s="462"/>
      <c r="B65" s="462"/>
      <c r="C65" s="462"/>
      <c r="D65" s="462"/>
      <c r="E65" s="462"/>
      <c r="F65" s="462"/>
      <c r="H65" s="69"/>
      <c r="I65" s="69"/>
      <c r="J65" s="69"/>
      <c r="K65" s="69"/>
      <c r="L65" s="69"/>
    </row>
    <row r="66" spans="1:12" x14ac:dyDescent="0.2">
      <c r="A66" s="2153" t="s">
        <v>639</v>
      </c>
      <c r="B66" s="2153"/>
      <c r="C66" s="2153"/>
      <c r="D66" s="2153"/>
      <c r="E66" s="2153"/>
      <c r="F66" s="2153"/>
      <c r="H66" s="69"/>
      <c r="I66" s="69"/>
      <c r="J66" s="69"/>
      <c r="K66" s="69"/>
      <c r="L66" s="69"/>
    </row>
    <row r="67" spans="1:12" x14ac:dyDescent="0.2">
      <c r="A67" s="51"/>
      <c r="B67" s="120"/>
      <c r="C67" s="120"/>
      <c r="D67" s="120"/>
      <c r="E67" s="120"/>
      <c r="F67" s="120"/>
      <c r="H67" s="69"/>
      <c r="I67" s="69"/>
      <c r="J67" s="69"/>
      <c r="K67" s="69"/>
      <c r="L67" s="69"/>
    </row>
    <row r="68" spans="1:12" ht="12.75" customHeight="1" x14ac:dyDescent="0.2">
      <c r="A68" s="1752" t="s">
        <v>640</v>
      </c>
      <c r="B68" s="1752"/>
      <c r="C68" s="1752"/>
      <c r="D68" s="1752"/>
      <c r="E68" s="1752"/>
      <c r="F68" s="1752"/>
      <c r="H68" s="466"/>
      <c r="I68" s="69"/>
      <c r="J68" s="69"/>
      <c r="K68" s="69"/>
      <c r="L68" s="69"/>
    </row>
    <row r="69" spans="1:12" x14ac:dyDescent="0.2">
      <c r="A69" s="1752"/>
      <c r="B69" s="1752"/>
      <c r="C69" s="1752"/>
      <c r="D69" s="1752"/>
      <c r="E69" s="1752"/>
      <c r="F69" s="1752"/>
    </row>
    <row r="70" spans="1:12" x14ac:dyDescent="0.2">
      <c r="A70" s="120"/>
      <c r="B70" s="120"/>
      <c r="C70" s="120"/>
      <c r="D70" s="120"/>
      <c r="E70" s="120"/>
      <c r="F70" s="120"/>
    </row>
    <row r="71" spans="1:12" ht="12.75" customHeight="1" x14ac:dyDescent="0.2">
      <c r="A71" s="1752" t="s">
        <v>641</v>
      </c>
      <c r="B71" s="1752"/>
      <c r="C71" s="1752"/>
      <c r="D71" s="1752"/>
      <c r="E71" s="1752"/>
      <c r="F71" s="1752"/>
    </row>
    <row r="72" spans="1:12" x14ac:dyDescent="0.2">
      <c r="A72" s="1752"/>
      <c r="B72" s="1752"/>
      <c r="C72" s="1752"/>
      <c r="D72" s="1752"/>
      <c r="E72" s="1752"/>
      <c r="F72" s="1752"/>
    </row>
    <row r="73" spans="1:12" x14ac:dyDescent="0.2">
      <c r="A73" s="275"/>
      <c r="B73" s="275"/>
      <c r="C73" s="275"/>
      <c r="D73" s="275"/>
      <c r="E73" s="275"/>
      <c r="F73" s="275"/>
    </row>
    <row r="74" spans="1:12" x14ac:dyDescent="0.2">
      <c r="A74" s="14" t="s">
        <v>642</v>
      </c>
      <c r="B74" s="120"/>
      <c r="C74" s="120"/>
      <c r="D74" s="120"/>
      <c r="E74" s="120"/>
      <c r="F74" s="120"/>
    </row>
    <row r="75" spans="1:12" ht="13.5" thickBot="1" x14ac:dyDescent="0.25">
      <c r="A75" s="120"/>
      <c r="B75" s="120"/>
      <c r="C75" s="120"/>
      <c r="D75" s="120"/>
      <c r="E75" s="120"/>
      <c r="F75" s="120"/>
    </row>
    <row r="76" spans="1:12" ht="38.25" x14ac:dyDescent="0.2">
      <c r="A76" s="2166" t="s">
        <v>332</v>
      </c>
      <c r="B76" s="2167"/>
      <c r="C76" s="65" t="s">
        <v>333</v>
      </c>
      <c r="D76" s="65" t="s">
        <v>335</v>
      </c>
      <c r="E76" s="65" t="s">
        <v>336</v>
      </c>
      <c r="F76" s="2170" t="s">
        <v>337</v>
      </c>
    </row>
    <row r="77" spans="1:12" ht="25.5" x14ac:dyDescent="0.2">
      <c r="A77" s="2168"/>
      <c r="B77" s="2169"/>
      <c r="C77" s="145" t="s">
        <v>334</v>
      </c>
      <c r="D77" s="2148" t="s">
        <v>154</v>
      </c>
      <c r="E77" s="2148" t="s">
        <v>155</v>
      </c>
      <c r="F77" s="2171"/>
    </row>
    <row r="78" spans="1:12" x14ac:dyDescent="0.2">
      <c r="A78" s="2168"/>
      <c r="B78" s="2169"/>
      <c r="C78" s="467">
        <v>2011</v>
      </c>
      <c r="D78" s="2173"/>
      <c r="E78" s="2173"/>
      <c r="F78" s="2172"/>
    </row>
    <row r="79" spans="1:12" x14ac:dyDescent="0.2">
      <c r="A79" s="2174"/>
      <c r="B79" s="2175"/>
      <c r="C79" s="143" t="s">
        <v>230</v>
      </c>
      <c r="D79" s="141" t="s">
        <v>230</v>
      </c>
      <c r="E79" s="141" t="s">
        <v>230</v>
      </c>
      <c r="F79" s="144" t="s">
        <v>230</v>
      </c>
    </row>
    <row r="80" spans="1:12" x14ac:dyDescent="0.2">
      <c r="A80" s="2044" t="str">
        <f t="shared" ref="A80:A88" si="2">A48</f>
        <v>Residential</v>
      </c>
      <c r="B80" s="2045"/>
      <c r="C80" s="451">
        <v>108.62</v>
      </c>
      <c r="D80" s="456">
        <f>IF(D17=0,"",(D48+F48)/D17*100)</f>
        <v>103.62588397256529</v>
      </c>
      <c r="E80" s="456">
        <f t="shared" ref="E80:E90" si="3">IF(D17=0,"",(E48+F48)/D17*100)</f>
        <v>103.62587837730149</v>
      </c>
      <c r="F80" s="70" t="s">
        <v>338</v>
      </c>
    </row>
    <row r="81" spans="1:6" x14ac:dyDescent="0.2">
      <c r="A81" s="2044" t="str">
        <f t="shared" si="2"/>
        <v>GS &lt; 50 kW</v>
      </c>
      <c r="B81" s="2045"/>
      <c r="C81" s="451">
        <v>101.31</v>
      </c>
      <c r="D81" s="456">
        <f t="shared" ref="D81:D90" si="4">IF(D18=0,"",(D49+F49)/D18*100)</f>
        <v>98.588360190917484</v>
      </c>
      <c r="E81" s="456">
        <f t="shared" si="3"/>
        <v>98.629050256537496</v>
      </c>
      <c r="F81" s="70" t="s">
        <v>339</v>
      </c>
    </row>
    <row r="82" spans="1:6" ht="26.25" customHeight="1" x14ac:dyDescent="0.2">
      <c r="A82" s="2154" t="str">
        <f t="shared" si="2"/>
        <v>GS &gt; 50 kW (or 50 kW &lt; GS &lt; xxx kW, if applicable)</v>
      </c>
      <c r="B82" s="2155"/>
      <c r="C82" s="451">
        <v>93.4</v>
      </c>
      <c r="D82" s="456">
        <f t="shared" si="4"/>
        <v>88.70547738860148</v>
      </c>
      <c r="E82" s="456">
        <f t="shared" si="3"/>
        <v>88.745833561785247</v>
      </c>
      <c r="F82" s="70" t="s">
        <v>339</v>
      </c>
    </row>
    <row r="83" spans="1:6" x14ac:dyDescent="0.2">
      <c r="A83" s="2044" t="str">
        <f t="shared" si="2"/>
        <v>GS &gt; xxx kW, if applicable</v>
      </c>
      <c r="B83" s="2045"/>
      <c r="C83" s="451"/>
      <c r="D83" s="456" t="str">
        <f t="shared" si="4"/>
        <v/>
      </c>
      <c r="E83" s="456" t="str">
        <f t="shared" si="3"/>
        <v/>
      </c>
      <c r="F83" s="70" t="s">
        <v>339</v>
      </c>
    </row>
    <row r="84" spans="1:6" x14ac:dyDescent="0.2">
      <c r="A84" s="2044" t="str">
        <f t="shared" si="2"/>
        <v>Large User, if applicable</v>
      </c>
      <c r="B84" s="2045"/>
      <c r="C84" s="451"/>
      <c r="D84" s="456" t="str">
        <f t="shared" si="4"/>
        <v/>
      </c>
      <c r="E84" s="456" t="str">
        <f t="shared" si="3"/>
        <v/>
      </c>
      <c r="F84" s="70" t="s">
        <v>338</v>
      </c>
    </row>
    <row r="85" spans="1:6" x14ac:dyDescent="0.2">
      <c r="A85" s="2044" t="str">
        <f t="shared" si="2"/>
        <v>Street Lighting</v>
      </c>
      <c r="B85" s="2045"/>
      <c r="C85" s="451">
        <v>11.47</v>
      </c>
      <c r="D85" s="456">
        <f t="shared" si="4"/>
        <v>95.240070304543508</v>
      </c>
      <c r="E85" s="456">
        <f t="shared" si="3"/>
        <v>95.285242616380302</v>
      </c>
      <c r="F85" s="70" t="s">
        <v>340</v>
      </c>
    </row>
    <row r="86" spans="1:6" x14ac:dyDescent="0.2">
      <c r="A86" s="2044" t="str">
        <f t="shared" si="2"/>
        <v>Sentinel Lighting</v>
      </c>
      <c r="B86" s="2045"/>
      <c r="C86" s="451">
        <v>32.979999999999997</v>
      </c>
      <c r="D86" s="456">
        <f t="shared" si="4"/>
        <v>153.13807531380755</v>
      </c>
      <c r="E86" s="456">
        <f t="shared" si="3"/>
        <v>120</v>
      </c>
      <c r="F86" s="70" t="s">
        <v>339</v>
      </c>
    </row>
    <row r="87" spans="1:6" x14ac:dyDescent="0.2">
      <c r="A87" s="2154" t="str">
        <f t="shared" si="2"/>
        <v>Unmetered Scattered Load (USL)</v>
      </c>
      <c r="B87" s="2155"/>
      <c r="C87" s="451"/>
      <c r="D87" s="456" t="str">
        <f t="shared" si="4"/>
        <v/>
      </c>
      <c r="E87" s="456" t="str">
        <f t="shared" si="3"/>
        <v/>
      </c>
      <c r="F87" s="70" t="s">
        <v>339</v>
      </c>
    </row>
    <row r="88" spans="1:6" x14ac:dyDescent="0.2">
      <c r="A88" s="2044" t="str">
        <f t="shared" si="2"/>
        <v>Other class, if applicable</v>
      </c>
      <c r="B88" s="2045"/>
      <c r="C88" s="451"/>
      <c r="D88" s="456" t="str">
        <f t="shared" si="4"/>
        <v/>
      </c>
      <c r="E88" s="456" t="str">
        <f t="shared" si="3"/>
        <v/>
      </c>
      <c r="F88" s="345"/>
    </row>
    <row r="89" spans="1:6" x14ac:dyDescent="0.2">
      <c r="A89" s="2162"/>
      <c r="B89" s="2163"/>
      <c r="C89" s="451"/>
      <c r="D89" s="456" t="str">
        <f t="shared" si="4"/>
        <v/>
      </c>
      <c r="E89" s="456" t="str">
        <f t="shared" si="3"/>
        <v/>
      </c>
      <c r="F89" s="345"/>
    </row>
    <row r="90" spans="1:6" ht="13.5" thickBot="1" x14ac:dyDescent="0.25">
      <c r="A90" s="2164" t="str">
        <f>A58</f>
        <v>Embedded distributor class</v>
      </c>
      <c r="B90" s="2165"/>
      <c r="C90" s="468"/>
      <c r="D90" s="457" t="str">
        <f t="shared" si="4"/>
        <v/>
      </c>
      <c r="E90" s="457" t="str">
        <f t="shared" si="3"/>
        <v/>
      </c>
      <c r="F90" s="577"/>
    </row>
    <row r="92" spans="1:6" x14ac:dyDescent="0.2">
      <c r="A92" s="14" t="s">
        <v>429</v>
      </c>
      <c r="B92" s="120"/>
      <c r="C92" s="120"/>
      <c r="D92" s="120"/>
      <c r="E92" s="120"/>
      <c r="F92" s="120"/>
    </row>
    <row r="93" spans="1:6" x14ac:dyDescent="0.2">
      <c r="A93" s="120"/>
      <c r="B93" s="120"/>
      <c r="C93" s="120"/>
      <c r="D93" s="120"/>
      <c r="E93" s="120"/>
      <c r="F93" s="120"/>
    </row>
    <row r="94" spans="1:6" ht="30.75" customHeight="1" x14ac:dyDescent="0.2">
      <c r="A94" s="2035" t="s">
        <v>1039</v>
      </c>
      <c r="B94" s="2035"/>
      <c r="C94" s="2035"/>
      <c r="D94" s="2035"/>
      <c r="E94" s="2035"/>
      <c r="F94" s="2035"/>
    </row>
    <row r="95" spans="1:6" ht="20.25" customHeight="1" x14ac:dyDescent="0.2">
      <c r="A95" s="2035"/>
      <c r="B95" s="2035"/>
      <c r="C95" s="2035"/>
      <c r="D95" s="2035"/>
      <c r="E95" s="2035"/>
      <c r="F95" s="2035"/>
    </row>
    <row r="96" spans="1:6" ht="12.75" customHeight="1" x14ac:dyDescent="0.2">
      <c r="A96" s="562"/>
      <c r="B96" s="562"/>
      <c r="C96" s="562"/>
      <c r="D96" s="562"/>
      <c r="E96" s="562"/>
      <c r="F96" s="562"/>
    </row>
    <row r="97" spans="1:6" ht="25.5" customHeight="1" x14ac:dyDescent="0.2">
      <c r="A97" s="1752" t="s">
        <v>643</v>
      </c>
      <c r="B97" s="1752"/>
      <c r="C97" s="1752"/>
      <c r="D97" s="1752"/>
      <c r="E97" s="1752"/>
      <c r="F97" s="1752"/>
    </row>
    <row r="98" spans="1:6" x14ac:dyDescent="0.2">
      <c r="A98" s="120"/>
      <c r="B98" s="120"/>
      <c r="C98" s="120"/>
      <c r="D98" s="120"/>
      <c r="E98" s="120"/>
      <c r="F98" s="120"/>
    </row>
    <row r="99" spans="1:6" x14ac:dyDescent="0.2">
      <c r="A99" s="469" t="s">
        <v>644</v>
      </c>
      <c r="B99" s="452"/>
      <c r="C99" s="452"/>
      <c r="D99" s="452"/>
      <c r="E99" s="452"/>
      <c r="F99" s="452"/>
    </row>
    <row r="100" spans="1:6" ht="13.5" thickBot="1" x14ac:dyDescent="0.25"/>
    <row r="101" spans="1:6" x14ac:dyDescent="0.2">
      <c r="A101" s="2176" t="s">
        <v>332</v>
      </c>
      <c r="B101" s="2177"/>
      <c r="C101" s="2178" t="s">
        <v>343</v>
      </c>
      <c r="D101" s="2178"/>
      <c r="E101" s="2178"/>
      <c r="F101" s="2170" t="s">
        <v>337</v>
      </c>
    </row>
    <row r="102" spans="1:6" x14ac:dyDescent="0.2">
      <c r="A102" s="2145"/>
      <c r="B102" s="2146"/>
      <c r="C102" s="146">
        <f>TestYear</f>
        <v>2015</v>
      </c>
      <c r="D102" s="146">
        <f>C102+1</f>
        <v>2016</v>
      </c>
      <c r="E102" s="146">
        <f>D102+1</f>
        <v>2017</v>
      </c>
      <c r="F102" s="2179"/>
    </row>
    <row r="103" spans="1:6" x14ac:dyDescent="0.2">
      <c r="A103" s="2145"/>
      <c r="B103" s="2146"/>
      <c r="C103" s="146" t="s">
        <v>230</v>
      </c>
      <c r="D103" s="146" t="s">
        <v>230</v>
      </c>
      <c r="E103" s="146" t="s">
        <v>230</v>
      </c>
      <c r="F103" s="147" t="s">
        <v>230</v>
      </c>
    </row>
    <row r="104" spans="1:6" x14ac:dyDescent="0.2">
      <c r="A104" s="2141" t="str">
        <f>A80</f>
        <v>Residential</v>
      </c>
      <c r="B104" s="2142"/>
      <c r="C104" s="107">
        <f>E80</f>
        <v>103.62587837730149</v>
      </c>
      <c r="D104" s="205"/>
      <c r="E104" s="205"/>
      <c r="F104" s="109" t="str">
        <f>F80</f>
        <v>85 - 115</v>
      </c>
    </row>
    <row r="105" spans="1:6" x14ac:dyDescent="0.2">
      <c r="A105" s="2141" t="str">
        <f t="shared" ref="A105:A114" si="5">A81</f>
        <v>GS &lt; 50 kW</v>
      </c>
      <c r="B105" s="2142"/>
      <c r="C105" s="107">
        <f t="shared" ref="C105:C114" si="6">E81</f>
        <v>98.629050256537496</v>
      </c>
      <c r="D105" s="205"/>
      <c r="E105" s="205"/>
      <c r="F105" s="109" t="str">
        <f t="shared" ref="F105:F111" si="7">F81</f>
        <v>80 - 120</v>
      </c>
    </row>
    <row r="106" spans="1:6" ht="24" customHeight="1" x14ac:dyDescent="0.2">
      <c r="A106" s="2141" t="str">
        <f t="shared" si="5"/>
        <v>GS &gt; 50 kW (or 50 kW &lt; GS &lt; xxx kW, if applicable)</v>
      </c>
      <c r="B106" s="2142"/>
      <c r="C106" s="107">
        <f t="shared" si="6"/>
        <v>88.745833561785247</v>
      </c>
      <c r="D106" s="205"/>
      <c r="E106" s="205"/>
      <c r="F106" s="109" t="str">
        <f t="shared" si="7"/>
        <v>80 - 120</v>
      </c>
    </row>
    <row r="107" spans="1:6" x14ac:dyDescent="0.2">
      <c r="A107" s="2141" t="str">
        <f t="shared" si="5"/>
        <v>GS &gt; xxx kW, if applicable</v>
      </c>
      <c r="B107" s="2142"/>
      <c r="C107" s="107" t="str">
        <f t="shared" si="6"/>
        <v/>
      </c>
      <c r="D107" s="205"/>
      <c r="E107" s="205"/>
      <c r="F107" s="109" t="str">
        <f t="shared" si="7"/>
        <v>80 - 120</v>
      </c>
    </row>
    <row r="108" spans="1:6" x14ac:dyDescent="0.2">
      <c r="A108" s="2141" t="str">
        <f t="shared" si="5"/>
        <v>Large User, if applicable</v>
      </c>
      <c r="B108" s="2142"/>
      <c r="C108" s="107" t="str">
        <f t="shared" si="6"/>
        <v/>
      </c>
      <c r="D108" s="205"/>
      <c r="E108" s="205"/>
      <c r="F108" s="109" t="str">
        <f t="shared" si="7"/>
        <v>85 - 115</v>
      </c>
    </row>
    <row r="109" spans="1:6" x14ac:dyDescent="0.2">
      <c r="A109" s="2141" t="str">
        <f t="shared" si="5"/>
        <v>Street Lighting</v>
      </c>
      <c r="B109" s="2142"/>
      <c r="C109" s="107">
        <f t="shared" si="6"/>
        <v>95.285242616380302</v>
      </c>
      <c r="D109" s="205"/>
      <c r="E109" s="205"/>
      <c r="F109" s="109" t="str">
        <f t="shared" si="7"/>
        <v>70 - 120</v>
      </c>
    </row>
    <row r="110" spans="1:6" x14ac:dyDescent="0.2">
      <c r="A110" s="2141" t="str">
        <f t="shared" si="5"/>
        <v>Sentinel Lighting</v>
      </c>
      <c r="B110" s="2142"/>
      <c r="C110" s="107">
        <f t="shared" si="6"/>
        <v>120</v>
      </c>
      <c r="D110" s="205"/>
      <c r="E110" s="205"/>
      <c r="F110" s="109" t="str">
        <f t="shared" si="7"/>
        <v>80 - 120</v>
      </c>
    </row>
    <row r="111" spans="1:6" ht="12.75" customHeight="1" x14ac:dyDescent="0.2">
      <c r="A111" s="2141" t="str">
        <f t="shared" si="5"/>
        <v>Unmetered Scattered Load (USL)</v>
      </c>
      <c r="B111" s="2142"/>
      <c r="C111" s="107" t="str">
        <f t="shared" si="6"/>
        <v/>
      </c>
      <c r="D111" s="205"/>
      <c r="E111" s="205"/>
      <c r="F111" s="109" t="str">
        <f t="shared" si="7"/>
        <v>80 - 120</v>
      </c>
    </row>
    <row r="112" spans="1:6" x14ac:dyDescent="0.2">
      <c r="A112" s="2141" t="str">
        <f t="shared" si="5"/>
        <v>Other class, if applicable</v>
      </c>
      <c r="B112" s="2142"/>
      <c r="C112" s="107" t="str">
        <f t="shared" si="6"/>
        <v/>
      </c>
      <c r="D112" s="205"/>
      <c r="E112" s="205"/>
      <c r="F112" s="578">
        <f>F88</f>
        <v>0</v>
      </c>
    </row>
    <row r="113" spans="1:6" x14ac:dyDescent="0.2">
      <c r="A113" s="2141"/>
      <c r="B113" s="2142"/>
      <c r="C113" s="107" t="str">
        <f t="shared" si="6"/>
        <v/>
      </c>
      <c r="D113" s="205"/>
      <c r="E113" s="205"/>
      <c r="F113" s="578">
        <f>F89</f>
        <v>0</v>
      </c>
    </row>
    <row r="114" spans="1:6" ht="13.5" customHeight="1" thickBot="1" x14ac:dyDescent="0.25">
      <c r="A114" s="2180" t="str">
        <f t="shared" si="5"/>
        <v>Embedded distributor class</v>
      </c>
      <c r="B114" s="2181"/>
      <c r="C114" s="108" t="str">
        <f t="shared" si="6"/>
        <v/>
      </c>
      <c r="D114" s="447"/>
      <c r="E114" s="447"/>
      <c r="F114" s="580"/>
    </row>
    <row r="116" spans="1:6" ht="12.75" customHeight="1" x14ac:dyDescent="0.2">
      <c r="A116" s="14" t="s">
        <v>125</v>
      </c>
    </row>
    <row r="117" spans="1:6" ht="12.75" customHeight="1" x14ac:dyDescent="0.2">
      <c r="A117" s="2035" t="s">
        <v>1013</v>
      </c>
      <c r="B117" s="2035"/>
      <c r="C117" s="2035"/>
      <c r="D117" s="2035"/>
      <c r="E117" s="2035"/>
      <c r="F117" s="2035"/>
    </row>
    <row r="118" spans="1:6" x14ac:dyDescent="0.2">
      <c r="A118" s="2035"/>
      <c r="B118" s="2035"/>
      <c r="C118" s="2035"/>
      <c r="D118" s="2035"/>
      <c r="E118" s="2035"/>
      <c r="F118" s="2035"/>
    </row>
    <row r="119" spans="1:6" ht="20.25" customHeight="1" x14ac:dyDescent="0.2">
      <c r="A119" s="2035"/>
      <c r="B119" s="2035"/>
      <c r="C119" s="2035"/>
      <c r="D119" s="2035"/>
      <c r="E119" s="2035"/>
      <c r="F119" s="2035"/>
    </row>
    <row r="120" spans="1:6" ht="16.5" customHeight="1" x14ac:dyDescent="0.2">
      <c r="A120" s="2035"/>
      <c r="B120" s="2035"/>
      <c r="C120" s="2035"/>
      <c r="D120" s="2035"/>
      <c r="E120" s="2035"/>
      <c r="F120" s="2035"/>
    </row>
    <row r="122" spans="1:6" x14ac:dyDescent="0.2">
      <c r="A122" s="2084"/>
      <c r="B122" s="2084"/>
      <c r="C122" s="2084"/>
      <c r="D122" s="2084"/>
      <c r="E122" s="2084"/>
      <c r="F122" s="2084"/>
    </row>
    <row r="123" spans="1:6" x14ac:dyDescent="0.2">
      <c r="A123" s="2084"/>
      <c r="B123" s="2084"/>
      <c r="C123" s="2084"/>
      <c r="D123" s="2084"/>
      <c r="E123" s="2084"/>
      <c r="F123" s="2084"/>
    </row>
    <row r="124" spans="1:6" x14ac:dyDescent="0.2">
      <c r="A124" s="2084"/>
      <c r="B124" s="2084"/>
      <c r="C124" s="2084"/>
      <c r="D124" s="2084"/>
      <c r="E124" s="2084"/>
      <c r="F124" s="2084"/>
    </row>
  </sheetData>
  <mergeCells count="62">
    <mergeCell ref="A114:B114"/>
    <mergeCell ref="A122:F124"/>
    <mergeCell ref="A107:B107"/>
    <mergeCell ref="A108:B108"/>
    <mergeCell ref="A109:B109"/>
    <mergeCell ref="A110:B110"/>
    <mergeCell ref="A111:B111"/>
    <mergeCell ref="A112:B112"/>
    <mergeCell ref="A117:F120"/>
    <mergeCell ref="A113:B113"/>
    <mergeCell ref="A106:B106"/>
    <mergeCell ref="A101:B103"/>
    <mergeCell ref="C101:E101"/>
    <mergeCell ref="F101:F102"/>
    <mergeCell ref="A104:B104"/>
    <mergeCell ref="A87:B87"/>
    <mergeCell ref="A88:B88"/>
    <mergeCell ref="A89:B89"/>
    <mergeCell ref="A68:F69"/>
    <mergeCell ref="A105:B105"/>
    <mergeCell ref="A71:F72"/>
    <mergeCell ref="A94:F95"/>
    <mergeCell ref="A97:F97"/>
    <mergeCell ref="A90:B90"/>
    <mergeCell ref="A85:B85"/>
    <mergeCell ref="A86:B86"/>
    <mergeCell ref="A76:B78"/>
    <mergeCell ref="F76:F78"/>
    <mergeCell ref="D77:D78"/>
    <mergeCell ref="E77:E78"/>
    <mergeCell ref="A79:B79"/>
    <mergeCell ref="A63:F64"/>
    <mergeCell ref="A55:B55"/>
    <mergeCell ref="A56:B56"/>
    <mergeCell ref="A57:B57"/>
    <mergeCell ref="A58:B58"/>
    <mergeCell ref="A59:B59"/>
    <mergeCell ref="A84:B84"/>
    <mergeCell ref="A66:F66"/>
    <mergeCell ref="A80:B80"/>
    <mergeCell ref="A81:B81"/>
    <mergeCell ref="A82:B82"/>
    <mergeCell ref="A83:B83"/>
    <mergeCell ref="B43:F43"/>
    <mergeCell ref="A45:B45"/>
    <mergeCell ref="D46:D47"/>
    <mergeCell ref="E46:E47"/>
    <mergeCell ref="F46:F47"/>
    <mergeCell ref="A53:B53"/>
    <mergeCell ref="A54:B54"/>
    <mergeCell ref="A46:B47"/>
    <mergeCell ref="C46:C47"/>
    <mergeCell ref="A49:B49"/>
    <mergeCell ref="A50:B50"/>
    <mergeCell ref="A51:B51"/>
    <mergeCell ref="A52:B52"/>
    <mergeCell ref="A48:B48"/>
    <mergeCell ref="A32:E33"/>
    <mergeCell ref="A35:E37"/>
    <mergeCell ref="A39:E40"/>
    <mergeCell ref="A9:F9"/>
    <mergeCell ref="A10:F10"/>
  </mergeCells>
  <phoneticPr fontId="11" type="noConversion"/>
  <dataValidations count="1">
    <dataValidation allowBlank="1" showInputMessage="1" showErrorMessage="1" promptTitle="Date Format" prompt="E.g:  &quot;August 1, 2011&quot;" sqref="F7"/>
  </dataValidations>
  <pageMargins left="0.74803149606299213" right="0.74803149606299213" top="0.98425196850393704" bottom="0.98425196850393704" header="0.51181102362204722" footer="0.51181102362204722"/>
  <pageSetup scale="77" fitToHeight="2" orientation="portrait" r:id="rId1"/>
  <headerFooter alignWithMargins="0"/>
  <rowBreaks count="1" manualBreakCount="1">
    <brk id="60" max="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62"/>
  <sheetViews>
    <sheetView showGridLines="0" topLeftCell="A7" zoomScale="85" zoomScaleNormal="85" workbookViewId="0">
      <selection activeCell="F2" sqref="F2"/>
    </sheetView>
  </sheetViews>
  <sheetFormatPr defaultRowHeight="12.75" x14ac:dyDescent="0.2"/>
  <cols>
    <col min="1" max="1" width="19" customWidth="1"/>
    <col min="2" max="2" width="17.7109375" customWidth="1"/>
    <col min="3" max="3" width="22.85546875" customWidth="1"/>
    <col min="4" max="4" width="21.5703125" customWidth="1"/>
    <col min="5" max="5" width="21.28515625" customWidth="1"/>
    <col min="6" max="6" width="21.140625" customWidth="1"/>
    <col min="7" max="7" width="21.42578125" customWidth="1"/>
    <col min="9" max="9" width="17.5703125" customWidth="1"/>
    <col min="11" max="11" width="12.28515625" customWidth="1"/>
    <col min="12" max="12" width="16.140625" customWidth="1"/>
    <col min="14" max="14" width="14.85546875" customWidth="1"/>
  </cols>
  <sheetData>
    <row r="1" spans="1:14" x14ac:dyDescent="0.2">
      <c r="F1" s="278" t="s">
        <v>419</v>
      </c>
      <c r="G1" s="208" t="str">
        <f>EBNUMBER</f>
        <v>EB-2014-0113</v>
      </c>
      <c r="L1" s="470"/>
      <c r="M1" s="471"/>
      <c r="N1" s="471"/>
    </row>
    <row r="2" spans="1:14" x14ac:dyDescent="0.2">
      <c r="F2" s="278" t="s">
        <v>420</v>
      </c>
      <c r="G2" s="209"/>
      <c r="L2" s="470"/>
      <c r="M2" s="471"/>
      <c r="N2" s="471"/>
    </row>
    <row r="3" spans="1:14" x14ac:dyDescent="0.2">
      <c r="F3" s="278" t="s">
        <v>421</v>
      </c>
      <c r="G3" s="209"/>
      <c r="L3" s="470"/>
      <c r="M3" s="471"/>
      <c r="N3" s="471"/>
    </row>
    <row r="4" spans="1:14" x14ac:dyDescent="0.2">
      <c r="F4" s="278" t="s">
        <v>422</v>
      </c>
      <c r="G4" s="209"/>
      <c r="L4" s="470"/>
      <c r="M4" s="471"/>
      <c r="N4" s="471"/>
    </row>
    <row r="5" spans="1:14" x14ac:dyDescent="0.2">
      <c r="F5" s="278" t="s">
        <v>423</v>
      </c>
      <c r="G5" s="210"/>
      <c r="L5" s="470"/>
      <c r="M5" s="471"/>
      <c r="N5" s="471"/>
    </row>
    <row r="6" spans="1:14" x14ac:dyDescent="0.2">
      <c r="F6" s="278"/>
      <c r="G6" s="208"/>
      <c r="L6" s="470"/>
      <c r="M6" s="471"/>
      <c r="N6" s="471"/>
    </row>
    <row r="7" spans="1:14" x14ac:dyDescent="0.2">
      <c r="F7" s="278" t="s">
        <v>424</v>
      </c>
      <c r="G7" s="210"/>
      <c r="L7" s="470"/>
      <c r="M7" s="472"/>
      <c r="N7" s="472"/>
    </row>
    <row r="8" spans="1:14" x14ac:dyDescent="0.2">
      <c r="A8" s="120"/>
      <c r="L8" s="14"/>
    </row>
    <row r="9" spans="1:14" ht="18" x14ac:dyDescent="0.25">
      <c r="A9" s="1747" t="s">
        <v>60</v>
      </c>
      <c r="B9" s="1747"/>
      <c r="C9" s="1747"/>
      <c r="D9" s="1747"/>
      <c r="E9" s="1747"/>
      <c r="F9" s="1747"/>
      <c r="G9" s="1747"/>
      <c r="H9" s="203"/>
      <c r="I9" s="203"/>
      <c r="J9" s="203"/>
      <c r="K9" s="203"/>
      <c r="L9" s="203"/>
    </row>
    <row r="10" spans="1:14" ht="18" x14ac:dyDescent="0.2">
      <c r="A10" s="1747" t="s">
        <v>359</v>
      </c>
      <c r="B10" s="1747"/>
      <c r="C10" s="1747"/>
      <c r="D10" s="1747"/>
      <c r="E10" s="1747"/>
      <c r="F10" s="1747"/>
      <c r="G10" s="1747"/>
      <c r="H10" s="1747"/>
      <c r="I10" s="1747"/>
      <c r="J10" s="1747"/>
      <c r="K10" s="1747"/>
      <c r="L10" s="1747"/>
    </row>
    <row r="11" spans="1:14" ht="18" x14ac:dyDescent="0.2">
      <c r="A11" s="473"/>
      <c r="B11" s="473"/>
      <c r="C11" s="473"/>
      <c r="D11" s="473"/>
      <c r="E11" s="473"/>
      <c r="F11" s="473"/>
      <c r="G11" s="473"/>
      <c r="H11" s="473"/>
      <c r="I11" s="473"/>
      <c r="J11" s="473"/>
      <c r="K11" s="473"/>
      <c r="L11" s="473"/>
    </row>
    <row r="12" spans="1:14" ht="18" x14ac:dyDescent="0.2">
      <c r="A12" s="2191" t="s">
        <v>1012</v>
      </c>
      <c r="B12" s="2191"/>
      <c r="C12" s="2191"/>
      <c r="D12" s="2191"/>
      <c r="E12" s="2191"/>
      <c r="F12" s="2191"/>
      <c r="G12" s="2191"/>
      <c r="H12" s="523"/>
      <c r="I12" s="523"/>
      <c r="J12" s="523"/>
      <c r="K12" s="523"/>
      <c r="L12" s="523"/>
    </row>
    <row r="13" spans="1:14" ht="18" x14ac:dyDescent="0.2">
      <c r="A13" s="2190" t="s">
        <v>675</v>
      </c>
      <c r="B13" s="2190"/>
      <c r="C13" s="2190"/>
      <c r="D13" s="2190"/>
      <c r="E13" s="2190"/>
      <c r="F13" s="2190"/>
      <c r="G13" s="2190"/>
      <c r="H13" s="523"/>
      <c r="I13" s="523"/>
      <c r="J13" s="523"/>
      <c r="K13" s="523"/>
      <c r="L13" s="523"/>
    </row>
    <row r="14" spans="1:14" ht="18" x14ac:dyDescent="0.25">
      <c r="A14" s="174"/>
      <c r="B14" s="276"/>
      <c r="C14" s="276"/>
      <c r="D14" s="276"/>
      <c r="E14" s="276"/>
      <c r="F14" s="276"/>
      <c r="G14" s="276"/>
      <c r="H14" s="276"/>
      <c r="I14" s="276"/>
      <c r="J14" s="276"/>
      <c r="K14" s="276"/>
      <c r="L14" s="276"/>
    </row>
    <row r="15" spans="1:14" s="69" customFormat="1" x14ac:dyDescent="0.2">
      <c r="A15" s="2139"/>
      <c r="B15" s="2139"/>
      <c r="C15" s="2192"/>
      <c r="D15" s="2192"/>
      <c r="F15" s="476"/>
      <c r="G15" s="463"/>
      <c r="H15" s="463"/>
      <c r="I15" s="463"/>
      <c r="J15" s="463"/>
      <c r="K15" s="463"/>
      <c r="L15" s="463"/>
      <c r="M15" s="475"/>
      <c r="N15" s="475"/>
    </row>
    <row r="16" spans="1:14" x14ac:dyDescent="0.2">
      <c r="A16" s="14"/>
      <c r="B16" s="14"/>
      <c r="C16" s="14"/>
      <c r="D16" s="120"/>
      <c r="E16" s="120"/>
      <c r="F16" s="120"/>
      <c r="G16" s="106"/>
      <c r="H16" s="106"/>
      <c r="I16" s="106"/>
      <c r="J16" s="106"/>
      <c r="K16" s="106"/>
      <c r="L16" s="106"/>
      <c r="M16" s="120"/>
      <c r="N16" s="120"/>
    </row>
    <row r="17" spans="1:14" x14ac:dyDescent="0.2">
      <c r="A17" s="2139" t="s">
        <v>360</v>
      </c>
      <c r="B17" s="2139"/>
      <c r="C17" s="2188"/>
      <c r="D17" s="2189"/>
      <c r="F17" s="476"/>
      <c r="G17" s="476"/>
      <c r="H17" s="106"/>
      <c r="I17" s="120"/>
      <c r="J17" s="120"/>
      <c r="K17" s="120"/>
      <c r="L17" s="120"/>
      <c r="M17" s="120"/>
      <c r="N17" s="120"/>
    </row>
    <row r="18" spans="1:14" x14ac:dyDescent="0.2">
      <c r="A18" s="14"/>
      <c r="B18" s="14"/>
      <c r="C18" s="14"/>
      <c r="D18" s="120"/>
      <c r="E18" s="120"/>
      <c r="F18" s="120"/>
      <c r="G18" s="476"/>
      <c r="H18" s="106"/>
      <c r="I18" s="120"/>
      <c r="J18" s="120"/>
      <c r="K18" s="120"/>
      <c r="L18" s="120"/>
      <c r="M18" s="120"/>
      <c r="N18" s="120"/>
    </row>
    <row r="19" spans="1:14" x14ac:dyDescent="0.2">
      <c r="A19" s="117" t="s">
        <v>361</v>
      </c>
      <c r="B19" s="117"/>
      <c r="C19" s="117"/>
      <c r="D19" s="475"/>
      <c r="E19" s="475"/>
      <c r="F19" s="475"/>
      <c r="G19" s="476"/>
      <c r="H19" s="106"/>
      <c r="I19" s="120"/>
      <c r="J19" s="120"/>
      <c r="K19" s="120"/>
      <c r="L19" s="120"/>
      <c r="M19" s="120"/>
      <c r="N19" s="120"/>
    </row>
    <row r="20" spans="1:14" x14ac:dyDescent="0.2">
      <c r="A20" s="475"/>
      <c r="B20" s="475"/>
      <c r="C20" s="475"/>
      <c r="D20" s="475"/>
      <c r="E20" s="475"/>
      <c r="F20" s="475"/>
      <c r="G20" s="475"/>
      <c r="H20" s="106"/>
      <c r="I20" s="120"/>
      <c r="J20" s="120"/>
      <c r="K20" s="120"/>
      <c r="L20" s="120"/>
      <c r="M20" s="120"/>
      <c r="N20" s="120"/>
    </row>
    <row r="21" spans="1:14" x14ac:dyDescent="0.2">
      <c r="A21" s="158" t="s">
        <v>428</v>
      </c>
      <c r="B21" s="158" t="s">
        <v>14</v>
      </c>
      <c r="C21" s="158" t="s">
        <v>62</v>
      </c>
      <c r="D21" s="158" t="s">
        <v>63</v>
      </c>
      <c r="E21" s="158" t="s">
        <v>64</v>
      </c>
      <c r="F21" s="491" t="s">
        <v>65</v>
      </c>
      <c r="G21" s="498"/>
      <c r="H21" s="106"/>
      <c r="I21" s="120"/>
      <c r="J21" s="120"/>
      <c r="K21" s="120"/>
      <c r="L21" s="120"/>
      <c r="M21" s="120"/>
      <c r="N21" s="120"/>
    </row>
    <row r="22" spans="1:14" ht="38.25" x14ac:dyDescent="0.2">
      <c r="A22" s="511" t="s">
        <v>66</v>
      </c>
      <c r="B22" s="559" t="s">
        <v>362</v>
      </c>
      <c r="C22" s="559" t="s">
        <v>363</v>
      </c>
      <c r="D22" s="559" t="s">
        <v>364</v>
      </c>
      <c r="E22" s="559" t="s">
        <v>365</v>
      </c>
      <c r="F22" s="501" t="s">
        <v>366</v>
      </c>
      <c r="G22" s="498"/>
      <c r="H22" s="106"/>
      <c r="L22" s="120"/>
      <c r="M22" s="120"/>
      <c r="N22" s="120"/>
    </row>
    <row r="23" spans="1:14" ht="25.5" x14ac:dyDescent="0.2">
      <c r="A23" s="507" t="s">
        <v>367</v>
      </c>
      <c r="B23" s="502" t="s">
        <v>427</v>
      </c>
      <c r="C23" s="502" t="s">
        <v>427</v>
      </c>
      <c r="D23" s="502" t="s">
        <v>427</v>
      </c>
      <c r="E23" s="502" t="s">
        <v>427</v>
      </c>
      <c r="F23" s="502"/>
      <c r="G23" s="498"/>
      <c r="H23" s="106"/>
      <c r="I23" s="120"/>
      <c r="J23" s="120"/>
      <c r="K23" s="120"/>
      <c r="L23" s="120"/>
      <c r="M23" s="120"/>
      <c r="N23" s="120"/>
    </row>
    <row r="24" spans="1:14" ht="25.5" x14ac:dyDescent="0.2">
      <c r="A24" s="499" t="s">
        <v>67</v>
      </c>
      <c r="B24" s="503"/>
      <c r="C24" s="503"/>
      <c r="D24" s="503"/>
      <c r="E24" s="503"/>
      <c r="F24" s="504">
        <f t="shared" ref="F24:F30" si="0">C24+D24</f>
        <v>0</v>
      </c>
      <c r="G24" s="498"/>
      <c r="H24" s="463"/>
      <c r="I24" s="175"/>
      <c r="J24" s="106"/>
      <c r="K24" s="106"/>
      <c r="L24" s="106"/>
      <c r="M24" s="120"/>
      <c r="N24" s="120"/>
    </row>
    <row r="25" spans="1:14" x14ac:dyDescent="0.2">
      <c r="A25" s="499" t="s">
        <v>368</v>
      </c>
      <c r="B25" s="503"/>
      <c r="C25" s="503"/>
      <c r="D25" s="503"/>
      <c r="E25" s="503"/>
      <c r="F25" s="504">
        <f t="shared" si="0"/>
        <v>0</v>
      </c>
      <c r="G25" s="498"/>
      <c r="H25" s="463"/>
      <c r="I25" s="175"/>
      <c r="J25" s="106"/>
      <c r="K25" s="106"/>
      <c r="L25" s="106"/>
      <c r="M25" s="120"/>
      <c r="N25" s="120"/>
    </row>
    <row r="26" spans="1:14" ht="25.5" x14ac:dyDescent="0.2">
      <c r="A26" s="584" t="s">
        <v>645</v>
      </c>
      <c r="B26" s="503"/>
      <c r="C26" s="503"/>
      <c r="D26" s="503"/>
      <c r="E26" s="503"/>
      <c r="F26" s="504">
        <f t="shared" si="0"/>
        <v>0</v>
      </c>
      <c r="G26" s="498"/>
      <c r="H26" s="120"/>
      <c r="I26" s="120"/>
      <c r="J26" s="120"/>
      <c r="K26" s="120"/>
      <c r="L26" s="120"/>
      <c r="M26" s="120"/>
      <c r="N26" s="120"/>
    </row>
    <row r="27" spans="1:14" ht="27" customHeight="1" x14ac:dyDescent="0.2">
      <c r="A27" s="500" t="s">
        <v>369</v>
      </c>
      <c r="B27" s="503"/>
      <c r="C27" s="503"/>
      <c r="D27" s="503"/>
      <c r="E27" s="503"/>
      <c r="F27" s="504">
        <f t="shared" si="0"/>
        <v>0</v>
      </c>
      <c r="G27" s="498"/>
      <c r="J27" s="120"/>
      <c r="K27" s="120"/>
      <c r="L27" s="120"/>
      <c r="M27" s="120"/>
      <c r="N27" s="120"/>
    </row>
    <row r="28" spans="1:14" ht="25.5" x14ac:dyDescent="0.2">
      <c r="A28" s="500" t="s">
        <v>370</v>
      </c>
      <c r="B28" s="503"/>
      <c r="C28" s="503"/>
      <c r="D28" s="503"/>
      <c r="E28" s="503"/>
      <c r="F28" s="504">
        <f t="shared" si="0"/>
        <v>0</v>
      </c>
      <c r="G28" s="498"/>
      <c r="H28" s="275"/>
      <c r="I28" s="275"/>
      <c r="J28" s="120"/>
      <c r="K28" s="120"/>
      <c r="L28" s="120"/>
      <c r="M28" s="120"/>
      <c r="N28" s="120"/>
    </row>
    <row r="29" spans="1:14" x14ac:dyDescent="0.2">
      <c r="A29" s="499"/>
      <c r="B29" s="503"/>
      <c r="C29" s="503"/>
      <c r="D29" s="503"/>
      <c r="E29" s="503"/>
      <c r="F29" s="504">
        <f t="shared" si="0"/>
        <v>0</v>
      </c>
      <c r="G29" s="498"/>
      <c r="H29" s="490"/>
      <c r="I29" s="490"/>
      <c r="J29" s="120"/>
      <c r="K29" s="120"/>
      <c r="L29" s="120"/>
      <c r="M29" s="120"/>
      <c r="N29" s="120"/>
    </row>
    <row r="30" spans="1:14" x14ac:dyDescent="0.2">
      <c r="A30" s="499"/>
      <c r="B30" s="503"/>
      <c r="C30" s="503"/>
      <c r="D30" s="503"/>
      <c r="E30" s="503"/>
      <c r="F30" s="504">
        <f t="shared" si="0"/>
        <v>0</v>
      </c>
      <c r="G30" s="498"/>
      <c r="H30" s="475"/>
      <c r="I30" s="475"/>
      <c r="J30" s="120"/>
      <c r="K30" s="120"/>
      <c r="L30" s="120"/>
      <c r="M30" s="120"/>
      <c r="N30" s="120"/>
    </row>
    <row r="31" spans="1:14" x14ac:dyDescent="0.2">
      <c r="A31" s="521"/>
      <c r="B31" s="522"/>
      <c r="C31" s="522"/>
      <c r="D31" s="522"/>
      <c r="E31" s="522"/>
      <c r="F31" s="522"/>
      <c r="G31" s="477"/>
    </row>
    <row r="32" spans="1:14" x14ac:dyDescent="0.2">
      <c r="A32" s="491" t="s">
        <v>428</v>
      </c>
      <c r="B32" s="491" t="s">
        <v>68</v>
      </c>
      <c r="C32" s="491" t="s">
        <v>69</v>
      </c>
      <c r="D32" s="491" t="s">
        <v>70</v>
      </c>
      <c r="E32" s="491" t="s">
        <v>71</v>
      </c>
      <c r="F32" s="491" t="s">
        <v>72</v>
      </c>
      <c r="G32" s="498"/>
    </row>
    <row r="33" spans="1:9" ht="63.75" x14ac:dyDescent="0.2">
      <c r="A33" s="510" t="str">
        <f>A22</f>
        <v>Asset Class</v>
      </c>
      <c r="B33" s="501" t="s">
        <v>73</v>
      </c>
      <c r="C33" s="559" t="s">
        <v>371</v>
      </c>
      <c r="D33" s="501" t="s">
        <v>372</v>
      </c>
      <c r="E33" s="501" t="s">
        <v>373</v>
      </c>
      <c r="F33" s="501" t="s">
        <v>674</v>
      </c>
      <c r="G33" s="508"/>
    </row>
    <row r="34" spans="1:9" ht="25.5" x14ac:dyDescent="0.2">
      <c r="A34" s="299" t="s">
        <v>374</v>
      </c>
      <c r="B34" s="298" t="s">
        <v>74</v>
      </c>
      <c r="C34" s="298" t="s">
        <v>75</v>
      </c>
      <c r="D34" s="298" t="s">
        <v>76</v>
      </c>
      <c r="E34" s="298" t="s">
        <v>76</v>
      </c>
      <c r="F34" s="298" t="s">
        <v>77</v>
      </c>
    </row>
    <row r="35" spans="1:9" x14ac:dyDescent="0.2">
      <c r="A35" s="299" t="s">
        <v>67</v>
      </c>
      <c r="B35" s="505"/>
      <c r="C35" s="505"/>
      <c r="D35" s="506"/>
      <c r="E35" s="506"/>
      <c r="F35" s="493">
        <f>IF(D35=0,0,(C35/B35)*(E35/D35))</f>
        <v>0</v>
      </c>
    </row>
    <row r="36" spans="1:9" x14ac:dyDescent="0.2">
      <c r="A36" s="299" t="s">
        <v>368</v>
      </c>
      <c r="B36" s="505"/>
      <c r="C36" s="505"/>
      <c r="D36" s="506"/>
      <c r="E36" s="506"/>
      <c r="F36" s="493">
        <f>IF(D36=0,0,(C36/B36)*(E36/D36))</f>
        <v>0</v>
      </c>
    </row>
    <row r="37" spans="1:9" ht="25.5" x14ac:dyDescent="0.2">
      <c r="A37" s="299" t="s">
        <v>375</v>
      </c>
      <c r="B37" s="505"/>
      <c r="C37" s="505"/>
      <c r="D37" s="506"/>
      <c r="E37" s="506"/>
      <c r="F37" s="493">
        <f>IF(D37=0,0,(C37/B37)*(E37/D37))</f>
        <v>0</v>
      </c>
    </row>
    <row r="38" spans="1:9" x14ac:dyDescent="0.2">
      <c r="A38" s="300" t="s">
        <v>369</v>
      </c>
      <c r="B38" s="505"/>
      <c r="C38" s="505"/>
      <c r="D38" s="506"/>
      <c r="E38" s="506"/>
      <c r="F38" s="493">
        <f>IF(D38=0,0,(C38/B38)*(E38/D38))</f>
        <v>0</v>
      </c>
    </row>
    <row r="39" spans="1:9" ht="25.5" x14ac:dyDescent="0.2">
      <c r="A39" s="300" t="s">
        <v>376</v>
      </c>
      <c r="B39" s="505"/>
      <c r="C39" s="505"/>
      <c r="D39" s="506"/>
      <c r="E39" s="506"/>
      <c r="F39" s="493">
        <f>IF(D39=0,0,(C39/B39)*(E39/D39))</f>
        <v>0</v>
      </c>
      <c r="H39" s="2"/>
    </row>
    <row r="40" spans="1:9" x14ac:dyDescent="0.2">
      <c r="A40" s="521"/>
      <c r="B40" s="522"/>
      <c r="C40" s="522"/>
      <c r="D40" s="522"/>
      <c r="E40" s="522"/>
      <c r="F40" s="522"/>
      <c r="H40" s="2"/>
    </row>
    <row r="41" spans="1:9" ht="22.5" customHeight="1" x14ac:dyDescent="0.2">
      <c r="A41" s="491" t="s">
        <v>428</v>
      </c>
      <c r="B41" s="491" t="s">
        <v>78</v>
      </c>
      <c r="C41" s="491" t="s">
        <v>79</v>
      </c>
      <c r="D41" s="491" t="s">
        <v>80</v>
      </c>
      <c r="E41" s="491" t="s">
        <v>81</v>
      </c>
      <c r="F41" s="158" t="s">
        <v>82</v>
      </c>
      <c r="G41" s="491" t="s">
        <v>274</v>
      </c>
    </row>
    <row r="42" spans="1:9" ht="51" x14ac:dyDescent="0.2">
      <c r="A42" s="512" t="str">
        <f>A33</f>
        <v>Asset Class</v>
      </c>
      <c r="B42" s="501" t="s">
        <v>83</v>
      </c>
      <c r="C42" s="501" t="s">
        <v>84</v>
      </c>
      <c r="D42" s="501" t="s">
        <v>85</v>
      </c>
      <c r="E42" s="501" t="s">
        <v>86</v>
      </c>
      <c r="F42" s="501" t="s">
        <v>87</v>
      </c>
      <c r="G42" s="559" t="s">
        <v>377</v>
      </c>
    </row>
    <row r="43" spans="1:9" x14ac:dyDescent="0.2">
      <c r="A43" s="119"/>
      <c r="B43" s="492" t="s">
        <v>427</v>
      </c>
      <c r="C43" s="492" t="s">
        <v>427</v>
      </c>
      <c r="D43" s="492" t="s">
        <v>427</v>
      </c>
      <c r="E43" s="492" t="s">
        <v>427</v>
      </c>
      <c r="F43" s="494" t="s">
        <v>427</v>
      </c>
      <c r="G43" s="492" t="s">
        <v>88</v>
      </c>
      <c r="H43" s="509"/>
      <c r="I43" s="477"/>
    </row>
    <row r="44" spans="1:9" x14ac:dyDescent="0.2">
      <c r="A44" s="299" t="s">
        <v>67</v>
      </c>
      <c r="B44" s="495">
        <f>E$55*(F24+B24*E$60)*F35</f>
        <v>0</v>
      </c>
      <c r="C44" s="495">
        <f>(B44-(B$55*C$55*F35*(F24+B24*E58)+B$56*C$56*F35*(F24+B24*E$58)))*E$58/(1-E$58)</f>
        <v>0</v>
      </c>
      <c r="D44" s="496">
        <f>E24*F35</f>
        <v>0</v>
      </c>
      <c r="E44" s="496">
        <f>B24*F35</f>
        <v>0</v>
      </c>
      <c r="F44" s="497">
        <f>SUM(B44:E44)</f>
        <v>0</v>
      </c>
      <c r="G44" s="581">
        <f>IF(E35=0,0,(D44/E35))</f>
        <v>0</v>
      </c>
    </row>
    <row r="45" spans="1:9" x14ac:dyDescent="0.2">
      <c r="A45" s="299" t="s">
        <v>368</v>
      </c>
      <c r="B45" s="495">
        <f>E$55*(F25+B25*E$60)*F36</f>
        <v>0</v>
      </c>
      <c r="C45" s="495">
        <f>(B45-(B$55*C$55*F36*(F25+B25*E59)+B$56*C$56*F36*(F25+B25*E59)))*E$58/(1-E$58)</f>
        <v>0</v>
      </c>
      <c r="D45" s="496">
        <f>E25*F36</f>
        <v>0</v>
      </c>
      <c r="E45" s="496">
        <f>B25*F36</f>
        <v>0</v>
      </c>
      <c r="F45" s="497">
        <f>SUM(B45:E45)</f>
        <v>0</v>
      </c>
      <c r="G45" s="581">
        <f>IF(E36=0,0,(D45/E36))</f>
        <v>0</v>
      </c>
    </row>
    <row r="46" spans="1:9" ht="25.5" x14ac:dyDescent="0.2">
      <c r="A46" s="299" t="s">
        <v>375</v>
      </c>
      <c r="B46" s="495">
        <f>E$55*(F26+B26*E$60)*F37</f>
        <v>0</v>
      </c>
      <c r="C46" s="495">
        <f>(B46-(B$55*C$55*F37*(F26+B26*E60)+B$56*C$56*F37*(F26+B26*E$60)))*E$58/(1-E$58)</f>
        <v>0</v>
      </c>
      <c r="D46" s="496">
        <f>E26*F37</f>
        <v>0</v>
      </c>
      <c r="E46" s="496">
        <f>B26*F37</f>
        <v>0</v>
      </c>
      <c r="F46" s="497">
        <f>SUM(B46:E46)</f>
        <v>0</v>
      </c>
      <c r="G46" s="581">
        <f>IF(E37=0,0,(D46/E37))</f>
        <v>0</v>
      </c>
    </row>
    <row r="47" spans="1:9" x14ac:dyDescent="0.2">
      <c r="A47" s="300" t="s">
        <v>369</v>
      </c>
      <c r="B47" s="495">
        <f>E$55*(F27+B27*E$60)*F38</f>
        <v>0</v>
      </c>
      <c r="C47" s="495">
        <f>(B47-(B$55*C$55*F38*(F27+B27*E61)+B$56*C$56*F38*(F27+B27*E61)))*E$58/(1-E$58)</f>
        <v>0</v>
      </c>
      <c r="D47" s="496">
        <f>E27*F38</f>
        <v>0</v>
      </c>
      <c r="E47" s="496">
        <f>B27*F38</f>
        <v>0</v>
      </c>
      <c r="F47" s="497">
        <f>SUM(B47:E47)</f>
        <v>0</v>
      </c>
      <c r="G47" s="581">
        <f>IF(E38=0,0,(D47/E38))</f>
        <v>0</v>
      </c>
    </row>
    <row r="48" spans="1:9" ht="25.5" x14ac:dyDescent="0.2">
      <c r="A48" s="300" t="s">
        <v>376</v>
      </c>
      <c r="B48" s="495">
        <f>E$55*(F28+B28*E$60)*F39</f>
        <v>0</v>
      </c>
      <c r="C48" s="495">
        <f>(B48-(B$55*C$55*F39*(F28+B28*I62)+B$56*C$56*F39*(F28+B28*I62)))*E$58/(1-E$58)</f>
        <v>0</v>
      </c>
      <c r="D48" s="496">
        <f>E28*F39</f>
        <v>0</v>
      </c>
      <c r="E48" s="496">
        <f>B28*F39</f>
        <v>0</v>
      </c>
      <c r="F48" s="497">
        <f>SUM(B48:E48)</f>
        <v>0</v>
      </c>
      <c r="G48" s="581">
        <f>IF(E39=0,0,(D48/E39))</f>
        <v>0</v>
      </c>
    </row>
    <row r="49" spans="1:8" x14ac:dyDescent="0.2">
      <c r="A49" s="299"/>
      <c r="B49" s="496"/>
      <c r="C49" s="495"/>
      <c r="D49" s="496"/>
      <c r="E49" s="496"/>
      <c r="F49" s="497"/>
      <c r="G49" s="582"/>
    </row>
    <row r="50" spans="1:8" ht="24" customHeight="1" x14ac:dyDescent="0.2">
      <c r="A50" s="167" t="s">
        <v>413</v>
      </c>
      <c r="B50" s="513"/>
      <c r="C50" s="514"/>
      <c r="D50" s="513"/>
      <c r="E50" s="513"/>
      <c r="F50" s="515">
        <f>SUM(F44:F48)</f>
        <v>0</v>
      </c>
      <c r="G50" s="583">
        <f>SUM(G44:G48)</f>
        <v>0</v>
      </c>
    </row>
    <row r="51" spans="1:8" ht="13.5" thickBot="1" x14ac:dyDescent="0.25">
      <c r="A51" s="120"/>
      <c r="B51" s="120"/>
      <c r="C51" s="478"/>
      <c r="D51" s="120"/>
      <c r="E51" s="120"/>
      <c r="F51" s="120"/>
      <c r="G51" s="120"/>
      <c r="H51" s="2"/>
    </row>
    <row r="52" spans="1:8" x14ac:dyDescent="0.2">
      <c r="A52" s="112" t="s">
        <v>89</v>
      </c>
      <c r="B52" s="112" t="s">
        <v>90</v>
      </c>
      <c r="C52" s="111" t="s">
        <v>91</v>
      </c>
      <c r="D52" s="112" t="s">
        <v>275</v>
      </c>
      <c r="E52" s="111" t="s">
        <v>92</v>
      </c>
      <c r="G52" s="120"/>
      <c r="H52" s="2"/>
    </row>
    <row r="53" spans="1:8" ht="12.75" customHeight="1" x14ac:dyDescent="0.2">
      <c r="A53" s="479"/>
      <c r="B53" s="42" t="s">
        <v>93</v>
      </c>
      <c r="C53" s="43" t="s">
        <v>425</v>
      </c>
      <c r="D53" s="479"/>
      <c r="E53" s="480"/>
      <c r="G53" s="120"/>
      <c r="H53" s="2"/>
    </row>
    <row r="54" spans="1:8" ht="13.5" thickBot="1" x14ac:dyDescent="0.25">
      <c r="A54" s="484"/>
      <c r="B54" s="516" t="s">
        <v>426</v>
      </c>
      <c r="C54" s="481" t="s">
        <v>426</v>
      </c>
      <c r="D54" s="482"/>
      <c r="E54" s="481" t="s">
        <v>426</v>
      </c>
      <c r="G54" s="120"/>
      <c r="H54" s="2"/>
    </row>
    <row r="55" spans="1:8" x14ac:dyDescent="0.2">
      <c r="A55" s="483" t="s">
        <v>94</v>
      </c>
      <c r="B55" s="517"/>
      <c r="C55" s="517"/>
      <c r="D55" s="2182" t="s">
        <v>95</v>
      </c>
      <c r="E55" s="2186">
        <f>IF(B61=0%,0,SUMPRODUCT(B55:B59,C55:C59)/B61)</f>
        <v>0</v>
      </c>
      <c r="G55" s="120"/>
      <c r="H55" s="2"/>
    </row>
    <row r="56" spans="1:8" ht="13.5" thickBot="1" x14ac:dyDescent="0.25">
      <c r="A56" s="484" t="s">
        <v>97</v>
      </c>
      <c r="B56" s="518"/>
      <c r="C56" s="519"/>
      <c r="D56" s="2183"/>
      <c r="E56" s="2187"/>
      <c r="G56" s="120"/>
      <c r="H56" s="2"/>
    </row>
    <row r="57" spans="1:8" ht="13.5" thickBot="1" x14ac:dyDescent="0.25">
      <c r="A57" s="486"/>
      <c r="B57" s="487"/>
      <c r="C57" s="488"/>
      <c r="D57" s="483"/>
      <c r="E57" s="480"/>
      <c r="G57" s="120"/>
      <c r="H57" s="2"/>
    </row>
    <row r="58" spans="1:8" ht="12.75" customHeight="1" thickBot="1" x14ac:dyDescent="0.25">
      <c r="A58" s="479" t="s">
        <v>98</v>
      </c>
      <c r="B58" s="517"/>
      <c r="C58" s="517"/>
      <c r="D58" s="486" t="s">
        <v>99</v>
      </c>
      <c r="E58" s="520"/>
      <c r="G58" s="120"/>
      <c r="H58" s="2"/>
    </row>
    <row r="59" spans="1:8" ht="13.5" thickBot="1" x14ac:dyDescent="0.25">
      <c r="A59" s="484" t="s">
        <v>100</v>
      </c>
      <c r="B59" s="518"/>
      <c r="C59" s="519"/>
      <c r="D59" s="486"/>
      <c r="E59" s="488"/>
      <c r="G59" s="120"/>
      <c r="H59" s="2"/>
    </row>
    <row r="60" spans="1:8" x14ac:dyDescent="0.2">
      <c r="A60" s="479"/>
      <c r="B60" s="479"/>
      <c r="C60" s="480"/>
      <c r="D60" s="2182" t="s">
        <v>101</v>
      </c>
      <c r="E60" s="2184"/>
      <c r="G60" s="120"/>
    </row>
    <row r="61" spans="1:8" ht="13.5" thickBot="1" x14ac:dyDescent="0.25">
      <c r="A61" s="49" t="s">
        <v>413</v>
      </c>
      <c r="B61" s="489">
        <f>SUM(B55:B59)</f>
        <v>0</v>
      </c>
      <c r="C61" s="485"/>
      <c r="D61" s="2183"/>
      <c r="E61" s="2185"/>
      <c r="G61" s="120"/>
    </row>
    <row r="62" spans="1:8" x14ac:dyDescent="0.2">
      <c r="A62" s="120"/>
      <c r="B62" s="120"/>
      <c r="C62" s="120"/>
      <c r="D62" s="120"/>
      <c r="E62" s="120"/>
      <c r="F62" s="120"/>
      <c r="G62" s="120"/>
    </row>
  </sheetData>
  <mergeCells count="13">
    <mergeCell ref="H10:L10"/>
    <mergeCell ref="A13:G13"/>
    <mergeCell ref="A12:G12"/>
    <mergeCell ref="A15:B15"/>
    <mergeCell ref="C15:D15"/>
    <mergeCell ref="D60:D61"/>
    <mergeCell ref="E60:E61"/>
    <mergeCell ref="E55:E56"/>
    <mergeCell ref="A9:G9"/>
    <mergeCell ref="A10:G10"/>
    <mergeCell ref="A17:B17"/>
    <mergeCell ref="C17:D17"/>
    <mergeCell ref="D55:D56"/>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7:IY40 SU37:SU40 ACQ37:ACQ40 AMM37:AMM40 AWI37:AWI40 BGE37:BGE40 BQA37:BQA40 BZW37:BZW40 CJS37:CJS40 CTO37:CTO40 DDK37:DDK40 DNG37:DNG40 DXC37:DXC40 EGY37:EGY40 EQU37:EQU40 FAQ37:FAQ40 FKM37:FKM40 FUI37:FUI40 GEE37:GEE40 GOA37:GOA40 GXW37:GXW40 HHS37:HHS40 HRO37:HRO40 IBK37:IBK40 ILG37:ILG40 IVC37:IVC40 JEY37:JEY40 JOU37:JOU40 JYQ37:JYQ40 KIM37:KIM40 KSI37:KSI40 LCE37:LCE40 LMA37:LMA40 LVW37:LVW40 MFS37:MFS40 MPO37:MPO40 MZK37:MZK40 NJG37:NJG40 NTC37:NTC40 OCY37:OCY40 OMU37:OMU40 OWQ37:OWQ40 PGM37:PGM40 PQI37:PQI40 QAE37:QAE40 QKA37:QKA40 QTW37:QTW40 RDS37:RDS40 RNO37:RNO40 RXK37:RXK40 SHG37:SHG40 SRC37:SRC40 TAY37:TAY40 TKU37:TKU40 TUQ37:TUQ40 UEM37:UEM40 UOI37:UOI40 UYE37:UYE40 VIA37:VIA40 VRW37:VRW40 WBS37:WBS40 WLO37:WLO40 WVK37:WVK40"/>
    <dataValidation allowBlank="1" showInputMessage="1" showErrorMessage="1" promptTitle="Name of Embedded Distributor" prompt="Input name of embedded Distributor" sqref="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C15 C17 G18:G19"/>
    <dataValidation allowBlank="1" showInputMessage="1" showErrorMessage="1" promptTitle="Date Format" prompt="E.g:  &quot;August 1, 2011&quot;" sqref="M7:N7 G7"/>
    <dataValidation operator="lessThanOrEqual" allowBlank="1" showErrorMessage="1" promptTitle="Annual depreciation expense" prompt="Enter annual depreciation expense as a negative amount." sqref="IY34:IY36 SU34:SU36 ACQ34:ACQ36 AMM34:AMM36 AWI34:AWI36 BGE34:BGE36 BQA34:BQA36 BZW34:BZW36 CJS34:CJS36 CTO34:CTO36 DDK34:DDK36 DNG34:DNG36 DXC34:DXC36 EGY34:EGY36 EQU34:EQU36 FAQ34:FAQ36 FKM34:FKM36 FUI34:FUI36 GEE34:GEE36 GOA34:GOA36 GXW34:GXW36 HHS34:HHS36 HRO34:HRO36 IBK34:IBK36 ILG34:ILG36 IVC34:IVC36 JEY34:JEY36 JOU34:JOU36 JYQ34:JYQ36 KIM34:KIM36 KSI34:KSI36 LCE34:LCE36 LMA34:LMA36 LVW34:LVW36 MFS34:MFS36 MPO34:MPO36 MZK34:MZK36 NJG34:NJG36 NTC34:NTC36 OCY34:OCY36 OMU34:OMU36 OWQ34:OWQ36 PGM34:PGM36 PQI34:PQI36 QAE34:QAE36 QKA34:QKA36 QTW34:QTW36 RDS34:RDS36 RNO34:RNO36 RXK34:RXK36 SHG34:SHG36 SRC34:SRC36 TAY34:TAY36 TKU34:TKU36 TUQ34:TUQ36 UEM34:UEM36 UOI34:UOI36 UYE34:UYE36 VIA34:VIA36 VRW34:VRW36 WBS34:WBS36 WLO34:WLO36 WVK34:WVK36"/>
    <dataValidation allowBlank="1" showInputMessage="1" showErrorMessage="1" promptTitle="Gross Book Value" prompt="Enter original (Gross Book Value) of assets in dollars ($)" sqref="WVF34:WVF40 IT34:IT40 SP34:SP40 ACL34:ACL40 AMH34:AMH40 AWD34:AWD40 BFZ34:BFZ40 BPV34:BPV40 BZR34:BZR40 CJN34:CJN40 CTJ34:CTJ40 DDF34:DDF40 DNB34:DNB40 DWX34:DWX40 EGT34:EGT40 EQP34:EQP40 FAL34:FAL40 FKH34:FKH40 FUD34:FUD40 GDZ34:GDZ40 GNV34:GNV40 GXR34:GXR40 HHN34:HHN40 HRJ34:HRJ40 IBF34:IBF40 ILB34:ILB40 IUX34:IUX40 JET34:JET40 JOP34:JOP40 JYL34:JYL40 KIH34:KIH40 KSD34:KSD40 LBZ34:LBZ40 LLV34:LLV40 LVR34:LVR40 MFN34:MFN40 MPJ34:MPJ40 MZF34:MZF40 NJB34:NJB40 NSX34:NSX40 OCT34:OCT40 OMP34:OMP40 OWL34:OWL40 PGH34:PGH40 PQD34:PQD40 PZZ34:PZZ40 QJV34:QJV40 QTR34:QTR40 RDN34:RDN40 RNJ34:RNJ40 RXF34:RXF40 SHB34:SHB40 SQX34:SQX40 TAT34:TAT40 TKP34:TKP40 TUL34:TUL40 UEH34:UEH40 UOD34:UOD40 UXZ34:UXZ40 VHV34:VHV40 VRR34:VRR40 WBN34:WBN40 WLJ34:WLJ40 C24:C30"/>
    <dataValidation allowBlank="1" showInputMessage="1" showErrorMessage="1" promptTitle="OM&amp;A expenses" prompt="Enter OM&amp;A expenses in dollars ($)" sqref="WBS19:WBS25 IR34:IR40 SN34:SN40 ACJ34:ACJ40 AMF34:AMF40 AWB34:AWB40 BFX34:BFX40 BPT34:BPT40 BZP34:BZP40 CJL34:CJL40 CTH34:CTH40 DDD34:DDD40 DMZ34:DMZ40 DWV34:DWV40 EGR34:EGR40 EQN34:EQN40 FAJ34:FAJ40 FKF34:FKF40 FUB34:FUB40 GDX34:GDX40 GNT34:GNT40 GXP34:GXP40 HHL34:HHL40 HRH34:HRH40 IBD34:IBD40 IKZ34:IKZ40 IUV34:IUV40 JER34:JER40 JON34:JON40 JYJ34:JYJ40 KIF34:KIF40 KSB34:KSB40 LBX34:LBX40 LLT34:LLT40 LVP34:LVP40 MFL34:MFL40 MPH34:MPH40 MZD34:MZD40 NIZ34:NIZ40 NSV34:NSV40 OCR34:OCR40 OMN34:OMN40 OWJ34:OWJ40 PGF34:PGF40 PQB34:PQB40 PZX34:PZX40 QJT34:QJT40 QTP34:QTP40 RDL34:RDL40 RNH34:RNH40 RXD34:RXD40 SGZ34:SGZ40 SQV34:SQV40 TAR34:TAR40 TKN34:TKN40 TUJ34:TUJ40 UEF34:UEF40 UOB34:UOB40 UXX34:UXX40 VHT34:VHT40 VRP34:VRP40 WBL34:WBL40 WLH34:WLH40 WVD34:WVD40 WLM19:WLM25 WVE19:WVE23 WLI19:WLI23 WBM19:WBM23 VRQ19:VRQ23 VHU19:VHU23 UXY19:UXY23 UOC19:UOC23 UEG19:UEG23 TUK19:TUK23 TKO19:TKO23 TAS19:TAS23 SQW19:SQW23 SHA19:SHA23 RXE19:RXE23 RNI19:RNI23 RDM19:RDM23 QTQ19:QTQ23 QJU19:QJU23 PZY19:PZY23 PQC19:PQC23 PGG19:PGG23 OWK19:OWK23 OMO19:OMO23 OCS19:OCS23 NSW19:NSW23 NJA19:NJA23 MZE19:MZE23 MPI19:MPI23 MFM19:MFM23 LVQ19:LVQ23 LLU19:LLU23 LBY19:LBY23 KSC19:KSC23 KIG19:KIG23 JYK19:JYK23 JOO19:JOO23 JES19:JES23 IUW19:IUW23 ILA19:ILA23 IBE19:IBE23 HRI19:HRI23 HHM19:HHM23 GXQ19:GXQ23 GNU19:GNU23 GDY19:GDY23 FUC19:FUC23 FKG19:FKG23 FAK19:FAK23 EQO19:EQO23 EGS19:EGS23 DWW19:DWW23 DNA19:DNA23 DDE19:DDE23 CTI19:CTI23 CJM19:CJM23 BZQ19:BZQ23 BPU19:BPU23 BFY19:BFY23 AWC19:AWC23 AMG19:AMG23 ACK19:ACK23 SO19:SO23 IS19:IS23 WVG19:WVG23 IU19:IU23 SQ19:SQ23 ACM19:ACM23 AMI19:AMI23 AWE19:AWE23 BGA19:BGA23 BPW19:BPW23 BZS19:BZS23 CJO19:CJO23 CTK19:CTK23 DDG19:DDG23 DNC19:DNC23 DWY19:DWY23 EGU19:EGU23 EQQ19:EQQ23 FAM19:FAM23 FKI19:FKI23 FUE19:FUE23 GEA19:GEA23 GNW19:GNW23 GXS19:GXS23 HHO19:HHO23 HRK19:HRK23 IBG19:IBG23 ILC19:ILC23 IUY19:IUY23 JEU19:JEU23 JOQ19:JOQ23 JYM19:JYM23 KII19:KII23 KSE19:KSE23 LCA19:LCA23 LLW19:LLW23 LVS19:LVS23 MFO19:MFO23 MPK19:MPK23 MZG19:MZG23 NJC19:NJC23 NSY19:NSY23 OCU19:OCU23 OMQ19:OMQ23 OWM19:OWM23 PGI19:PGI23 PQE19:PQE23 QAA19:QAA23 QJW19:QJW23 QTS19:QTS23 RDO19:RDO23 RNK19:RNK23 RXG19:RXG23 SHC19:SHC23 SQY19:SQY23 TAU19:TAU23 TKQ19:TKQ23 TUM19:TUM23 UEI19:UEI23 UOE19:UOE23 UYA19:UYA23 VHW19:VHW23 VRS19:VRS23 WBO19:WBO23 WLK19:WLK23 WLO19:WLO25 WVQ24:WVQ25 WLU24:WLU25 WBY24:WBY25 VSC24:VSC25 VIG24:VIG25 UYK24:UYK25 UOO24:UOO25 UES24:UES25 TUW24:TUW25 TLA24:TLA25 TBE24:TBE25 SRI24:SRI25 SHM24:SHM25 RXQ24:RXQ25 RNU24:RNU25 RDY24:RDY25 QUC24:QUC25 QKG24:QKG25 QAK24:QAK25 PQO24:PQO25 PGS24:PGS25 OWW24:OWW25 ONA24:ONA25 ODE24:ODE25 NTI24:NTI25 NJM24:NJM25 MZQ24:MZQ25 MPU24:MPU25 MFY24:MFY25 LWC24:LWC25 LMG24:LMG25 LCK24:LCK25 KSO24:KSO25 KIS24:KIS25 JYW24:JYW25 JPA24:JPA25 JFE24:JFE25 IVI24:IVI25 ILM24:ILM25 IBQ24:IBQ25 HRU24:HRU25 HHY24:HHY25 GYC24:GYC25 GOG24:GOG25 GEK24:GEK25 FUO24:FUO25 FKS24:FKS25 FAW24:FAW25 ERA24:ERA25 EHE24:EHE25 DXI24:DXI25 DNM24:DNM25 DDQ24:DDQ25 CTU24:CTU25 CJY24:CJY25 CAC24:CAC25 BQG24:BQG25 BGK24:BGK25 AWO24:AWO25 AMS24:AMS25 ACW24:ACW25 TA24:TA25 JE24:JE25 I24:I25 WBQ19:WBQ25 WVI19:WVI25 JC24:JC25 SY24:SY25 ACU24:ACU25 AMQ24:AMQ25 AWM24:AWM25 BGI24:BGI25 BQE24:BQE25 CAA24:CAA25 CJW24:CJW25 CTS24:CTS25 DDO24:DDO25 DNK24:DNK25 DXG24:DXG25 EHC24:EHC25 EQY24:EQY25 FAU24:FAU25 FKQ24:FKQ25 FUM24:FUM25 GEI24:GEI25 GOE24:GOE25 GYA24:GYA25 HHW24:HHW25 HRS24:HRS25 IBO24:IBO25 ILK24:ILK25 IVG24:IVG25 JFC24:JFC25 JOY24:JOY25 JYU24:JYU25 KIQ24:KIQ25 KSM24:KSM25 LCI24:LCI25 LME24:LME25 LWA24:LWA25 MFW24:MFW25 MPS24:MPS25 MZO24:MZO25 NJK24:NJK25 NTG24:NTG25 ODC24:ODC25 OMY24:OMY25 OWU24:OWU25 PGQ24:PGQ25 PQM24:PQM25 QAI24:QAI25 QKE24:QKE25 QUA24:QUA25 RDW24:RDW25 RNS24:RNS25 RXO24:RXO25 SHK24:SHK25 SRG24:SRG25 TBC24:TBC25 TKY24:TKY25 TUU24:TUU25 UEQ24:UEQ25 UOM24:UOM25 UYI24:UYI25 VIE24:VIE25 VSA24:VSA25 WBW24:WBW25 WLS24:WLS25 WVO24:WVO25 JA19:JA25 SW19:SW25 ACS19:ACS25 AMO19:AMO25 AWK19:AWK25 BGG19:BGG25 BQC19:BQC25 BZY19:BZY25 CJU19:CJU25 CTQ19:CTQ25 DDM19:DDM25 DNI19:DNI25 DXE19:DXE25 EHA19:EHA25 EQW19:EQW25 FAS19:FAS25 FKO19:FKO25 FUK19:FUK25 GEG19:GEG25 GOC19:GOC25 GXY19:GXY25 HHU19:HHU25 HRQ19:HRQ25 IBM19:IBM25 ILI19:ILI25 IVE19:IVE25 JFA19:JFA25 JOW19:JOW25 JYS19:JYS25 KIO19:KIO25 KSK19:KSK25 LCG19:LCG25 LMC19:LMC25 LVY19:LVY25 MFU19:MFU25 MPQ19:MPQ25 MZM19:MZM25 NJI19:NJI25 NTE19:NTE25 ODA19:ODA25 OMW19:OMW25 OWS19:OWS25 PGO19:PGO25 PQK19:PQK25 QAG19:QAG25 QKC19:QKC25 QTY19:QTY25 RDU19:RDU25 RNQ19:RNQ25 RXM19:RXM25 SHI19:SHI25 SRE19:SRE25 TBA19:TBA25 TKW19:TKW25 TUS19:TUS25 UEO19:UEO25 UOK19:UOK25 UYG19:UYG25 VIC19:VIC25 VRY19:VRY25 WBU19:WBU25 WLQ19:WLQ25 WVK19:WVK25 WVM19:WVM25 IW19:IW25 IY19:IY25 SS19:SS25 SU19:SU25 ACO19:ACO25 ACQ19:ACQ25 AMK19:AMK25 AMM19:AMM25 AWG19:AWG25 AWI19:AWI25 BGC19:BGC25 BGE19:BGE25 BPY19:BPY25 BQA19:BQA25 BZU19:BZU25 BZW19:BZW25 CJQ19:CJQ25 CJS19:CJS25 CTM19:CTM25 CTO19:CTO25 DDI19:DDI25 DDK19:DDK25 DNE19:DNE25 DNG19:DNG25 DXA19:DXA25 DXC19:DXC25 EGW19:EGW25 EGY19:EGY25 EQS19:EQS25 EQU19:EQU25 FAO19:FAO25 FAQ19:FAQ25 FKK19:FKK25 FKM19:FKM25 FUG19:FUG25 FUI19:FUI25 GEC19:GEC25 GEE19:GEE25 GNY19:GNY25 GOA19:GOA25 GXU19:GXU25 GXW19:GXW25 HHQ19:HHQ25 HHS19:HHS25 HRM19:HRM25 HRO19:HRO25 IBI19:IBI25 IBK19:IBK25 ILE19:ILE25 ILG19:ILG25 IVA19:IVA25 IVC19:IVC25 JEW19:JEW25 JEY19:JEY25 JOS19:JOS25 JOU19:JOU25 JYO19:JYO25 JYQ19:JYQ25 KIK19:KIK25 KIM19:KIM25 KSG19:KSG25 KSI19:KSI25 LCC19:LCC25 LCE19:LCE25 LLY19:LLY25 LMA19:LMA25 LVU19:LVU25 LVW19:LVW25 MFQ19:MFQ25 MFS19:MFS25 MPM19:MPM25 MPO19:MPO25 MZI19:MZI25 MZK19:MZK25 NJE19:NJE25 NJG19:NJG25 NTA19:NTA25 NTC19:NTC25 OCW19:OCW25 OCY19:OCY25 OMS19:OMS25 OMU19:OMU25 OWO19:OWO25 OWQ19:OWQ25 PGK19:PGK25 PGM19:PGM25 PQG19:PQG25 PQI19:PQI25 QAC19:QAC25 QAE19:QAE25 QJY19:QJY25 QKA19:QKA25 QTU19:QTU25 QTW19:QTW25 RDQ19:RDQ25 RDS19:RDS25 RNM19:RNM25 RNO19:RNO25 RXI19:RXI25 RXK19:RXK25 SHE19:SHE25 SHG19:SHG25 SRA19:SRA25 SRC19:SRC25 TAW19:TAW25 TAY19:TAY25 TKS19:TKS25 TKU19:TKU25 TUO19:TUO25 TUQ19:TUQ25 UEK19:UEK25 UEM19:UEM25 UOG19:UOG25 UOI19:UOI25 UYC19:UYC25 UYE19:UYE25 VHY19:VHY25 VIA19:VIA25 VRU19:VRU25 VRW19:VRW25 B24:B30"/>
    <dataValidation type="decimal" operator="lessThanOrEqual" allowBlank="1" showInputMessage="1" showErrorMessage="1" promptTitle="Annual depreciation expense" prompt="Enter annual depreciation expense as a negative amount." sqref="WVJ34:WVJ40 IX34:IX40 ST34:ST40 ACP34:ACP40 AML34:AML40 AWH34:AWH40 BGD34:BGD40 BPZ34:BPZ40 BZV34:BZV40 CJR34:CJR40 CTN34:CTN40 DDJ34:DDJ40 DNF34:DNF40 DXB34:DXB40 EGX34:EGX40 EQT34:EQT40 FAP34:FAP40 FKL34:FKL40 FUH34:FUH40 GED34:GED40 GNZ34:GNZ40 GXV34:GXV40 HHR34:HHR40 HRN34:HRN40 IBJ34:IBJ40 ILF34:ILF40 IVB34:IVB40 JEX34:JEX40 JOT34:JOT40 JYP34:JYP40 KIL34:KIL40 KSH34:KSH40 LCD34:LCD40 LLZ34:LLZ40 LVV34:LVV40 MFR34:MFR40 MPN34:MPN40 MZJ34:MZJ40 NJF34:NJF40 NTB34:NTB40 OCX34:OCX40 OMT34:OMT40 OWP34:OWP40 PGL34:PGL40 PQH34:PQH40 QAD34:QAD40 QJZ34:QJZ40 QTV34:QTV40 RDR34:RDR40 RNN34:RNN40 RXJ34:RXJ40 SHF34:SHF40 SRB34:SRB40 TAX34:TAX40 TKT34:TKT40 TUP34:TUP40 UEL34:UEL40 UOH34:UOH40 UYD34:UYD40 VHZ34:VHZ40 VRV34:VRV40 WBR34:WBR40 WLN34:WLN40 E24:E30">
      <formula1>0</formula1>
    </dataValidation>
    <dataValidation type="decimal" operator="lessThanOrEqual" allowBlank="1" showInputMessage="1" showErrorMessage="1" promptTitle="Accumulated depreciation" prompt="Enter accumulated depreciation as a negative amount." sqref="WVH34:WVH40 IV34:IV40 SR34:SR40 ACN34:ACN40 AMJ34:AMJ40 AWF34:AWF40 BGB34:BGB40 BPX34:BPX40 BZT34:BZT40 CJP34:CJP40 CTL34:CTL40 DDH34:DDH40 DND34:DND40 DWZ34:DWZ40 EGV34:EGV40 EQR34:EQR40 FAN34:FAN40 FKJ34:FKJ40 FUF34:FUF40 GEB34:GEB40 GNX34:GNX40 GXT34:GXT40 HHP34:HHP40 HRL34:HRL40 IBH34:IBH40 ILD34:ILD40 IUZ34:IUZ40 JEV34:JEV40 JOR34:JOR40 JYN34:JYN40 KIJ34:KIJ40 KSF34:KSF40 LCB34:LCB40 LLX34:LLX40 LVT34:LVT40 MFP34:MFP40 MPL34:MPL40 MZH34:MZH40 NJD34:NJD40 NSZ34:NSZ40 OCV34:OCV40 OMR34:OMR40 OWN34:OWN40 PGJ34:PGJ40 PQF34:PQF40 QAB34:QAB40 QJX34:QJX40 QTT34:QTT40 RDP34:RDP40 RNL34:RNL40 RXH34:RXH40 SHD34:SHD40 SQZ34:SQZ40 TAV34:TAV40 TKR34:TKR40 TUN34:TUN40 UEJ34:UEJ40 UOF34:UOF40 UYB34:UYB40 VHX34:VHX40 VRT34:VRT40 WBP34:WBP40 WLL34:WLL40 D24:D30">
      <formula1>0</formula1>
    </dataValidation>
  </dataValidations>
  <pageMargins left="0.75" right="0.75" top="1" bottom="1" header="0.5" footer="0.5"/>
  <pageSetup scale="67" fitToHeight="2" orientation="landscape" r:id="rId1"/>
  <headerFooter alignWithMargins="0"/>
  <rowBreaks count="1" manualBreakCount="1">
    <brk id="39" max="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I72"/>
  <sheetViews>
    <sheetView showGridLines="0" zoomScaleNormal="100" workbookViewId="0">
      <selection activeCell="M21" sqref="M21"/>
    </sheetView>
  </sheetViews>
  <sheetFormatPr defaultRowHeight="12.75" x14ac:dyDescent="0.2"/>
  <cols>
    <col min="1" max="1" width="3.28515625" customWidth="1"/>
    <col min="2" max="2" width="8.7109375" customWidth="1"/>
    <col min="3" max="3" width="30.7109375" customWidth="1"/>
    <col min="4" max="8" width="12.7109375" customWidth="1"/>
    <col min="9" max="9" width="14.7109375" customWidth="1"/>
  </cols>
  <sheetData>
    <row r="1" spans="2:9" x14ac:dyDescent="0.2">
      <c r="H1" s="278" t="s">
        <v>419</v>
      </c>
      <c r="I1" s="208" t="str">
        <f>EBNUMBER</f>
        <v>EB-2014-0113</v>
      </c>
    </row>
    <row r="2" spans="2:9" x14ac:dyDescent="0.2">
      <c r="H2" s="278" t="s">
        <v>420</v>
      </c>
      <c r="I2" s="209">
        <v>7</v>
      </c>
    </row>
    <row r="3" spans="2:9" x14ac:dyDescent="0.2">
      <c r="H3" s="278" t="s">
        <v>421</v>
      </c>
      <c r="I3" s="209">
        <v>2</v>
      </c>
    </row>
    <row r="4" spans="2:9" x14ac:dyDescent="0.2">
      <c r="H4" s="278" t="s">
        <v>422</v>
      </c>
      <c r="I4" s="209">
        <v>2</v>
      </c>
    </row>
    <row r="5" spans="2:9" x14ac:dyDescent="0.2">
      <c r="H5" s="278" t="s">
        <v>423</v>
      </c>
      <c r="I5" s="210"/>
    </row>
    <row r="6" spans="2:9" x14ac:dyDescent="0.2">
      <c r="H6" s="278"/>
      <c r="I6" s="208"/>
    </row>
    <row r="7" spans="2:9" x14ac:dyDescent="0.2">
      <c r="H7" s="278" t="s">
        <v>424</v>
      </c>
      <c r="I7" s="1466">
        <v>42119</v>
      </c>
    </row>
    <row r="9" spans="2:9" ht="18" x14ac:dyDescent="0.25">
      <c r="B9" s="1746" t="s">
        <v>633</v>
      </c>
      <c r="C9" s="1746"/>
      <c r="D9" s="1746"/>
      <c r="E9" s="1746"/>
      <c r="F9" s="1746"/>
      <c r="G9" s="1746"/>
      <c r="H9" s="1746"/>
      <c r="I9" s="1746"/>
    </row>
    <row r="10" spans="2:9" ht="18" x14ac:dyDescent="0.25">
      <c r="B10" s="1746" t="s">
        <v>164</v>
      </c>
      <c r="C10" s="1746"/>
      <c r="D10" s="1746"/>
      <c r="E10" s="1746"/>
      <c r="F10" s="1746"/>
      <c r="G10" s="1746"/>
      <c r="H10" s="1746"/>
      <c r="I10" s="1746"/>
    </row>
    <row r="11" spans="2:9" x14ac:dyDescent="0.2">
      <c r="B11" s="2193"/>
      <c r="C11" s="2193"/>
      <c r="D11" s="2193"/>
      <c r="E11" s="2193"/>
      <c r="F11" s="2193"/>
      <c r="G11" s="2193"/>
      <c r="H11" s="2193"/>
      <c r="I11" s="2193"/>
    </row>
    <row r="12" spans="2:9" ht="13.5" thickBot="1" x14ac:dyDescent="0.25"/>
    <row r="13" spans="2:9" x14ac:dyDescent="0.2">
      <c r="B13" s="2194"/>
      <c r="C13" s="2195"/>
      <c r="D13" s="2198" t="s">
        <v>202</v>
      </c>
      <c r="E13" s="2199"/>
      <c r="F13" s="2199"/>
      <c r="G13" s="2199"/>
      <c r="H13" s="2200"/>
      <c r="I13" s="2170" t="s">
        <v>203</v>
      </c>
    </row>
    <row r="14" spans="2:9" x14ac:dyDescent="0.2">
      <c r="B14" s="2196"/>
      <c r="C14" s="2197"/>
      <c r="D14" s="524">
        <f>IF(ISBLANK('LDC Info'!E26-5), "Year 5", 'LDC Info'!E26-5)</f>
        <v>2009</v>
      </c>
      <c r="E14" s="524">
        <f>IF(ISBLANK('LDC Info'!E26-4), "Year 5", 'LDC Info'!E26-4)</f>
        <v>2010</v>
      </c>
      <c r="F14" s="524">
        <f>IF(ISBLANK('LDC Info'!E26-3), "Year 5", 'LDC Info'!E26-3)</f>
        <v>2011</v>
      </c>
      <c r="G14" s="524">
        <f>IF(ISBLANK('LDC Info'!E26-2), "Year 5", 'LDC Info'!E26-2)</f>
        <v>2012</v>
      </c>
      <c r="H14" s="524">
        <f>IF(ISBLANK('LDC Info'!E26-1), "Year 5", 'LDC Info'!E26-1)</f>
        <v>2013</v>
      </c>
      <c r="I14" s="2179"/>
    </row>
    <row r="15" spans="2:9" x14ac:dyDescent="0.2">
      <c r="B15" s="148"/>
      <c r="C15" s="2201" t="s">
        <v>204</v>
      </c>
      <c r="D15" s="2202"/>
      <c r="E15" s="2202"/>
      <c r="F15" s="2202"/>
      <c r="G15" s="2202"/>
      <c r="H15" s="2202"/>
      <c r="I15" s="2203"/>
    </row>
    <row r="16" spans="2:9" ht="25.5" x14ac:dyDescent="0.2">
      <c r="B16" s="92" t="s">
        <v>205</v>
      </c>
      <c r="C16" s="73" t="s">
        <v>206</v>
      </c>
      <c r="D16" s="1520">
        <v>302033075</v>
      </c>
      <c r="E16" s="1520">
        <v>306541878</v>
      </c>
      <c r="F16" s="1520">
        <v>306508299</v>
      </c>
      <c r="G16" s="1520">
        <v>300791435</v>
      </c>
      <c r="H16" s="1520">
        <v>287972090</v>
      </c>
      <c r="I16" s="1521">
        <f>IF(SUM(D16:H16)=0,0,AVERAGE(D16:H16))</f>
        <v>300769355.39999998</v>
      </c>
    </row>
    <row r="17" spans="2:9" ht="25.5" x14ac:dyDescent="0.2">
      <c r="B17" s="92" t="s">
        <v>207</v>
      </c>
      <c r="C17" s="73" t="s">
        <v>208</v>
      </c>
      <c r="D17" s="1520">
        <v>300979646</v>
      </c>
      <c r="E17" s="1520">
        <v>306541878</v>
      </c>
      <c r="F17" s="1520">
        <v>306508299</v>
      </c>
      <c r="G17" s="1520">
        <v>300791435</v>
      </c>
      <c r="H17" s="1520">
        <v>287972090</v>
      </c>
      <c r="I17" s="1521">
        <f>IF(SUM(D17:H17)=0,0,AVERAGE(D17:H17))</f>
        <v>300558669.60000002</v>
      </c>
    </row>
    <row r="18" spans="2:9" ht="38.25" x14ac:dyDescent="0.2">
      <c r="B18" s="92" t="s">
        <v>209</v>
      </c>
      <c r="C18" s="73" t="s">
        <v>210</v>
      </c>
      <c r="D18" s="1520">
        <v>6569872</v>
      </c>
      <c r="E18" s="1520"/>
      <c r="F18" s="1520"/>
      <c r="G18" s="1520"/>
      <c r="H18" s="1520"/>
      <c r="I18" s="1521">
        <f>IF(SUM(D18:H18)=0,0,AVERAGE(D18:H18))</f>
        <v>6569872</v>
      </c>
    </row>
    <row r="19" spans="2:9" ht="25.5" x14ac:dyDescent="0.2">
      <c r="B19" s="92" t="s">
        <v>211</v>
      </c>
      <c r="C19" s="73" t="s">
        <v>223</v>
      </c>
      <c r="D19" s="1522">
        <f t="shared" ref="D19:I19" si="0">D17-D18</f>
        <v>294409774</v>
      </c>
      <c r="E19" s="1522">
        <f t="shared" si="0"/>
        <v>306541878</v>
      </c>
      <c r="F19" s="1522">
        <f t="shared" si="0"/>
        <v>306508299</v>
      </c>
      <c r="G19" s="1522">
        <f t="shared" si="0"/>
        <v>300791435</v>
      </c>
      <c r="H19" s="1522">
        <f t="shared" si="0"/>
        <v>287972090</v>
      </c>
      <c r="I19" s="1523">
        <f t="shared" si="0"/>
        <v>293988797.60000002</v>
      </c>
    </row>
    <row r="20" spans="2:9" ht="14.25" customHeight="1" x14ac:dyDescent="0.2">
      <c r="B20" s="92" t="s">
        <v>212</v>
      </c>
      <c r="C20" s="73" t="s">
        <v>213</v>
      </c>
      <c r="D20" s="1520">
        <v>289185003</v>
      </c>
      <c r="E20" s="1520">
        <v>298005675</v>
      </c>
      <c r="F20" s="1520">
        <v>295038343</v>
      </c>
      <c r="G20" s="1520">
        <v>291171874</v>
      </c>
      <c r="H20" s="1520">
        <v>277727633</v>
      </c>
      <c r="I20" s="1521">
        <f>IF(SUM(D20:H20)=0,0,AVERAGE(D20:H20))</f>
        <v>290225705.60000002</v>
      </c>
    </row>
    <row r="21" spans="2:9" ht="38.25" x14ac:dyDescent="0.2">
      <c r="B21" s="92" t="s">
        <v>214</v>
      </c>
      <c r="C21" s="73" t="s">
        <v>215</v>
      </c>
      <c r="D21" s="1520">
        <v>6504824</v>
      </c>
      <c r="E21" s="1520">
        <v>0</v>
      </c>
      <c r="F21" s="1520">
        <v>0</v>
      </c>
      <c r="G21" s="1520">
        <v>0</v>
      </c>
      <c r="H21" s="1520">
        <v>0</v>
      </c>
      <c r="I21" s="1521">
        <f>IF(SUM(D21:H21)=0,0,AVERAGE(D21:H21))</f>
        <v>1300964.8</v>
      </c>
    </row>
    <row r="22" spans="2:9" ht="25.5" x14ac:dyDescent="0.2">
      <c r="B22" s="92" t="s">
        <v>216</v>
      </c>
      <c r="C22" s="73" t="s">
        <v>224</v>
      </c>
      <c r="D22" s="1522">
        <f t="shared" ref="D22:I22" si="1">D20-D21</f>
        <v>282680179</v>
      </c>
      <c r="E22" s="1522">
        <f t="shared" si="1"/>
        <v>298005675</v>
      </c>
      <c r="F22" s="1522">
        <f t="shared" si="1"/>
        <v>295038343</v>
      </c>
      <c r="G22" s="1522">
        <f t="shared" si="1"/>
        <v>291171874</v>
      </c>
      <c r="H22" s="1522">
        <f t="shared" si="1"/>
        <v>277727633</v>
      </c>
      <c r="I22" s="1523">
        <f t="shared" si="1"/>
        <v>288924740.80000001</v>
      </c>
    </row>
    <row r="23" spans="2:9" ht="25.5" x14ac:dyDescent="0.2">
      <c r="B23" s="92" t="s">
        <v>217</v>
      </c>
      <c r="C23" s="73" t="s">
        <v>225</v>
      </c>
      <c r="D23" s="1524">
        <f t="shared" ref="D23:I23" si="2">IF(D22=0,"",D19/D22)</f>
        <v>1.0414942251752288</v>
      </c>
      <c r="E23" s="1524">
        <f t="shared" si="2"/>
        <v>1.0286444310162886</v>
      </c>
      <c r="F23" s="1524">
        <f t="shared" si="2"/>
        <v>1.0388761538021518</v>
      </c>
      <c r="G23" s="1524">
        <f t="shared" si="2"/>
        <v>1.0330373976986527</v>
      </c>
      <c r="H23" s="1524">
        <f t="shared" si="2"/>
        <v>1.0368867040320759</v>
      </c>
      <c r="I23" s="1525">
        <f t="shared" si="2"/>
        <v>1.0175272522040799</v>
      </c>
    </row>
    <row r="24" spans="2:9" ht="13.5" customHeight="1" x14ac:dyDescent="0.2">
      <c r="B24" s="149"/>
      <c r="C24" s="2204" t="s">
        <v>219</v>
      </c>
      <c r="D24" s="2205"/>
      <c r="E24" s="2205"/>
      <c r="F24" s="2205"/>
      <c r="G24" s="2205"/>
      <c r="H24" s="2205"/>
      <c r="I24" s="2206"/>
    </row>
    <row r="25" spans="2:9" x14ac:dyDescent="0.2">
      <c r="B25" s="92" t="s">
        <v>218</v>
      </c>
      <c r="C25" s="73" t="s">
        <v>220</v>
      </c>
      <c r="D25" s="1528">
        <v>4.0800000000000003E-2</v>
      </c>
      <c r="E25" s="1528">
        <v>2.86E-2</v>
      </c>
      <c r="F25" s="1528">
        <v>3.8899999999999997E-2</v>
      </c>
      <c r="G25" s="1528">
        <v>3.3000000000000002E-2</v>
      </c>
      <c r="H25" s="1528">
        <v>3.5574478762855112E-2</v>
      </c>
      <c r="I25" s="1529">
        <f>IF(SUM(D25:H25)=0,0,AVERAGE(D25:H25))</f>
        <v>3.5374895752571023E-2</v>
      </c>
    </row>
    <row r="26" spans="2:9" x14ac:dyDescent="0.2">
      <c r="B26" s="149"/>
      <c r="C26" s="2204" t="s">
        <v>221</v>
      </c>
      <c r="D26" s="2205"/>
      <c r="E26" s="2205"/>
      <c r="F26" s="2205"/>
      <c r="G26" s="2205"/>
      <c r="H26" s="2205"/>
      <c r="I26" s="2206"/>
    </row>
    <row r="27" spans="2:9" ht="13.5" thickBot="1" x14ac:dyDescent="0.25">
      <c r="B27" s="91" t="s">
        <v>222</v>
      </c>
      <c r="C27" s="75" t="s">
        <v>226</v>
      </c>
      <c r="D27" s="1526">
        <f t="shared" ref="D27:I27" si="3">IF(D23="","",D23*D25)</f>
        <v>4.2492964387149341E-2</v>
      </c>
      <c r="E27" s="1526">
        <f t="shared" si="3"/>
        <v>2.9419230727065853E-2</v>
      </c>
      <c r="F27" s="1526">
        <f t="shared" si="3"/>
        <v>4.0412282382903703E-2</v>
      </c>
      <c r="G27" s="1526">
        <f t="shared" si="3"/>
        <v>3.4090234124055541E-2</v>
      </c>
      <c r="H27" s="1526">
        <f t="shared" si="3"/>
        <v>3.6886704032075918E-2</v>
      </c>
      <c r="I27" s="1527">
        <f t="shared" si="3"/>
        <v>3.5994920472119371E-2</v>
      </c>
    </row>
    <row r="29" spans="2:9" x14ac:dyDescent="0.2">
      <c r="B29" s="59" t="s">
        <v>429</v>
      </c>
    </row>
    <row r="30" spans="2:9" ht="7.5" customHeight="1" x14ac:dyDescent="0.2"/>
    <row r="32" spans="2:9" x14ac:dyDescent="0.2">
      <c r="B32" s="106" t="s">
        <v>205</v>
      </c>
      <c r="C32" s="2207" t="s">
        <v>395</v>
      </c>
      <c r="D32" s="2207"/>
      <c r="E32" s="2207"/>
      <c r="F32" s="2207"/>
      <c r="G32" s="2207"/>
      <c r="H32" s="2207"/>
      <c r="I32" s="2207"/>
    </row>
    <row r="33" spans="2:9" x14ac:dyDescent="0.2">
      <c r="B33" s="118"/>
      <c r="C33" s="2207"/>
      <c r="D33" s="2207"/>
      <c r="E33" s="2207"/>
      <c r="F33" s="2207"/>
      <c r="G33" s="2207"/>
      <c r="H33" s="2207"/>
      <c r="I33" s="2207"/>
    </row>
    <row r="34" spans="2:9" x14ac:dyDescent="0.2">
      <c r="B34" s="118"/>
      <c r="C34" s="2207"/>
      <c r="D34" s="2207"/>
      <c r="E34" s="2207"/>
      <c r="F34" s="2207"/>
      <c r="G34" s="2207"/>
      <c r="H34" s="2207"/>
      <c r="I34" s="2207"/>
    </row>
    <row r="35" spans="2:9" ht="7.5" customHeight="1" x14ac:dyDescent="0.2">
      <c r="B35" s="118"/>
      <c r="C35" s="95"/>
      <c r="D35" s="95"/>
      <c r="E35" s="95"/>
      <c r="F35" s="95"/>
      <c r="G35" s="95"/>
      <c r="H35" s="95"/>
      <c r="I35" s="95"/>
    </row>
    <row r="36" spans="2:9" x14ac:dyDescent="0.2">
      <c r="B36" s="118"/>
      <c r="C36" s="2207" t="s">
        <v>396</v>
      </c>
      <c r="D36" s="2207"/>
      <c r="E36" s="2207"/>
      <c r="F36" s="2207"/>
      <c r="G36" s="2207"/>
      <c r="H36" s="2207"/>
      <c r="I36" s="2207"/>
    </row>
    <row r="37" spans="2:9" x14ac:dyDescent="0.2">
      <c r="B37" s="118"/>
      <c r="C37" s="2207"/>
      <c r="D37" s="2207"/>
      <c r="E37" s="2207"/>
      <c r="F37" s="2207"/>
      <c r="G37" s="2207"/>
      <c r="H37" s="2207"/>
      <c r="I37" s="2207"/>
    </row>
    <row r="38" spans="2:9" x14ac:dyDescent="0.2">
      <c r="B38" s="118"/>
      <c r="C38" s="2207"/>
      <c r="D38" s="2207"/>
      <c r="E38" s="2207"/>
      <c r="F38" s="2207"/>
      <c r="G38" s="2207"/>
      <c r="H38" s="2207"/>
      <c r="I38" s="2207"/>
    </row>
    <row r="39" spans="2:9" x14ac:dyDescent="0.2">
      <c r="B39" s="118"/>
      <c r="C39" s="2207"/>
      <c r="D39" s="2207"/>
      <c r="E39" s="2207"/>
      <c r="F39" s="2207"/>
      <c r="G39" s="2207"/>
      <c r="H39" s="2207"/>
      <c r="I39" s="2207"/>
    </row>
    <row r="40" spans="2:9" ht="7.5" customHeight="1" x14ac:dyDescent="0.2">
      <c r="B40" s="118"/>
      <c r="C40" s="95"/>
      <c r="D40" s="95"/>
      <c r="E40" s="95"/>
      <c r="F40" s="95"/>
      <c r="G40" s="95"/>
      <c r="H40" s="95"/>
      <c r="I40" s="95"/>
    </row>
    <row r="41" spans="2:9" x14ac:dyDescent="0.2">
      <c r="B41" s="118"/>
      <c r="C41" s="95" t="s">
        <v>341</v>
      </c>
      <c r="D41" s="95"/>
      <c r="E41" s="95"/>
      <c r="F41" s="95"/>
      <c r="G41" s="95"/>
      <c r="H41" s="95"/>
      <c r="I41" s="95"/>
    </row>
    <row r="42" spans="2:9" ht="7.5" customHeight="1" x14ac:dyDescent="0.2">
      <c r="B42" s="118"/>
      <c r="C42" s="95"/>
      <c r="D42" s="95"/>
      <c r="E42" s="95"/>
      <c r="F42" s="95"/>
      <c r="G42" s="95"/>
      <c r="H42" s="95"/>
      <c r="I42" s="95"/>
    </row>
    <row r="43" spans="2:9" x14ac:dyDescent="0.2">
      <c r="B43" s="106" t="s">
        <v>207</v>
      </c>
      <c r="C43" s="2207" t="s">
        <v>397</v>
      </c>
      <c r="D43" s="2207"/>
      <c r="E43" s="2207"/>
      <c r="F43" s="2207"/>
      <c r="G43" s="2207"/>
      <c r="H43" s="2207"/>
      <c r="I43" s="2207"/>
    </row>
    <row r="44" spans="2:9" x14ac:dyDescent="0.2">
      <c r="B44" s="118"/>
      <c r="C44" s="2207"/>
      <c r="D44" s="2207"/>
      <c r="E44" s="2207"/>
      <c r="F44" s="2207"/>
      <c r="G44" s="2207"/>
      <c r="H44" s="2207"/>
      <c r="I44" s="2207"/>
    </row>
    <row r="45" spans="2:9" x14ac:dyDescent="0.2">
      <c r="B45" s="118"/>
      <c r="C45" s="2207"/>
      <c r="D45" s="2207"/>
      <c r="E45" s="2207"/>
      <c r="F45" s="2207"/>
      <c r="G45" s="2207"/>
      <c r="H45" s="2207"/>
      <c r="I45" s="2207"/>
    </row>
    <row r="46" spans="2:9" ht="7.5" customHeight="1" x14ac:dyDescent="0.2">
      <c r="B46" s="118"/>
      <c r="C46" s="95"/>
      <c r="D46" s="95"/>
      <c r="E46" s="95"/>
      <c r="F46" s="95"/>
      <c r="G46" s="95"/>
      <c r="H46" s="95"/>
      <c r="I46" s="95"/>
    </row>
    <row r="47" spans="2:9" ht="12.75" customHeight="1" x14ac:dyDescent="0.2">
      <c r="B47" s="118"/>
      <c r="C47" s="2208" t="s">
        <v>1053</v>
      </c>
      <c r="D47" s="2208"/>
      <c r="E47" s="2208"/>
      <c r="F47" s="2208"/>
      <c r="G47" s="2208"/>
      <c r="H47" s="2208"/>
      <c r="I47" s="2208"/>
    </row>
    <row r="48" spans="2:9" x14ac:dyDescent="0.2">
      <c r="B48" s="118"/>
      <c r="C48" s="2208"/>
      <c r="D48" s="2208"/>
      <c r="E48" s="2208"/>
      <c r="F48" s="2208"/>
      <c r="G48" s="2208"/>
      <c r="H48" s="2208"/>
      <c r="I48" s="2208"/>
    </row>
    <row r="49" spans="2:9" x14ac:dyDescent="0.2">
      <c r="B49" s="118"/>
      <c r="C49" s="2208"/>
      <c r="D49" s="2208"/>
      <c r="E49" s="2208"/>
      <c r="F49" s="2208"/>
      <c r="G49" s="2208"/>
      <c r="H49" s="2208"/>
      <c r="I49" s="2208"/>
    </row>
    <row r="50" spans="2:9" x14ac:dyDescent="0.2">
      <c r="B50" s="118"/>
      <c r="C50" s="2208"/>
      <c r="D50" s="2208"/>
      <c r="E50" s="2208"/>
      <c r="F50" s="2208"/>
      <c r="G50" s="2208"/>
      <c r="H50" s="2208"/>
      <c r="I50" s="2208"/>
    </row>
    <row r="51" spans="2:9" ht="7.5" customHeight="1" x14ac:dyDescent="0.2">
      <c r="B51" s="118"/>
      <c r="C51" s="95"/>
      <c r="D51" s="95"/>
      <c r="E51" s="95"/>
      <c r="F51" s="95"/>
      <c r="G51" s="95"/>
      <c r="H51" s="95"/>
      <c r="I51" s="95"/>
    </row>
    <row r="52" spans="2:9" x14ac:dyDescent="0.2">
      <c r="B52" s="118"/>
      <c r="C52" s="2209" t="s">
        <v>341</v>
      </c>
      <c r="D52" s="2209"/>
      <c r="E52" s="2209"/>
      <c r="F52" s="2209"/>
      <c r="G52" s="2209"/>
      <c r="H52" s="2209"/>
      <c r="I52" s="2209"/>
    </row>
    <row r="53" spans="2:9" ht="7.5" customHeight="1" x14ac:dyDescent="0.2">
      <c r="B53" s="118"/>
      <c r="C53" s="95"/>
      <c r="D53" s="95"/>
      <c r="E53" s="95"/>
      <c r="F53" s="95"/>
      <c r="G53" s="95"/>
      <c r="H53" s="95"/>
      <c r="I53" s="95"/>
    </row>
    <row r="54" spans="2:9" x14ac:dyDescent="0.2">
      <c r="B54" s="118"/>
      <c r="C54" s="2207" t="s">
        <v>398</v>
      </c>
      <c r="D54" s="2207"/>
      <c r="E54" s="2207"/>
      <c r="F54" s="2207"/>
      <c r="G54" s="2207"/>
      <c r="H54" s="2207"/>
      <c r="I54" s="2207"/>
    </row>
    <row r="55" spans="2:9" x14ac:dyDescent="0.2">
      <c r="B55" s="118"/>
      <c r="C55" s="2207"/>
      <c r="D55" s="2207"/>
      <c r="E55" s="2207"/>
      <c r="F55" s="2207"/>
      <c r="G55" s="2207"/>
      <c r="H55" s="2207"/>
      <c r="I55" s="2207"/>
    </row>
    <row r="56" spans="2:9" ht="7.5" customHeight="1" x14ac:dyDescent="0.2">
      <c r="B56" s="118"/>
      <c r="C56" s="95"/>
      <c r="D56" s="95"/>
      <c r="E56" s="95"/>
      <c r="F56" s="95"/>
      <c r="G56" s="95"/>
      <c r="H56" s="95"/>
      <c r="I56" s="95"/>
    </row>
    <row r="57" spans="2:9" x14ac:dyDescent="0.2">
      <c r="B57" s="106" t="s">
        <v>209</v>
      </c>
      <c r="C57" s="2207" t="s">
        <v>399</v>
      </c>
      <c r="D57" s="2207"/>
      <c r="E57" s="2207"/>
      <c r="F57" s="2207"/>
      <c r="G57" s="2207"/>
      <c r="H57" s="2207"/>
      <c r="I57" s="2207"/>
    </row>
    <row r="58" spans="2:9" x14ac:dyDescent="0.2">
      <c r="B58" s="118"/>
      <c r="C58" s="2207"/>
      <c r="D58" s="2207"/>
      <c r="E58" s="2207"/>
      <c r="F58" s="2207"/>
      <c r="G58" s="2207"/>
      <c r="H58" s="2207"/>
      <c r="I58" s="2207"/>
    </row>
    <row r="59" spans="2:9" ht="7.5" customHeight="1" x14ac:dyDescent="0.2">
      <c r="B59" s="118"/>
      <c r="C59" s="95"/>
      <c r="D59" s="95"/>
      <c r="E59" s="95"/>
      <c r="F59" s="95"/>
      <c r="G59" s="95"/>
      <c r="H59" s="95"/>
      <c r="I59" s="95"/>
    </row>
    <row r="60" spans="2:9" x14ac:dyDescent="0.2">
      <c r="B60" s="106" t="s">
        <v>212</v>
      </c>
      <c r="C60" s="2208" t="s">
        <v>669</v>
      </c>
      <c r="D60" s="2207"/>
      <c r="E60" s="2207"/>
      <c r="F60" s="2207"/>
      <c r="G60" s="2207"/>
      <c r="H60" s="2207"/>
      <c r="I60" s="2207"/>
    </row>
    <row r="61" spans="2:9" x14ac:dyDescent="0.2">
      <c r="B61" s="118"/>
      <c r="C61" s="2207"/>
      <c r="D61" s="2207"/>
      <c r="E61" s="2207"/>
      <c r="F61" s="2207"/>
      <c r="G61" s="2207"/>
      <c r="H61" s="2207"/>
      <c r="I61" s="2207"/>
    </row>
    <row r="62" spans="2:9" x14ac:dyDescent="0.2">
      <c r="B62" s="118"/>
      <c r="C62" s="95"/>
      <c r="D62" s="95"/>
      <c r="E62" s="95"/>
      <c r="F62" s="95"/>
      <c r="G62" s="95"/>
      <c r="H62" s="95"/>
      <c r="I62" s="95"/>
    </row>
    <row r="63" spans="2:9" x14ac:dyDescent="0.2">
      <c r="B63" s="106" t="s">
        <v>400</v>
      </c>
      <c r="C63" s="2209" t="s">
        <v>342</v>
      </c>
      <c r="D63" s="2209"/>
      <c r="E63" s="2209"/>
      <c r="F63" s="2209"/>
      <c r="G63" s="2209"/>
      <c r="H63" s="2209"/>
      <c r="I63" s="2209"/>
    </row>
    <row r="64" spans="2:9" x14ac:dyDescent="0.2">
      <c r="B64" s="118"/>
      <c r="C64" s="95"/>
      <c r="D64" s="95"/>
      <c r="E64" s="95"/>
      <c r="F64" s="95"/>
      <c r="G64" s="95"/>
      <c r="H64" s="95"/>
      <c r="I64" s="95"/>
    </row>
    <row r="65" spans="2:9" x14ac:dyDescent="0.2">
      <c r="B65" s="106" t="s">
        <v>218</v>
      </c>
      <c r="C65" s="2209" t="s">
        <v>393</v>
      </c>
      <c r="D65" s="2209"/>
      <c r="E65" s="2209"/>
      <c r="F65" s="2209"/>
      <c r="G65" s="2209"/>
      <c r="H65" s="2209"/>
      <c r="I65" s="2209"/>
    </row>
    <row r="66" spans="2:9" x14ac:dyDescent="0.2">
      <c r="B66" s="95"/>
      <c r="C66" s="95"/>
      <c r="D66" s="95"/>
      <c r="E66" s="95"/>
      <c r="F66" s="95"/>
      <c r="G66" s="95"/>
      <c r="H66" s="95"/>
      <c r="I66" s="95"/>
    </row>
    <row r="67" spans="2:9" x14ac:dyDescent="0.2">
      <c r="B67" s="95"/>
      <c r="C67" s="2207" t="s">
        <v>394</v>
      </c>
      <c r="D67" s="2207"/>
      <c r="E67" s="2207"/>
      <c r="F67" s="2207"/>
      <c r="G67" s="2207"/>
      <c r="H67" s="2207"/>
      <c r="I67" s="95"/>
    </row>
    <row r="68" spans="2:9" x14ac:dyDescent="0.2">
      <c r="B68" s="95"/>
      <c r="C68" s="2207"/>
      <c r="D68" s="2207"/>
      <c r="E68" s="2207"/>
      <c r="F68" s="2207"/>
      <c r="G68" s="2207"/>
      <c r="H68" s="2207"/>
      <c r="I68" s="95"/>
    </row>
    <row r="69" spans="2:9" x14ac:dyDescent="0.2">
      <c r="B69" s="95"/>
      <c r="C69" s="2207"/>
      <c r="D69" s="2207"/>
      <c r="E69" s="2207"/>
      <c r="F69" s="2207"/>
      <c r="G69" s="2207"/>
      <c r="H69" s="2207"/>
      <c r="I69" s="95"/>
    </row>
    <row r="70" spans="2:9" x14ac:dyDescent="0.2">
      <c r="B70" s="95"/>
      <c r="C70" s="95"/>
      <c r="D70" s="95"/>
      <c r="E70" s="95"/>
      <c r="F70" s="95"/>
      <c r="G70" s="95"/>
      <c r="H70" s="95"/>
      <c r="I70" s="95"/>
    </row>
    <row r="71" spans="2:9" x14ac:dyDescent="0.2">
      <c r="C71" s="2209" t="s">
        <v>401</v>
      </c>
      <c r="D71" s="2210"/>
      <c r="E71" s="2210"/>
      <c r="F71" s="2210"/>
      <c r="G71" s="2210"/>
      <c r="H71" s="2210"/>
      <c r="I71" s="2210"/>
    </row>
    <row r="72" spans="2:9" x14ac:dyDescent="0.2">
      <c r="C72" t="s">
        <v>402</v>
      </c>
    </row>
  </sheetData>
  <mergeCells count="21">
    <mergeCell ref="C57:I58"/>
    <mergeCell ref="C60:I61"/>
    <mergeCell ref="C32:I34"/>
    <mergeCell ref="C71:I71"/>
    <mergeCell ref="C63:I63"/>
    <mergeCell ref="C65:I65"/>
    <mergeCell ref="C67:H69"/>
    <mergeCell ref="C52:I52"/>
    <mergeCell ref="C15:I15"/>
    <mergeCell ref="C24:I24"/>
    <mergeCell ref="C26:I26"/>
    <mergeCell ref="C54:I55"/>
    <mergeCell ref="C36:I39"/>
    <mergeCell ref="C43:I45"/>
    <mergeCell ref="C47:I50"/>
    <mergeCell ref="B9:I9"/>
    <mergeCell ref="B10:I10"/>
    <mergeCell ref="B11:I11"/>
    <mergeCell ref="B13:C14"/>
    <mergeCell ref="D13:H13"/>
    <mergeCell ref="I13:I14"/>
  </mergeCells>
  <phoneticPr fontId="11" type="noConversion"/>
  <dataValidations count="1">
    <dataValidation allowBlank="1" showInputMessage="1" showErrorMessage="1" promptTitle="Date Format" prompt="E.g:  &quot;August 1, 2011&quot;" sqref="I7"/>
  </dataValidations>
  <pageMargins left="0.75" right="0.75" top="1" bottom="1" header="0.5" footer="0.5"/>
  <pageSetup scale="64"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J93"/>
  <sheetViews>
    <sheetView showGridLines="0" zoomScaleNormal="100" workbookViewId="0">
      <selection activeCell="C75" sqref="C75:I77"/>
    </sheetView>
  </sheetViews>
  <sheetFormatPr defaultRowHeight="12.75" x14ac:dyDescent="0.2"/>
  <cols>
    <col min="2" max="2" width="6.7109375" customWidth="1"/>
    <col min="3" max="3" width="7.140625" customWidth="1"/>
    <col min="4" max="6" width="13.7109375" customWidth="1"/>
    <col min="7" max="7" width="17.28515625" bestFit="1" customWidth="1"/>
    <col min="8" max="8" width="13.7109375" customWidth="1"/>
    <col min="9" max="9" width="16.42578125" customWidth="1"/>
    <col min="10" max="10" width="13.7109375" customWidth="1"/>
  </cols>
  <sheetData>
    <row r="1" spans="2:9" x14ac:dyDescent="0.2">
      <c r="H1" s="278" t="s">
        <v>419</v>
      </c>
      <c r="I1" s="208" t="str">
        <f>EBNUMBER</f>
        <v>EB-2014-0113</v>
      </c>
    </row>
    <row r="2" spans="2:9" x14ac:dyDescent="0.2">
      <c r="H2" s="278" t="s">
        <v>420</v>
      </c>
      <c r="I2" s="209">
        <v>7</v>
      </c>
    </row>
    <row r="3" spans="2:9" x14ac:dyDescent="0.2">
      <c r="H3" s="278" t="s">
        <v>421</v>
      </c>
      <c r="I3" s="209">
        <v>2</v>
      </c>
    </row>
    <row r="4" spans="2:9" x14ac:dyDescent="0.2">
      <c r="H4" s="278" t="s">
        <v>422</v>
      </c>
      <c r="I4" s="209">
        <v>2</v>
      </c>
    </row>
    <row r="5" spans="2:9" x14ac:dyDescent="0.2">
      <c r="H5" s="278" t="s">
        <v>423</v>
      </c>
      <c r="I5" s="210"/>
    </row>
    <row r="6" spans="2:9" x14ac:dyDescent="0.2">
      <c r="H6" s="278"/>
      <c r="I6" s="208"/>
    </row>
    <row r="7" spans="2:9" x14ac:dyDescent="0.2">
      <c r="H7" s="278" t="s">
        <v>424</v>
      </c>
      <c r="I7" s="1466">
        <v>42119</v>
      </c>
    </row>
    <row r="9" spans="2:9" ht="18" x14ac:dyDescent="0.25">
      <c r="B9" s="1746" t="s">
        <v>285</v>
      </c>
      <c r="C9" s="1746"/>
      <c r="D9" s="1746"/>
      <c r="E9" s="1746"/>
      <c r="F9" s="1746"/>
      <c r="G9" s="1746"/>
      <c r="H9" s="1746"/>
      <c r="I9" s="1746"/>
    </row>
    <row r="10" spans="2:9" ht="18" x14ac:dyDescent="0.25">
      <c r="B10" s="1746" t="s">
        <v>242</v>
      </c>
      <c r="C10" s="1746"/>
      <c r="D10" s="1746"/>
      <c r="E10" s="1746"/>
      <c r="F10" s="1746"/>
      <c r="G10" s="1746"/>
      <c r="H10" s="1746"/>
      <c r="I10" s="1746"/>
    </row>
    <row r="11" spans="2:9" ht="13.5" thickBot="1" x14ac:dyDescent="0.25"/>
    <row r="12" spans="2:9" ht="51" x14ac:dyDescent="0.2">
      <c r="B12" s="525" t="s">
        <v>40</v>
      </c>
      <c r="C12" s="526" t="s">
        <v>429</v>
      </c>
      <c r="D12" s="139" t="s">
        <v>41</v>
      </c>
      <c r="E12" s="139" t="s">
        <v>42</v>
      </c>
      <c r="F12" s="139" t="s">
        <v>326</v>
      </c>
      <c r="G12" s="139" t="s">
        <v>43</v>
      </c>
      <c r="H12" s="139" t="s">
        <v>44</v>
      </c>
      <c r="I12" s="367" t="s">
        <v>45</v>
      </c>
    </row>
    <row r="13" spans="2:9" x14ac:dyDescent="0.2">
      <c r="B13" s="152"/>
      <c r="C13" s="146"/>
      <c r="D13" s="158" t="s">
        <v>46</v>
      </c>
      <c r="E13" s="158" t="s">
        <v>47</v>
      </c>
      <c r="F13" s="158" t="s">
        <v>327</v>
      </c>
      <c r="G13" s="158" t="s">
        <v>156</v>
      </c>
      <c r="H13" s="158" t="s">
        <v>49</v>
      </c>
      <c r="I13" s="159" t="s">
        <v>328</v>
      </c>
    </row>
    <row r="14" spans="2:9" x14ac:dyDescent="0.2">
      <c r="B14" s="31">
        <v>2006</v>
      </c>
      <c r="C14" s="3"/>
      <c r="D14" s="204"/>
      <c r="E14" s="204"/>
      <c r="F14" s="204"/>
      <c r="G14" s="8">
        <f t="shared" ref="G14:G22" si="0">D14-E14-F14</f>
        <v>0</v>
      </c>
      <c r="H14" s="204"/>
      <c r="I14" s="28">
        <f t="shared" ref="I14:I22" si="1">G14-H14</f>
        <v>0</v>
      </c>
    </row>
    <row r="15" spans="2:9" x14ac:dyDescent="0.2">
      <c r="B15" s="31">
        <v>2007</v>
      </c>
      <c r="C15" s="3"/>
      <c r="D15" s="204"/>
      <c r="E15" s="204"/>
      <c r="F15" s="204"/>
      <c r="G15" s="8">
        <f t="shared" si="0"/>
        <v>0</v>
      </c>
      <c r="H15" s="204"/>
      <c r="I15" s="28">
        <f t="shared" si="1"/>
        <v>0</v>
      </c>
    </row>
    <row r="16" spans="2:9" x14ac:dyDescent="0.2">
      <c r="B16" s="31">
        <v>2008</v>
      </c>
      <c r="C16" s="3"/>
      <c r="D16" s="204"/>
      <c r="E16" s="204"/>
      <c r="F16" s="204"/>
      <c r="G16" s="8">
        <f t="shared" si="0"/>
        <v>0</v>
      </c>
      <c r="H16" s="204"/>
      <c r="I16" s="28">
        <f t="shared" si="1"/>
        <v>0</v>
      </c>
    </row>
    <row r="17" spans="2:10" x14ac:dyDescent="0.2">
      <c r="B17" s="31">
        <v>2009</v>
      </c>
      <c r="C17" s="3"/>
      <c r="D17" s="204"/>
      <c r="E17" s="204"/>
      <c r="F17" s="204"/>
      <c r="G17" s="8">
        <f t="shared" si="0"/>
        <v>0</v>
      </c>
      <c r="H17" s="204"/>
      <c r="I17" s="28">
        <f t="shared" si="1"/>
        <v>0</v>
      </c>
    </row>
    <row r="18" spans="2:10" x14ac:dyDescent="0.2">
      <c r="B18" s="31">
        <v>2010</v>
      </c>
      <c r="C18" s="3"/>
      <c r="D18" s="204">
        <v>2272023.44</v>
      </c>
      <c r="E18" s="204">
        <v>1426919.38</v>
      </c>
      <c r="F18" s="204">
        <v>205902.20426336199</v>
      </c>
      <c r="G18" s="8">
        <f t="shared" si="0"/>
        <v>639201.85573663807</v>
      </c>
      <c r="H18" s="204"/>
      <c r="I18" s="28">
        <f t="shared" si="1"/>
        <v>639201.85573663807</v>
      </c>
    </row>
    <row r="19" spans="2:10" x14ac:dyDescent="0.2">
      <c r="B19" s="31">
        <v>2011</v>
      </c>
      <c r="C19" s="3"/>
      <c r="D19" s="204">
        <v>2278507.2400000002</v>
      </c>
      <c r="E19" s="204">
        <v>1495879.88</v>
      </c>
      <c r="F19" s="204">
        <v>195127.09409335701</v>
      </c>
      <c r="G19" s="8">
        <f t="shared" si="0"/>
        <v>587500.26590664336</v>
      </c>
      <c r="H19" s="204"/>
      <c r="I19" s="28">
        <f t="shared" si="1"/>
        <v>587500.26590664336</v>
      </c>
    </row>
    <row r="20" spans="2:10" x14ac:dyDescent="0.2">
      <c r="B20" s="943">
        <v>2012</v>
      </c>
      <c r="C20" s="944"/>
      <c r="D20" s="356">
        <f>+D19</f>
        <v>2278507.2400000002</v>
      </c>
      <c r="E20" s="356">
        <v>1562483.24</v>
      </c>
      <c r="F20" s="356">
        <v>198164.66841586499</v>
      </c>
      <c r="G20" s="8">
        <f t="shared" si="0"/>
        <v>517859.33158413525</v>
      </c>
      <c r="H20" s="356"/>
      <c r="I20" s="28">
        <f t="shared" si="1"/>
        <v>517859.33158413525</v>
      </c>
    </row>
    <row r="21" spans="2:10" x14ac:dyDescent="0.2">
      <c r="B21" s="943">
        <v>2013</v>
      </c>
      <c r="C21" s="944"/>
      <c r="D21" s="356">
        <f>+D20</f>
        <v>2278507.2400000002</v>
      </c>
      <c r="E21" s="356">
        <v>1627934.25</v>
      </c>
      <c r="F21" s="356">
        <v>181894.88841586499</v>
      </c>
      <c r="G21" s="8">
        <f t="shared" si="0"/>
        <v>468678.10158413521</v>
      </c>
      <c r="H21" s="356"/>
      <c r="I21" s="28">
        <f t="shared" si="1"/>
        <v>468678.10158413521</v>
      </c>
      <c r="J21" s="120" t="s">
        <v>591</v>
      </c>
    </row>
    <row r="22" spans="2:10" ht="13.5" thickBot="1" x14ac:dyDescent="0.25">
      <c r="B22" s="32">
        <v>2014</v>
      </c>
      <c r="C22" s="33" t="s">
        <v>428</v>
      </c>
      <c r="D22" s="357">
        <f>+D21</f>
        <v>2278507.2400000002</v>
      </c>
      <c r="E22" s="357">
        <v>1690377.67</v>
      </c>
      <c r="F22" s="357">
        <v>165625.10841586499</v>
      </c>
      <c r="G22" s="29">
        <f t="shared" si="0"/>
        <v>422504.46158413531</v>
      </c>
      <c r="H22" s="357"/>
      <c r="I22" s="160">
        <f t="shared" si="1"/>
        <v>422504.46158413531</v>
      </c>
      <c r="J22" s="120" t="s">
        <v>2041</v>
      </c>
    </row>
    <row r="24" spans="2:10" x14ac:dyDescent="0.2">
      <c r="B24" s="14" t="s">
        <v>15</v>
      </c>
    </row>
    <row r="25" spans="2:10" x14ac:dyDescent="0.2">
      <c r="B25" s="14"/>
    </row>
    <row r="26" spans="2:10" x14ac:dyDescent="0.2">
      <c r="B26" s="27" t="s">
        <v>428</v>
      </c>
      <c r="C26" s="30" t="s">
        <v>1011</v>
      </c>
      <c r="D26" s="30"/>
      <c r="E26" s="30"/>
      <c r="F26" s="30"/>
      <c r="G26" s="30"/>
      <c r="H26" s="30"/>
    </row>
    <row r="28" spans="2:10" x14ac:dyDescent="0.2">
      <c r="B28" s="1749" t="s">
        <v>267</v>
      </c>
      <c r="C28" s="1749"/>
      <c r="D28" s="1749"/>
      <c r="E28" s="1749"/>
      <c r="F28" s="1749"/>
      <c r="G28" s="1749"/>
      <c r="H28" s="1749"/>
      <c r="I28" s="1749"/>
    </row>
    <row r="29" spans="2:10" x14ac:dyDescent="0.2">
      <c r="B29" s="1749"/>
      <c r="C29" s="1749"/>
      <c r="D29" s="1749"/>
      <c r="E29" s="1749"/>
      <c r="F29" s="1749"/>
      <c r="G29" s="1749"/>
      <c r="H29" s="1749"/>
      <c r="I29" s="1749"/>
    </row>
    <row r="30" spans="2:10" x14ac:dyDescent="0.2">
      <c r="B30" s="1749"/>
      <c r="C30" s="1749"/>
      <c r="D30" s="1749"/>
      <c r="E30" s="1749"/>
      <c r="F30" s="1749"/>
      <c r="G30" s="1749"/>
      <c r="H30" s="1749"/>
      <c r="I30" s="1749"/>
    </row>
    <row r="31" spans="2:10" x14ac:dyDescent="0.2">
      <c r="B31" s="1749"/>
      <c r="C31" s="1749"/>
      <c r="D31" s="1749"/>
      <c r="E31" s="1749"/>
      <c r="F31" s="1749"/>
      <c r="G31" s="1749"/>
      <c r="H31" s="1749"/>
      <c r="I31" s="1749"/>
    </row>
    <row r="33" spans="2:9" x14ac:dyDescent="0.2">
      <c r="B33" s="2211" t="s">
        <v>1041</v>
      </c>
      <c r="C33" s="2212"/>
      <c r="D33" s="2212"/>
      <c r="E33" s="2212"/>
      <c r="F33" s="2212"/>
      <c r="G33" s="2212"/>
      <c r="H33" s="2212"/>
      <c r="I33" s="2212"/>
    </row>
    <row r="34" spans="2:9" x14ac:dyDescent="0.2">
      <c r="B34" s="2212"/>
      <c r="C34" s="2212"/>
      <c r="D34" s="2212"/>
      <c r="E34" s="2212"/>
      <c r="F34" s="2212"/>
      <c r="G34" s="2212"/>
      <c r="H34" s="2212"/>
      <c r="I34" s="2212"/>
    </row>
    <row r="36" spans="2:9" x14ac:dyDescent="0.2">
      <c r="B36" s="60">
        <v>1</v>
      </c>
      <c r="C36" s="2083" t="s">
        <v>268</v>
      </c>
      <c r="D36" s="2083"/>
      <c r="E36" s="2083"/>
      <c r="F36" s="2083"/>
      <c r="G36" s="2083"/>
      <c r="H36" s="2083"/>
      <c r="I36" s="2083"/>
    </row>
    <row r="37" spans="2:9" x14ac:dyDescent="0.2">
      <c r="C37" s="2083"/>
      <c r="D37" s="2083"/>
      <c r="E37" s="2083"/>
      <c r="F37" s="2083"/>
      <c r="G37" s="2083"/>
      <c r="H37" s="2083"/>
      <c r="I37" s="2083"/>
    </row>
    <row r="39" spans="2:9" ht="12.75" customHeight="1" x14ac:dyDescent="0.2">
      <c r="B39" s="60">
        <v>2</v>
      </c>
      <c r="C39" s="2208" t="s">
        <v>329</v>
      </c>
      <c r="D39" s="2208"/>
      <c r="E39" s="2208"/>
      <c r="F39" s="2208"/>
      <c r="G39" s="2208"/>
      <c r="H39" s="2208"/>
      <c r="I39" s="2208"/>
    </row>
    <row r="40" spans="2:9" x14ac:dyDescent="0.2">
      <c r="C40" s="2208"/>
      <c r="D40" s="2208"/>
      <c r="E40" s="2208"/>
      <c r="F40" s="2208"/>
      <c r="G40" s="2208"/>
      <c r="H40" s="2208"/>
      <c r="I40" s="2208"/>
    </row>
    <row r="41" spans="2:9" x14ac:dyDescent="0.2">
      <c r="C41" s="2208"/>
      <c r="D41" s="2208"/>
      <c r="E41" s="2208"/>
      <c r="F41" s="2208"/>
      <c r="G41" s="2208"/>
      <c r="H41" s="2208"/>
      <c r="I41" s="2208"/>
    </row>
    <row r="43" spans="2:9" x14ac:dyDescent="0.2">
      <c r="B43" s="60">
        <v>3</v>
      </c>
      <c r="C43" s="2083" t="s">
        <v>269</v>
      </c>
      <c r="D43" s="2083"/>
      <c r="E43" s="2083"/>
      <c r="F43" s="2083"/>
      <c r="G43" s="2083"/>
      <c r="H43" s="2083"/>
      <c r="I43" s="2083"/>
    </row>
    <row r="44" spans="2:9" x14ac:dyDescent="0.2">
      <c r="C44" s="2083"/>
      <c r="D44" s="2083"/>
      <c r="E44" s="2083"/>
      <c r="F44" s="2083"/>
      <c r="G44" s="2083"/>
      <c r="H44" s="2083"/>
      <c r="I44" s="2083"/>
    </row>
    <row r="45" spans="2:9" x14ac:dyDescent="0.2">
      <c r="C45" s="2083"/>
      <c r="D45" s="2083"/>
      <c r="E45" s="2083"/>
      <c r="F45" s="2083"/>
      <c r="G45" s="2083"/>
      <c r="H45" s="2083"/>
      <c r="I45" s="2083"/>
    </row>
    <row r="46" spans="2:9" x14ac:dyDescent="0.2">
      <c r="C46" s="2083"/>
      <c r="D46" s="2083"/>
      <c r="E46" s="2083"/>
      <c r="F46" s="2083"/>
      <c r="G46" s="2083"/>
      <c r="H46" s="2083"/>
      <c r="I46" s="2083"/>
    </row>
    <row r="48" spans="2:9" x14ac:dyDescent="0.2">
      <c r="C48" s="2083" t="s">
        <v>134</v>
      </c>
      <c r="D48" s="2083"/>
      <c r="E48" s="2083"/>
      <c r="F48" s="2083"/>
      <c r="G48" s="2083"/>
      <c r="H48" s="2083"/>
      <c r="I48" s="2083"/>
    </row>
    <row r="49" spans="3:9" x14ac:dyDescent="0.2">
      <c r="C49" s="2083"/>
      <c r="D49" s="2083"/>
      <c r="E49" s="2083"/>
      <c r="F49" s="2083"/>
      <c r="G49" s="2083"/>
      <c r="H49" s="2083"/>
      <c r="I49" s="2083"/>
    </row>
    <row r="50" spans="3:9" x14ac:dyDescent="0.2">
      <c r="C50" s="2083"/>
      <c r="D50" s="2083"/>
      <c r="E50" s="2083"/>
      <c r="F50" s="2083"/>
      <c r="G50" s="2083"/>
      <c r="H50" s="2083"/>
      <c r="I50" s="2083"/>
    </row>
    <row r="51" spans="3:9" x14ac:dyDescent="0.2">
      <c r="C51" s="2083"/>
      <c r="D51" s="2083"/>
      <c r="E51" s="2083"/>
      <c r="F51" s="2083"/>
      <c r="G51" s="2083"/>
      <c r="H51" s="2083"/>
      <c r="I51" s="2083"/>
    </row>
    <row r="53" spans="3:9" x14ac:dyDescent="0.2">
      <c r="C53" t="s">
        <v>264</v>
      </c>
      <c r="D53" s="2083" t="s">
        <v>272</v>
      </c>
      <c r="E53" s="2083"/>
      <c r="F53" s="2083"/>
      <c r="G53" s="2083"/>
      <c r="H53" s="2083"/>
      <c r="I53" s="2083"/>
    </row>
    <row r="54" spans="3:9" x14ac:dyDescent="0.2">
      <c r="D54" s="2083"/>
      <c r="E54" s="2083"/>
      <c r="F54" s="2083"/>
      <c r="G54" s="2083"/>
      <c r="H54" s="2083"/>
      <c r="I54" s="2083"/>
    </row>
    <row r="56" spans="3:9" x14ac:dyDescent="0.2">
      <c r="C56" t="s">
        <v>265</v>
      </c>
      <c r="D56" s="1749" t="s">
        <v>273</v>
      </c>
      <c r="E56" s="1749"/>
      <c r="F56" s="1749"/>
      <c r="G56" s="1749"/>
      <c r="H56" s="1749"/>
      <c r="I56" s="1749"/>
    </row>
    <row r="57" spans="3:9" x14ac:dyDescent="0.2">
      <c r="D57" s="1749"/>
      <c r="E57" s="1749"/>
      <c r="F57" s="1749"/>
      <c r="G57" s="1749"/>
      <c r="H57" s="1749"/>
      <c r="I57" s="1749"/>
    </row>
    <row r="58" spans="3:9" x14ac:dyDescent="0.2">
      <c r="D58" s="1749"/>
      <c r="E58" s="1749"/>
      <c r="F58" s="1749"/>
      <c r="G58" s="1749"/>
      <c r="H58" s="1749"/>
      <c r="I58" s="1749"/>
    </row>
    <row r="59" spans="3:9" x14ac:dyDescent="0.2">
      <c r="D59" s="1749"/>
      <c r="E59" s="1749"/>
      <c r="F59" s="1749"/>
      <c r="G59" s="1749"/>
      <c r="H59" s="1749"/>
      <c r="I59" s="1749"/>
    </row>
    <row r="61" spans="3:9" x14ac:dyDescent="0.2">
      <c r="C61" t="s">
        <v>266</v>
      </c>
      <c r="D61" s="1749" t="s">
        <v>331</v>
      </c>
      <c r="E61" s="1749"/>
      <c r="F61" s="1749"/>
      <c r="G61" s="1749"/>
      <c r="H61" s="1749"/>
      <c r="I61" s="1749"/>
    </row>
    <row r="62" spans="3:9" x14ac:dyDescent="0.2">
      <c r="D62" s="1749"/>
      <c r="E62" s="1749"/>
      <c r="F62" s="1749"/>
      <c r="G62" s="1749"/>
      <c r="H62" s="1749"/>
      <c r="I62" s="1749"/>
    </row>
    <row r="63" spans="3:9" x14ac:dyDescent="0.2">
      <c r="D63" s="1749"/>
      <c r="E63" s="1749"/>
      <c r="F63" s="1749"/>
      <c r="G63" s="1749"/>
      <c r="H63" s="1749"/>
      <c r="I63" s="1749"/>
    </row>
    <row r="65" spans="2:9" x14ac:dyDescent="0.2">
      <c r="B65" s="2211" t="s">
        <v>1040</v>
      </c>
      <c r="C65" s="2212"/>
      <c r="D65" s="2212"/>
      <c r="E65" s="2212"/>
      <c r="F65" s="2212"/>
      <c r="G65" s="2212"/>
      <c r="H65" s="2212"/>
      <c r="I65" s="2212"/>
    </row>
    <row r="66" spans="2:9" x14ac:dyDescent="0.2">
      <c r="B66" s="2212"/>
      <c r="C66" s="2212"/>
      <c r="D66" s="2212"/>
      <c r="E66" s="2212"/>
      <c r="F66" s="2212"/>
      <c r="G66" s="2212"/>
      <c r="H66" s="2212"/>
      <c r="I66" s="2212"/>
    </row>
    <row r="68" spans="2:9" x14ac:dyDescent="0.2">
      <c r="B68" s="60">
        <v>1</v>
      </c>
      <c r="C68" s="2083" t="s">
        <v>268</v>
      </c>
      <c r="D68" s="2083"/>
      <c r="E68" s="2083"/>
      <c r="F68" s="2083"/>
      <c r="G68" s="2083"/>
      <c r="H68" s="2083"/>
      <c r="I68" s="2083"/>
    </row>
    <row r="69" spans="2:9" x14ac:dyDescent="0.2">
      <c r="B69" s="60"/>
      <c r="C69" s="2083"/>
      <c r="D69" s="2083"/>
      <c r="E69" s="2083"/>
      <c r="F69" s="2083"/>
      <c r="G69" s="2083"/>
      <c r="H69" s="2083"/>
      <c r="I69" s="2083"/>
    </row>
    <row r="70" spans="2:9" x14ac:dyDescent="0.2">
      <c r="B70" s="60"/>
    </row>
    <row r="71" spans="2:9" ht="12.75" customHeight="1" x14ac:dyDescent="0.2">
      <c r="B71" s="60">
        <v>2</v>
      </c>
      <c r="C71" s="2091" t="s">
        <v>330</v>
      </c>
      <c r="D71" s="2091"/>
      <c r="E71" s="2091"/>
      <c r="F71" s="2091"/>
      <c r="G71" s="2091"/>
      <c r="H71" s="2091"/>
      <c r="I71" s="2091"/>
    </row>
    <row r="72" spans="2:9" x14ac:dyDescent="0.2">
      <c r="B72" s="60"/>
      <c r="C72" s="2091"/>
      <c r="D72" s="2091"/>
      <c r="E72" s="2091"/>
      <c r="F72" s="2091"/>
      <c r="G72" s="2091"/>
      <c r="H72" s="2091"/>
      <c r="I72" s="2091"/>
    </row>
    <row r="73" spans="2:9" x14ac:dyDescent="0.2">
      <c r="B73" s="60"/>
      <c r="C73" s="2091"/>
      <c r="D73" s="2091"/>
      <c r="E73" s="2091"/>
      <c r="F73" s="2091"/>
      <c r="G73" s="2091"/>
      <c r="H73" s="2091"/>
      <c r="I73" s="2091"/>
    </row>
    <row r="74" spans="2:9" x14ac:dyDescent="0.2">
      <c r="B74" s="60"/>
      <c r="C74" s="121"/>
      <c r="D74" s="121"/>
      <c r="E74" s="121"/>
      <c r="F74" s="121"/>
      <c r="G74" s="121"/>
      <c r="H74" s="121"/>
      <c r="I74" s="121"/>
    </row>
    <row r="75" spans="2:9" x14ac:dyDescent="0.2">
      <c r="B75" s="60">
        <v>3</v>
      </c>
      <c r="C75" s="2083" t="s">
        <v>135</v>
      </c>
      <c r="D75" s="2083"/>
      <c r="E75" s="2083"/>
      <c r="F75" s="2083"/>
      <c r="G75" s="2083"/>
      <c r="H75" s="2083"/>
      <c r="I75" s="2083"/>
    </row>
    <row r="76" spans="2:9" x14ac:dyDescent="0.2">
      <c r="B76" s="60"/>
      <c r="C76" s="2083"/>
      <c r="D76" s="2083"/>
      <c r="E76" s="2083"/>
      <c r="F76" s="2083"/>
      <c r="G76" s="2083"/>
      <c r="H76" s="2083"/>
      <c r="I76" s="2083"/>
    </row>
    <row r="77" spans="2:9" x14ac:dyDescent="0.2">
      <c r="B77" s="60"/>
      <c r="C77" s="2083"/>
      <c r="D77" s="2083"/>
      <c r="E77" s="2083"/>
      <c r="F77" s="2083"/>
      <c r="G77" s="2083"/>
      <c r="H77" s="2083"/>
      <c r="I77" s="2083"/>
    </row>
    <row r="78" spans="2:9" x14ac:dyDescent="0.2">
      <c r="B78" s="60"/>
    </row>
    <row r="79" spans="2:9" x14ac:dyDescent="0.2">
      <c r="B79" s="60">
        <v>4</v>
      </c>
      <c r="C79" s="2083" t="s">
        <v>276</v>
      </c>
      <c r="D79" s="2083"/>
      <c r="E79" s="2083"/>
      <c r="F79" s="2083"/>
      <c r="G79" s="2083"/>
      <c r="H79" s="2083"/>
      <c r="I79" s="2083"/>
    </row>
    <row r="80" spans="2:9" x14ac:dyDescent="0.2">
      <c r="B80" s="60"/>
      <c r="C80" s="2083"/>
      <c r="D80" s="2083"/>
      <c r="E80" s="2083"/>
      <c r="F80" s="2083"/>
      <c r="G80" s="2083"/>
      <c r="H80" s="2083"/>
      <c r="I80" s="2083"/>
    </row>
    <row r="81" spans="2:9" x14ac:dyDescent="0.2">
      <c r="B81" s="60"/>
      <c r="C81" s="2083"/>
      <c r="D81" s="2083"/>
      <c r="E81" s="2083"/>
      <c r="F81" s="2083"/>
      <c r="G81" s="2083"/>
      <c r="H81" s="2083"/>
      <c r="I81" s="2083"/>
    </row>
    <row r="82" spans="2:9" x14ac:dyDescent="0.2">
      <c r="B82" s="60"/>
    </row>
    <row r="83" spans="2:9" x14ac:dyDescent="0.2">
      <c r="B83" s="60">
        <v>5</v>
      </c>
      <c r="C83" s="2083" t="s">
        <v>136</v>
      </c>
      <c r="D83" s="2083"/>
      <c r="E83" s="2083"/>
      <c r="F83" s="2083"/>
      <c r="G83" s="2083"/>
      <c r="H83" s="2083"/>
      <c r="I83" s="2083"/>
    </row>
    <row r="84" spans="2:9" x14ac:dyDescent="0.2">
      <c r="B84" s="60"/>
      <c r="C84" s="2083"/>
      <c r="D84" s="2083"/>
      <c r="E84" s="2083"/>
      <c r="F84" s="2083"/>
      <c r="G84" s="2083"/>
      <c r="H84" s="2083"/>
      <c r="I84" s="2083"/>
    </row>
    <row r="85" spans="2:9" x14ac:dyDescent="0.2">
      <c r="B85" s="60"/>
      <c r="C85" s="2083"/>
      <c r="D85" s="2083"/>
      <c r="E85" s="2083"/>
      <c r="F85" s="2083"/>
      <c r="G85" s="2083"/>
      <c r="H85" s="2083"/>
      <c r="I85" s="2083"/>
    </row>
    <row r="86" spans="2:9" x14ac:dyDescent="0.2">
      <c r="B86" s="60"/>
    </row>
    <row r="87" spans="2:9" x14ac:dyDescent="0.2">
      <c r="B87" s="60">
        <v>6</v>
      </c>
      <c r="C87" s="2083" t="s">
        <v>137</v>
      </c>
      <c r="D87" s="2083"/>
      <c r="E87" s="2083"/>
      <c r="F87" s="2083"/>
      <c r="G87" s="2083"/>
      <c r="H87" s="2083"/>
      <c r="I87" s="2083"/>
    </row>
    <row r="88" spans="2:9" x14ac:dyDescent="0.2">
      <c r="B88" s="60"/>
      <c r="C88" s="2083"/>
      <c r="D88" s="2083"/>
      <c r="E88" s="2083"/>
      <c r="F88" s="2083"/>
      <c r="G88" s="2083"/>
      <c r="H88" s="2083"/>
      <c r="I88" s="2083"/>
    </row>
    <row r="89" spans="2:9" ht="25.5" customHeight="1" x14ac:dyDescent="0.2"/>
    <row r="90" spans="2:9" ht="12.75" customHeight="1" x14ac:dyDescent="0.2">
      <c r="B90" s="1753" t="s">
        <v>54</v>
      </c>
      <c r="C90" s="1753"/>
      <c r="D90" s="1753"/>
      <c r="E90" s="1753"/>
      <c r="F90" s="1753"/>
      <c r="G90" s="1753"/>
      <c r="H90" s="1753"/>
      <c r="I90" s="1753"/>
    </row>
    <row r="91" spans="2:9" x14ac:dyDescent="0.2">
      <c r="B91" s="1753"/>
      <c r="C91" s="1753"/>
      <c r="D91" s="1753"/>
      <c r="E91" s="1753"/>
      <c r="F91" s="1753"/>
      <c r="G91" s="1753"/>
      <c r="H91" s="1753"/>
      <c r="I91" s="1753"/>
    </row>
    <row r="92" spans="2:9" x14ac:dyDescent="0.2">
      <c r="B92" s="1753"/>
      <c r="C92" s="1753"/>
      <c r="D92" s="1753"/>
      <c r="E92" s="1753"/>
      <c r="F92" s="1753"/>
      <c r="G92" s="1753"/>
      <c r="H92" s="1753"/>
      <c r="I92" s="1753"/>
    </row>
    <row r="93" spans="2:9" x14ac:dyDescent="0.2">
      <c r="B93" s="1753"/>
      <c r="C93" s="1753"/>
      <c r="D93" s="1753"/>
      <c r="E93" s="1753"/>
      <c r="F93" s="1753"/>
      <c r="G93" s="1753"/>
      <c r="H93" s="1753"/>
      <c r="I93" s="1753"/>
    </row>
  </sheetData>
  <mergeCells count="19">
    <mergeCell ref="B9:I9"/>
    <mergeCell ref="B10:I10"/>
    <mergeCell ref="B28:I31"/>
    <mergeCell ref="B33:I34"/>
    <mergeCell ref="D53:I54"/>
    <mergeCell ref="D61:I63"/>
    <mergeCell ref="B65:I66"/>
    <mergeCell ref="C36:I37"/>
    <mergeCell ref="C39:I41"/>
    <mergeCell ref="C43:I46"/>
    <mergeCell ref="C48:I51"/>
    <mergeCell ref="D56:I59"/>
    <mergeCell ref="B90:I93"/>
    <mergeCell ref="C83:I85"/>
    <mergeCell ref="C87:I88"/>
    <mergeCell ref="C68:I69"/>
    <mergeCell ref="C75:I77"/>
    <mergeCell ref="C79:I81"/>
    <mergeCell ref="C71:I73"/>
  </mergeCells>
  <phoneticPr fontId="11" type="noConversion"/>
  <dataValidations count="1">
    <dataValidation allowBlank="1" showInputMessage="1" showErrorMessage="1" promptTitle="Date Format" prompt="E.g:  &quot;August 1, 2011&quot;" sqref="I7"/>
  </dataValidations>
  <pageMargins left="0.74803149606299213" right="0.74803149606299213" top="0.98425196850393704" bottom="0.98425196850393704" header="0.51181102362204722" footer="0.51181102362204722"/>
  <pageSetup scale="80"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1:V38"/>
  <sheetViews>
    <sheetView showGridLines="0" topLeftCell="H9" zoomScale="115" zoomScaleNormal="115" workbookViewId="0">
      <selection activeCell="R22" sqref="R22"/>
    </sheetView>
  </sheetViews>
  <sheetFormatPr defaultRowHeight="12.75" x14ac:dyDescent="0.2"/>
  <cols>
    <col min="1" max="1" width="3.42578125" customWidth="1"/>
    <col min="2" max="2" width="28.140625" customWidth="1"/>
    <col min="3" max="3" width="12.85546875" bestFit="1" customWidth="1"/>
    <col min="4" max="4" width="11.28515625" bestFit="1" customWidth="1"/>
    <col min="6" max="6" width="10.28515625" bestFit="1" customWidth="1"/>
    <col min="7" max="7" width="10.85546875" customWidth="1"/>
    <col min="8" max="8" width="12.7109375" bestFit="1" customWidth="1"/>
    <col min="9" max="9" width="13.140625" customWidth="1"/>
    <col min="10" max="10" width="11.28515625" bestFit="1" customWidth="1"/>
    <col min="12" max="13" width="11.28515625" bestFit="1" customWidth="1"/>
    <col min="15" max="15" width="11.28515625" bestFit="1" customWidth="1"/>
    <col min="18" max="19" width="11.28515625" bestFit="1" customWidth="1"/>
    <col min="20" max="20" width="12.7109375" bestFit="1" customWidth="1"/>
    <col min="21" max="22" width="11.28515625" bestFit="1" customWidth="1"/>
  </cols>
  <sheetData>
    <row r="1" spans="2:22" x14ac:dyDescent="0.2">
      <c r="T1" s="14" t="s">
        <v>419</v>
      </c>
      <c r="V1" s="208" t="str">
        <f>EBNUMBER</f>
        <v>EB-2014-0113</v>
      </c>
    </row>
    <row r="2" spans="2:22" x14ac:dyDescent="0.2">
      <c r="T2" s="14" t="s">
        <v>420</v>
      </c>
      <c r="V2" s="209">
        <v>2</v>
      </c>
    </row>
    <row r="3" spans="2:22" x14ac:dyDescent="0.2">
      <c r="T3" s="14" t="s">
        <v>421</v>
      </c>
      <c r="V3" s="209">
        <v>2</v>
      </c>
    </row>
    <row r="4" spans="2:22" x14ac:dyDescent="0.2">
      <c r="T4" s="14" t="s">
        <v>422</v>
      </c>
      <c r="V4" s="209">
        <v>2</v>
      </c>
    </row>
    <row r="5" spans="2:22" x14ac:dyDescent="0.2">
      <c r="T5" s="14" t="s">
        <v>423</v>
      </c>
      <c r="V5" s="210"/>
    </row>
    <row r="6" spans="2:22" x14ac:dyDescent="0.2">
      <c r="T6" s="14"/>
      <c r="V6" s="208"/>
    </row>
    <row r="7" spans="2:22" x14ac:dyDescent="0.2">
      <c r="T7" s="14" t="s">
        <v>424</v>
      </c>
      <c r="V7" s="1466">
        <v>42119</v>
      </c>
    </row>
    <row r="9" spans="2:22" ht="18" x14ac:dyDescent="0.25">
      <c r="B9" s="1751" t="s">
        <v>1212</v>
      </c>
      <c r="C9" s="1751"/>
      <c r="D9" s="1751"/>
      <c r="E9" s="1751"/>
      <c r="F9" s="1751"/>
      <c r="G9" s="1751"/>
      <c r="H9" s="1751"/>
      <c r="I9" s="1751"/>
      <c r="J9" s="203"/>
    </row>
    <row r="10" spans="2:22" ht="36.75" customHeight="1" x14ac:dyDescent="0.25">
      <c r="B10" s="1757" t="s">
        <v>1213</v>
      </c>
      <c r="C10" s="1747"/>
      <c r="D10" s="1747"/>
      <c r="E10" s="1747"/>
      <c r="F10" s="1747"/>
      <c r="G10" s="1747"/>
      <c r="H10" s="1747"/>
      <c r="I10" s="1747"/>
      <c r="J10" s="203"/>
    </row>
    <row r="12" spans="2:22" ht="23.25" customHeight="1" thickBot="1" x14ac:dyDescent="0.25">
      <c r="B12" s="1136" t="s">
        <v>1196</v>
      </c>
      <c r="C12" s="1114">
        <v>2015</v>
      </c>
    </row>
    <row r="13" spans="2:22" s="475" customFormat="1" ht="14.25" thickTop="1" thickBot="1" x14ac:dyDescent="0.25">
      <c r="B13" s="1770" t="s">
        <v>1197</v>
      </c>
      <c r="C13" s="1773" t="s">
        <v>1214</v>
      </c>
      <c r="D13" s="1774"/>
      <c r="E13" s="1774"/>
      <c r="F13" s="1774"/>
      <c r="G13" s="1774"/>
      <c r="H13" s="1774"/>
      <c r="I13" s="1774"/>
      <c r="J13" s="1774"/>
      <c r="K13" s="1774"/>
      <c r="L13" s="1774"/>
      <c r="M13" s="1774"/>
      <c r="N13" s="1774"/>
      <c r="O13" s="1774"/>
      <c r="P13" s="1774"/>
      <c r="Q13" s="1775"/>
      <c r="R13" s="1773" t="s">
        <v>1215</v>
      </c>
      <c r="S13" s="1774"/>
      <c r="T13" s="1774"/>
      <c r="U13" s="1774"/>
      <c r="V13" s="1778"/>
    </row>
    <row r="14" spans="2:22" s="475" customFormat="1" ht="13.5" thickBot="1" x14ac:dyDescent="0.25">
      <c r="B14" s="1771"/>
      <c r="C14" s="1779">
        <f t="shared" ref="C14" si="0">F14-1</f>
        <v>2010</v>
      </c>
      <c r="D14" s="1780"/>
      <c r="E14" s="1781"/>
      <c r="F14" s="1779">
        <f t="shared" ref="F14" si="1">I14-1</f>
        <v>2011</v>
      </c>
      <c r="G14" s="1780"/>
      <c r="H14" s="1781"/>
      <c r="I14" s="1779">
        <f t="shared" ref="I14" si="2">L14-1</f>
        <v>2012</v>
      </c>
      <c r="J14" s="1780"/>
      <c r="K14" s="1781"/>
      <c r="L14" s="1779">
        <f>O14-1</f>
        <v>2013</v>
      </c>
      <c r="M14" s="1780"/>
      <c r="N14" s="1781"/>
      <c r="O14" s="1779">
        <f>R14-1</f>
        <v>2014</v>
      </c>
      <c r="P14" s="1780"/>
      <c r="Q14" s="1781"/>
      <c r="R14" s="1782">
        <f>C12</f>
        <v>2015</v>
      </c>
      <c r="S14" s="1782">
        <f>R14+1</f>
        <v>2016</v>
      </c>
      <c r="T14" s="1782">
        <f t="shared" ref="T14:V14" si="3">S14+1</f>
        <v>2017</v>
      </c>
      <c r="U14" s="1782">
        <f t="shared" si="3"/>
        <v>2018</v>
      </c>
      <c r="V14" s="1782">
        <f t="shared" si="3"/>
        <v>2019</v>
      </c>
    </row>
    <row r="15" spans="2:22" s="475" customFormat="1" ht="15" thickBot="1" x14ac:dyDescent="0.25">
      <c r="B15" s="1771"/>
      <c r="C15" s="1121" t="s">
        <v>1198</v>
      </c>
      <c r="D15" s="1121" t="s">
        <v>591</v>
      </c>
      <c r="E15" s="1121" t="s">
        <v>1199</v>
      </c>
      <c r="F15" s="1121" t="s">
        <v>1198</v>
      </c>
      <c r="G15" s="1122" t="s">
        <v>591</v>
      </c>
      <c r="H15" s="1121" t="s">
        <v>1199</v>
      </c>
      <c r="I15" s="1122" t="s">
        <v>1198</v>
      </c>
      <c r="J15" s="1122" t="s">
        <v>591</v>
      </c>
      <c r="K15" s="1121" t="s">
        <v>1199</v>
      </c>
      <c r="L15" s="1121" t="s">
        <v>1198</v>
      </c>
      <c r="M15" s="1121" t="s">
        <v>591</v>
      </c>
      <c r="N15" s="1121" t="s">
        <v>1199</v>
      </c>
      <c r="O15" s="1122" t="s">
        <v>1198</v>
      </c>
      <c r="P15" s="1122" t="s">
        <v>1216</v>
      </c>
      <c r="Q15" s="1121" t="s">
        <v>1199</v>
      </c>
      <c r="R15" s="1783"/>
      <c r="S15" s="1783"/>
      <c r="T15" s="1783"/>
      <c r="U15" s="1783"/>
      <c r="V15" s="1783"/>
    </row>
    <row r="16" spans="2:22" s="475" customFormat="1" ht="13.5" thickBot="1" x14ac:dyDescent="0.25">
      <c r="B16" s="1772"/>
      <c r="C16" s="1776" t="s">
        <v>1200</v>
      </c>
      <c r="D16" s="1777"/>
      <c r="E16" s="1123" t="s">
        <v>230</v>
      </c>
      <c r="F16" s="1776" t="s">
        <v>1200</v>
      </c>
      <c r="G16" s="1777"/>
      <c r="H16" s="1123" t="s">
        <v>230</v>
      </c>
      <c r="I16" s="1776" t="s">
        <v>1200</v>
      </c>
      <c r="J16" s="1777"/>
      <c r="K16" s="1123" t="s">
        <v>230</v>
      </c>
      <c r="L16" s="1776" t="s">
        <v>1200</v>
      </c>
      <c r="M16" s="1777"/>
      <c r="N16" s="1123" t="s">
        <v>230</v>
      </c>
      <c r="O16" s="1776" t="s">
        <v>1200</v>
      </c>
      <c r="P16" s="1777"/>
      <c r="Q16" s="1123" t="s">
        <v>230</v>
      </c>
      <c r="R16" s="1754" t="s">
        <v>1200</v>
      </c>
      <c r="S16" s="1755"/>
      <c r="T16" s="1755"/>
      <c r="U16" s="1755"/>
      <c r="V16" s="1756"/>
    </row>
    <row r="17" spans="2:22" s="475" customFormat="1" ht="16.5" thickBot="1" x14ac:dyDescent="0.25">
      <c r="B17" s="1124" t="s">
        <v>1201</v>
      </c>
      <c r="C17" s="1132">
        <v>953818.55</v>
      </c>
      <c r="D17" s="1132">
        <v>693866.63</v>
      </c>
      <c r="E17" s="1125">
        <f>IF(ISERROR((D17-C17)/C17),"--",(D17-C17)/C17)</f>
        <v>-0.27253812583116571</v>
      </c>
      <c r="F17" s="1132">
        <v>759731.1</v>
      </c>
      <c r="G17" s="1133">
        <v>735218.76</v>
      </c>
      <c r="H17" s="1125">
        <f>IF(ISERROR((G17-F17)/F17),"--",(G17-F17)/F17)</f>
        <v>-3.2264494635009633E-2</v>
      </c>
      <c r="I17" s="1133">
        <v>551199.80729808053</v>
      </c>
      <c r="J17" s="1133">
        <v>3943789.6700000004</v>
      </c>
      <c r="K17" s="1125">
        <f>IF(ISERROR((J17-I17)/I17),"--",(J17-I17)/I17)</f>
        <v>6.1549184484153106</v>
      </c>
      <c r="L17" s="1132">
        <v>719000</v>
      </c>
      <c r="M17" s="1132">
        <v>580416.79</v>
      </c>
      <c r="N17" s="1125">
        <f>IF(ISERROR((M17-L17)/L17),"--",(M17-L17)/L17)</f>
        <v>-0.19274438108484002</v>
      </c>
      <c r="O17" s="1133">
        <v>200000</v>
      </c>
      <c r="P17" s="1133"/>
      <c r="Q17" s="1125">
        <f>IF(ISERROR((P17-O17)/O17),"--",(P17-O17)/O17)</f>
        <v>-1</v>
      </c>
      <c r="R17" s="1132">
        <v>200000</v>
      </c>
      <c r="S17" s="1132">
        <v>200000</v>
      </c>
      <c r="T17" s="1132">
        <v>200000</v>
      </c>
      <c r="U17" s="1132">
        <v>200000</v>
      </c>
      <c r="V17" s="1135">
        <v>200000</v>
      </c>
    </row>
    <row r="18" spans="2:22" s="475" customFormat="1" ht="16.5" thickBot="1" x14ac:dyDescent="0.25">
      <c r="B18" s="1124" t="s">
        <v>1202</v>
      </c>
      <c r="C18" s="1132">
        <v>872154.2</v>
      </c>
      <c r="D18" s="1132">
        <v>778472.56</v>
      </c>
      <c r="E18" s="1125">
        <f t="shared" ref="E18:E23" si="4">IF(ISERROR((D18-C18)/C18),"--",(D18-C18)/C18)</f>
        <v>-0.10741407884064527</v>
      </c>
      <c r="F18" s="1132">
        <v>1143466.75</v>
      </c>
      <c r="G18" s="1133">
        <v>1146535</v>
      </c>
      <c r="H18" s="1125">
        <f t="shared" ref="H18:H23" si="5">IF(ISERROR((G18-F18)/F18),"--",(G18-F18)/F18)</f>
        <v>2.6832874676941854E-3</v>
      </c>
      <c r="I18" s="1133">
        <v>978700</v>
      </c>
      <c r="J18" s="1134">
        <v>1077180.75</v>
      </c>
      <c r="K18" s="1125">
        <f t="shared" ref="K18:K23" si="6">IF(ISERROR((J18-I18)/I18),"--",(J18-I18)/I18)</f>
        <v>0.10062404209665883</v>
      </c>
      <c r="L18" s="1132">
        <v>827423</v>
      </c>
      <c r="M18" s="1132">
        <v>1008816.2100000002</v>
      </c>
      <c r="N18" s="1125">
        <f t="shared" ref="N18:N23" si="7">IF(ISERROR((M18-L18)/L18),"--",(M18-L18)/L18)</f>
        <v>0.21922669541455844</v>
      </c>
      <c r="O18" s="1133">
        <v>1600000</v>
      </c>
      <c r="P18" s="1134"/>
      <c r="Q18" s="1125">
        <f t="shared" ref="Q18:Q23" si="8">IF(ISERROR((P18-O18)/O18),"--",(P18-O18)/O18)</f>
        <v>-1</v>
      </c>
      <c r="R18" s="1132">
        <v>1341250</v>
      </c>
      <c r="S18" s="1132">
        <v>1590000</v>
      </c>
      <c r="T18" s="1132">
        <v>1530000</v>
      </c>
      <c r="U18" s="1132">
        <v>1215000</v>
      </c>
      <c r="V18" s="1135">
        <v>1560000</v>
      </c>
    </row>
    <row r="19" spans="2:22" s="475" customFormat="1" ht="16.5" thickBot="1" x14ac:dyDescent="0.25">
      <c r="B19" s="1124" t="s">
        <v>1203</v>
      </c>
      <c r="C19" s="1132">
        <v>0</v>
      </c>
      <c r="D19" s="1132">
        <v>45076.34</v>
      </c>
      <c r="E19" s="1125" t="str">
        <f t="shared" si="4"/>
        <v>--</v>
      </c>
      <c r="F19" s="1132">
        <v>285510.25</v>
      </c>
      <c r="G19" s="1133">
        <v>0</v>
      </c>
      <c r="H19" s="1125">
        <f t="shared" si="5"/>
        <v>-1</v>
      </c>
      <c r="I19" s="1133">
        <v>0</v>
      </c>
      <c r="J19" s="1134">
        <v>0</v>
      </c>
      <c r="K19" s="1125" t="str">
        <f t="shared" si="6"/>
        <v>--</v>
      </c>
      <c r="L19" s="1132">
        <v>0</v>
      </c>
      <c r="M19" s="1132">
        <v>0</v>
      </c>
      <c r="N19" s="1125" t="str">
        <f t="shared" si="7"/>
        <v>--</v>
      </c>
      <c r="O19" s="1133">
        <v>0</v>
      </c>
      <c r="P19" s="1134"/>
      <c r="Q19" s="1125" t="str">
        <f t="shared" si="8"/>
        <v>--</v>
      </c>
      <c r="R19" s="1132">
        <v>208750</v>
      </c>
      <c r="S19" s="1132">
        <v>0</v>
      </c>
      <c r="T19" s="1132">
        <v>0</v>
      </c>
      <c r="U19" s="1132">
        <v>305000</v>
      </c>
      <c r="V19" s="1135">
        <v>0</v>
      </c>
    </row>
    <row r="20" spans="2:22" s="475" customFormat="1" ht="16.5" thickBot="1" x14ac:dyDescent="0.25">
      <c r="B20" s="1124" t="s">
        <v>1204</v>
      </c>
      <c r="C20" s="1132">
        <v>0</v>
      </c>
      <c r="D20" s="1132">
        <v>0</v>
      </c>
      <c r="E20" s="1125" t="str">
        <f t="shared" si="4"/>
        <v>--</v>
      </c>
      <c r="F20" s="1132">
        <v>0</v>
      </c>
      <c r="G20" s="1133">
        <v>0</v>
      </c>
      <c r="H20" s="1125" t="str">
        <f t="shared" si="5"/>
        <v>--</v>
      </c>
      <c r="I20" s="1133">
        <v>743500</v>
      </c>
      <c r="J20" s="1134">
        <v>2381685</v>
      </c>
      <c r="K20" s="1125">
        <f t="shared" si="6"/>
        <v>2.2033422999327503</v>
      </c>
      <c r="L20" s="1132">
        <v>888000</v>
      </c>
      <c r="M20" s="1132">
        <v>538637</v>
      </c>
      <c r="N20" s="1125">
        <f t="shared" si="7"/>
        <v>-0.39342680180180178</v>
      </c>
      <c r="O20" s="1133">
        <v>728050</v>
      </c>
      <c r="P20" s="1134"/>
      <c r="Q20" s="1125">
        <f t="shared" si="8"/>
        <v>-1</v>
      </c>
      <c r="R20" s="1132">
        <v>513000</v>
      </c>
      <c r="S20" s="1132">
        <v>436000</v>
      </c>
      <c r="T20" s="1132">
        <v>458000</v>
      </c>
      <c r="U20" s="1132">
        <v>265000</v>
      </c>
      <c r="V20" s="1135">
        <v>222000</v>
      </c>
    </row>
    <row r="21" spans="2:22" s="475" customFormat="1" ht="16.5" thickBot="1" x14ac:dyDescent="0.25">
      <c r="B21" s="1506" t="s">
        <v>2055</v>
      </c>
      <c r="C21" s="1507">
        <v>-302000</v>
      </c>
      <c r="D21" s="1507">
        <v>-384629</v>
      </c>
      <c r="E21" s="1508">
        <f t="shared" si="4"/>
        <v>0.27360596026490064</v>
      </c>
      <c r="F21" s="1507">
        <v>-251000</v>
      </c>
      <c r="G21" s="1507">
        <v>-266363</v>
      </c>
      <c r="H21" s="1125">
        <f t="shared" si="5"/>
        <v>6.1207171314741037E-2</v>
      </c>
      <c r="I21" s="1507">
        <v>-230500</v>
      </c>
      <c r="J21" s="1507">
        <v>-318521</v>
      </c>
      <c r="K21" s="1125">
        <f t="shared" si="6"/>
        <v>0.38186984815618219</v>
      </c>
      <c r="L21" s="1507">
        <v>-311000</v>
      </c>
      <c r="M21" s="1507">
        <v>-596144</v>
      </c>
      <c r="N21" s="1508">
        <f t="shared" si="7"/>
        <v>0.91686173633440515</v>
      </c>
      <c r="O21" s="1507">
        <v>-100000</v>
      </c>
      <c r="P21" s="1507"/>
      <c r="Q21" s="1508"/>
      <c r="R21" s="1507">
        <v>-100000</v>
      </c>
      <c r="S21" s="1507">
        <f>+R21</f>
        <v>-100000</v>
      </c>
      <c r="T21" s="1507">
        <f>+S21</f>
        <v>-100000</v>
      </c>
      <c r="U21" s="1507">
        <f>+T21</f>
        <v>-100000</v>
      </c>
      <c r="V21" s="1509">
        <f>+U21</f>
        <v>-100000</v>
      </c>
    </row>
    <row r="22" spans="2:22" s="475" customFormat="1" ht="32.25" thickBot="1" x14ac:dyDescent="0.25">
      <c r="B22" s="1126" t="s">
        <v>1205</v>
      </c>
      <c r="C22" s="1127">
        <f>SUM(C17:C21)</f>
        <v>1523972.75</v>
      </c>
      <c r="D22" s="1127">
        <f>SUM(D17:D21)</f>
        <v>1132786.53</v>
      </c>
      <c r="E22" s="1407">
        <f t="shared" si="4"/>
        <v>-0.25668846112898014</v>
      </c>
      <c r="F22" s="1127">
        <f>SUM(F17:F21)</f>
        <v>1937708.1</v>
      </c>
      <c r="G22" s="1127">
        <f>SUM(G17:G21)</f>
        <v>1615390.76</v>
      </c>
      <c r="H22" s="1407">
        <f t="shared" si="5"/>
        <v>-0.16633947084186729</v>
      </c>
      <c r="I22" s="1127">
        <f>SUM(I17:I21)</f>
        <v>2042899.8072980805</v>
      </c>
      <c r="J22" s="1127">
        <f>SUM(J17:J21)</f>
        <v>7084134.4199999999</v>
      </c>
      <c r="K22" s="1407">
        <f t="shared" si="6"/>
        <v>2.4676856861469907</v>
      </c>
      <c r="L22" s="1127">
        <f>SUM(L17:L21)</f>
        <v>2123423</v>
      </c>
      <c r="M22" s="1127">
        <f>SUM(M17:M21)</f>
        <v>1531726</v>
      </c>
      <c r="N22" s="1407">
        <f t="shared" si="7"/>
        <v>-0.27865243995190786</v>
      </c>
      <c r="O22" s="1127">
        <f>SUM(O17:O21)</f>
        <v>2428050</v>
      </c>
      <c r="P22" s="1127">
        <f t="shared" ref="P22" si="9">SUM(P17:P20)</f>
        <v>0</v>
      </c>
      <c r="Q22" s="1407">
        <f t="shared" si="8"/>
        <v>-1</v>
      </c>
      <c r="R22" s="1127">
        <f>SUM(R17:R21)</f>
        <v>2163000</v>
      </c>
      <c r="S22" s="1127">
        <f>SUM(S17:S21)</f>
        <v>2126000</v>
      </c>
      <c r="T22" s="1127">
        <f>SUM(T17:T21)</f>
        <v>2088000</v>
      </c>
      <c r="U22" s="1127">
        <f>SUM(U17:U21)</f>
        <v>1885000</v>
      </c>
      <c r="V22" s="1505">
        <f>SUM(V17:V21)</f>
        <v>1882000</v>
      </c>
    </row>
    <row r="23" spans="2:22" s="475" customFormat="1" ht="17.25" thickTop="1" thickBot="1" x14ac:dyDescent="0.25">
      <c r="B23" s="1128" t="s">
        <v>1206</v>
      </c>
      <c r="C23" s="1129">
        <v>988508</v>
      </c>
      <c r="D23" s="1129">
        <v>1085310</v>
      </c>
      <c r="E23" s="1408">
        <f t="shared" si="4"/>
        <v>9.7927381467828284E-2</v>
      </c>
      <c r="F23" s="1129">
        <v>916682</v>
      </c>
      <c r="G23" s="1130">
        <v>923291</v>
      </c>
      <c r="H23" s="1408">
        <f t="shared" si="5"/>
        <v>7.2096975832404257E-3</v>
      </c>
      <c r="I23" s="1130">
        <v>1371654</v>
      </c>
      <c r="J23" s="1130">
        <v>1311270</v>
      </c>
      <c r="K23" s="1408">
        <f t="shared" si="6"/>
        <v>-4.4022763758207246E-2</v>
      </c>
      <c r="L23" s="1129">
        <v>1305830</v>
      </c>
      <c r="M23" s="1129">
        <v>1224643</v>
      </c>
      <c r="N23" s="1408">
        <f t="shared" si="7"/>
        <v>-6.2172717735080367E-2</v>
      </c>
      <c r="O23" s="1130">
        <v>1259102</v>
      </c>
      <c r="P23" s="1130"/>
      <c r="Q23" s="1408">
        <f t="shared" si="8"/>
        <v>-1</v>
      </c>
      <c r="R23" s="1129">
        <v>1318543</v>
      </c>
      <c r="S23" s="1129">
        <v>1346232.5479819996</v>
      </c>
      <c r="T23" s="1129">
        <v>1374503.431489622</v>
      </c>
      <c r="U23" s="1129">
        <v>1403368.0035509039</v>
      </c>
      <c r="V23" s="1131">
        <f>+U23/T23*U23</f>
        <v>1432838.7316254727</v>
      </c>
    </row>
    <row r="24" spans="2:22" s="120" customFormat="1" ht="16.5" thickTop="1" x14ac:dyDescent="0.2">
      <c r="B24" s="1460"/>
      <c r="C24" s="1461"/>
      <c r="D24" s="1461"/>
      <c r="E24" s="1461"/>
      <c r="F24" s="1461"/>
      <c r="G24" s="1461"/>
      <c r="H24" s="1461"/>
      <c r="I24" s="1461"/>
      <c r="J24" s="1461"/>
      <c r="K24" s="1461"/>
      <c r="L24" s="1461"/>
      <c r="M24" s="1461"/>
      <c r="N24" s="1461"/>
      <c r="O24" s="1461"/>
      <c r="P24" s="1461"/>
      <c r="Q24" s="1461"/>
      <c r="R24" s="1461"/>
      <c r="S24" s="1461"/>
      <c r="T24" s="1461"/>
      <c r="U24" s="1461"/>
      <c r="V24" s="1461"/>
    </row>
    <row r="25" spans="2:22" ht="15" x14ac:dyDescent="0.25">
      <c r="B25" s="1115" t="s">
        <v>1207</v>
      </c>
      <c r="M25" s="1519">
        <f>+M22-M20</f>
        <v>993089</v>
      </c>
      <c r="O25" s="1519">
        <f>+O22-O21</f>
        <v>2528050</v>
      </c>
      <c r="S25" s="1459"/>
      <c r="T25" s="1459"/>
      <c r="U25" s="1459"/>
      <c r="V25" s="1459"/>
    </row>
    <row r="26" spans="2:22" x14ac:dyDescent="0.2">
      <c r="B26" s="120" t="s">
        <v>1217</v>
      </c>
      <c r="M26" s="1519">
        <f>+M22-M21</f>
        <v>2127870</v>
      </c>
      <c r="O26" s="1519">
        <f>+O25-M25</f>
        <v>1534961</v>
      </c>
    </row>
    <row r="27" spans="2:22" x14ac:dyDescent="0.2">
      <c r="B27" s="120" t="s">
        <v>1218</v>
      </c>
    </row>
    <row r="29" spans="2:22" ht="18.75" x14ac:dyDescent="0.3">
      <c r="B29" s="1116" t="s">
        <v>1208</v>
      </c>
      <c r="C29" s="1117"/>
      <c r="D29" s="1117"/>
      <c r="E29" s="1117"/>
      <c r="F29" s="1117"/>
      <c r="G29" s="1117"/>
      <c r="H29" s="1117"/>
      <c r="I29" s="1117"/>
      <c r="J29" s="1117"/>
      <c r="K29" s="1117"/>
      <c r="L29" s="1117"/>
      <c r="M29" s="1117"/>
      <c r="N29" s="1117"/>
      <c r="O29" s="1118"/>
    </row>
    <row r="30" spans="2:22" ht="15" x14ac:dyDescent="0.25">
      <c r="B30" s="1119" t="s">
        <v>1209</v>
      </c>
      <c r="C30" s="1117"/>
      <c r="D30" s="1117"/>
      <c r="E30" s="1117"/>
      <c r="F30" s="1117"/>
      <c r="G30" s="1117"/>
      <c r="H30" s="1117"/>
      <c r="I30" s="1117"/>
      <c r="J30" s="1117"/>
      <c r="K30" s="1117"/>
      <c r="L30" s="1117"/>
      <c r="M30" s="1117"/>
      <c r="N30" s="1117"/>
      <c r="O30" s="1118"/>
    </row>
    <row r="31" spans="2:22" ht="30" customHeight="1" x14ac:dyDescent="0.2">
      <c r="B31" s="1764" t="s">
        <v>2056</v>
      </c>
      <c r="C31" s="1765"/>
      <c r="D31" s="1765"/>
      <c r="E31" s="1765"/>
      <c r="F31" s="1765"/>
      <c r="G31" s="1765"/>
      <c r="H31" s="1765"/>
      <c r="I31" s="1765"/>
      <c r="J31" s="1765"/>
      <c r="K31" s="1765"/>
      <c r="L31" s="1765"/>
      <c r="M31" s="1765"/>
      <c r="N31" s="1765"/>
      <c r="O31" s="1766"/>
    </row>
    <row r="32" spans="2:22" ht="30" customHeight="1" x14ac:dyDescent="0.2">
      <c r="B32" s="1767"/>
      <c r="C32" s="1768"/>
      <c r="D32" s="1768"/>
      <c r="E32" s="1768"/>
      <c r="F32" s="1768"/>
      <c r="G32" s="1768"/>
      <c r="H32" s="1768"/>
      <c r="I32" s="1768"/>
      <c r="J32" s="1768"/>
      <c r="K32" s="1768"/>
      <c r="L32" s="1768"/>
      <c r="M32" s="1768"/>
      <c r="N32" s="1768"/>
      <c r="O32" s="1769"/>
    </row>
    <row r="33" spans="2:15" ht="15" x14ac:dyDescent="0.25">
      <c r="B33" s="1120" t="s">
        <v>1210</v>
      </c>
      <c r="C33" s="2"/>
      <c r="D33" s="2"/>
      <c r="E33" s="2"/>
      <c r="F33" s="2"/>
      <c r="G33" s="2"/>
      <c r="H33" s="2"/>
      <c r="I33" s="2"/>
      <c r="J33" s="2"/>
      <c r="K33" s="2"/>
      <c r="L33" s="2"/>
      <c r="M33" s="2"/>
      <c r="N33" s="2"/>
      <c r="O33" s="15"/>
    </row>
    <row r="34" spans="2:15" ht="30" customHeight="1" x14ac:dyDescent="0.2">
      <c r="B34" s="1762"/>
      <c r="C34" s="1758"/>
      <c r="D34" s="1758"/>
      <c r="E34" s="1758"/>
      <c r="F34" s="1758"/>
      <c r="G34" s="1758"/>
      <c r="H34" s="1758"/>
      <c r="I34" s="1758"/>
      <c r="J34" s="1758"/>
      <c r="K34" s="1758"/>
      <c r="L34" s="1758"/>
      <c r="M34" s="1758"/>
      <c r="N34" s="1758"/>
      <c r="O34" s="1759"/>
    </row>
    <row r="35" spans="2:15" ht="30" customHeight="1" x14ac:dyDescent="0.2">
      <c r="B35" s="1763"/>
      <c r="C35" s="1760"/>
      <c r="D35" s="1760"/>
      <c r="E35" s="1760"/>
      <c r="F35" s="1760"/>
      <c r="G35" s="1760"/>
      <c r="H35" s="1760"/>
      <c r="I35" s="1760"/>
      <c r="J35" s="1760"/>
      <c r="K35" s="1760"/>
      <c r="L35" s="1760"/>
      <c r="M35" s="1760"/>
      <c r="N35" s="1760"/>
      <c r="O35" s="1761"/>
    </row>
    <row r="36" spans="2:15" ht="15" x14ac:dyDescent="0.25">
      <c r="B36" s="1119" t="s">
        <v>1211</v>
      </c>
      <c r="C36" s="1117"/>
      <c r="D36" s="1117"/>
      <c r="E36" s="1117"/>
      <c r="F36" s="1117"/>
      <c r="G36" s="1117"/>
      <c r="H36" s="1117"/>
      <c r="I36" s="1117"/>
      <c r="J36" s="1117"/>
      <c r="K36" s="1117"/>
      <c r="L36" s="1117"/>
      <c r="M36" s="1117"/>
      <c r="N36" s="1117"/>
      <c r="O36" s="1118"/>
    </row>
    <row r="37" spans="2:15" ht="30" customHeight="1" x14ac:dyDescent="0.2">
      <c r="B37" s="1758"/>
      <c r="C37" s="1758"/>
      <c r="D37" s="1758"/>
      <c r="E37" s="1758"/>
      <c r="F37" s="1758"/>
      <c r="G37" s="1758"/>
      <c r="H37" s="1758"/>
      <c r="I37" s="1758"/>
      <c r="J37" s="1758"/>
      <c r="K37" s="1758"/>
      <c r="L37" s="1758"/>
      <c r="M37" s="1758"/>
      <c r="N37" s="1758"/>
      <c r="O37" s="1759"/>
    </row>
    <row r="38" spans="2:15" ht="30" customHeight="1" x14ac:dyDescent="0.2">
      <c r="B38" s="1760"/>
      <c r="C38" s="1760"/>
      <c r="D38" s="1760"/>
      <c r="E38" s="1760"/>
      <c r="F38" s="1760"/>
      <c r="G38" s="1760"/>
      <c r="H38" s="1760"/>
      <c r="I38" s="1760"/>
      <c r="J38" s="1760"/>
      <c r="K38" s="1760"/>
      <c r="L38" s="1760"/>
      <c r="M38" s="1760"/>
      <c r="N38" s="1760"/>
      <c r="O38" s="1761"/>
    </row>
  </sheetData>
  <mergeCells count="24">
    <mergeCell ref="T14:T15"/>
    <mergeCell ref="U14:U15"/>
    <mergeCell ref="V14:V15"/>
    <mergeCell ref="I14:K14"/>
    <mergeCell ref="L14:N14"/>
    <mergeCell ref="O14:Q14"/>
    <mergeCell ref="R14:R15"/>
    <mergeCell ref="S14:S15"/>
    <mergeCell ref="R16:V16"/>
    <mergeCell ref="B9:I9"/>
    <mergeCell ref="B10:I10"/>
    <mergeCell ref="B37:O38"/>
    <mergeCell ref="B34:O35"/>
    <mergeCell ref="B31:O32"/>
    <mergeCell ref="B13:B16"/>
    <mergeCell ref="C13:Q13"/>
    <mergeCell ref="C16:D16"/>
    <mergeCell ref="F16:G16"/>
    <mergeCell ref="I16:J16"/>
    <mergeCell ref="L16:M16"/>
    <mergeCell ref="O16:P16"/>
    <mergeCell ref="R13:V13"/>
    <mergeCell ref="C14:E14"/>
    <mergeCell ref="F14:H14"/>
  </mergeCells>
  <pageMargins left="0.11811023622047245" right="0.11811023622047245" top="0.35433070866141736" bottom="0.19685039370078741" header="0.31496062992125984" footer="0.31496062992125984"/>
  <pageSetup scale="5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L55"/>
  <sheetViews>
    <sheetView showGridLines="0" zoomScaleNormal="100" workbookViewId="0">
      <selection activeCell="A9" sqref="A9:F32"/>
    </sheetView>
  </sheetViews>
  <sheetFormatPr defaultColWidth="9.140625" defaultRowHeight="12.75" x14ac:dyDescent="0.2"/>
  <cols>
    <col min="1" max="1" width="4.5703125" style="216" customWidth="1"/>
    <col min="2" max="2" width="5" style="216" customWidth="1"/>
    <col min="3" max="3" width="62" style="216" customWidth="1"/>
    <col min="4" max="4" width="12.7109375" style="216" bestFit="1" customWidth="1"/>
    <col min="5" max="5" width="1.7109375" style="216" customWidth="1"/>
    <col min="6" max="6" width="16.7109375" style="216" customWidth="1"/>
    <col min="7" max="7" width="13.7109375" style="216" customWidth="1"/>
    <col min="8" max="16384" width="9.140625" style="216"/>
  </cols>
  <sheetData>
    <row r="1" spans="2:12" x14ac:dyDescent="0.2">
      <c r="D1" s="880" t="s">
        <v>419</v>
      </c>
      <c r="F1" s="766" t="str">
        <f>EBNUMBER</f>
        <v>EB-2014-0113</v>
      </c>
      <c r="G1" s="219"/>
    </row>
    <row r="2" spans="2:12" x14ac:dyDescent="0.2">
      <c r="D2" s="880" t="s">
        <v>420</v>
      </c>
      <c r="F2" s="767">
        <v>1</v>
      </c>
      <c r="G2" s="219"/>
    </row>
    <row r="3" spans="2:12" x14ac:dyDescent="0.2">
      <c r="D3" s="880" t="s">
        <v>421</v>
      </c>
      <c r="F3" s="767">
        <v>2</v>
      </c>
      <c r="G3" s="219"/>
    </row>
    <row r="4" spans="2:12" x14ac:dyDescent="0.2">
      <c r="D4" s="880" t="s">
        <v>422</v>
      </c>
      <c r="F4" s="767">
        <v>2</v>
      </c>
      <c r="G4" s="219"/>
    </row>
    <row r="5" spans="2:12" x14ac:dyDescent="0.2">
      <c r="D5" s="880" t="s">
        <v>423</v>
      </c>
      <c r="F5" s="768"/>
      <c r="G5" s="219"/>
    </row>
    <row r="6" spans="2:12" x14ac:dyDescent="0.2">
      <c r="D6" s="880"/>
      <c r="F6" s="766"/>
      <c r="G6" s="219"/>
    </row>
    <row r="7" spans="2:12" x14ac:dyDescent="0.2">
      <c r="D7" s="880" t="s">
        <v>424</v>
      </c>
      <c r="F7" s="1467">
        <v>42119</v>
      </c>
      <c r="G7" s="219"/>
    </row>
    <row r="9" spans="2:12" ht="18" x14ac:dyDescent="0.25">
      <c r="B9" s="1856" t="s">
        <v>867</v>
      </c>
      <c r="C9" s="1856"/>
      <c r="D9" s="1856"/>
      <c r="E9" s="1856"/>
      <c r="F9" s="1856"/>
    </row>
    <row r="10" spans="2:12" ht="18" customHeight="1" x14ac:dyDescent="0.25">
      <c r="B10" s="2221" t="s">
        <v>868</v>
      </c>
      <c r="C10" s="2221"/>
      <c r="D10" s="2221"/>
      <c r="E10" s="2221"/>
      <c r="F10" s="2221"/>
      <c r="G10" s="885"/>
      <c r="H10" s="885"/>
      <c r="I10" s="885"/>
      <c r="J10" s="885"/>
      <c r="K10" s="885"/>
      <c r="L10" s="885"/>
    </row>
    <row r="12" spans="2:12" ht="27" customHeight="1" x14ac:dyDescent="0.2">
      <c r="B12" s="1947" t="s">
        <v>138</v>
      </c>
      <c r="C12" s="1947"/>
      <c r="D12" s="1947"/>
      <c r="E12" s="1947"/>
      <c r="F12" s="1947"/>
    </row>
    <row r="13" spans="2:12" ht="13.5" thickBot="1" x14ac:dyDescent="0.25"/>
    <row r="14" spans="2:12" x14ac:dyDescent="0.2">
      <c r="B14" s="1896" t="s">
        <v>243</v>
      </c>
      <c r="C14" s="1897"/>
      <c r="D14" s="1897"/>
      <c r="E14" s="243"/>
      <c r="F14" s="244" t="s">
        <v>244</v>
      </c>
    </row>
    <row r="15" spans="2:12" x14ac:dyDescent="0.2">
      <c r="B15" s="1899"/>
      <c r="C15" s="1900"/>
      <c r="D15" s="1900"/>
      <c r="E15" s="245"/>
      <c r="F15" s="246" t="s">
        <v>245</v>
      </c>
      <c r="H15" s="216" t="s">
        <v>2043</v>
      </c>
    </row>
    <row r="16" spans="2:12" x14ac:dyDescent="0.2">
      <c r="B16" s="1902"/>
      <c r="C16" s="1903"/>
      <c r="D16" s="1903"/>
      <c r="E16" s="245"/>
      <c r="F16" s="258">
        <v>2015</v>
      </c>
    </row>
    <row r="17" spans="2:6" ht="27" customHeight="1" x14ac:dyDescent="0.2">
      <c r="B17" s="1914" t="s">
        <v>246</v>
      </c>
      <c r="C17" s="1915"/>
      <c r="D17" s="2218"/>
      <c r="E17" s="248"/>
      <c r="F17" s="344"/>
    </row>
    <row r="18" spans="2:6" ht="39.75" customHeight="1" x14ac:dyDescent="0.2">
      <c r="B18" s="1923" t="s">
        <v>139</v>
      </c>
      <c r="C18" s="1924"/>
      <c r="D18" s="2217"/>
      <c r="E18" s="248"/>
      <c r="F18" s="344"/>
    </row>
    <row r="19" spans="2:6" ht="13.5" customHeight="1" x14ac:dyDescent="0.2">
      <c r="B19" s="1914" t="s">
        <v>247</v>
      </c>
      <c r="C19" s="1915"/>
      <c r="D19" s="2218"/>
      <c r="E19" s="248"/>
      <c r="F19" s="344"/>
    </row>
    <row r="20" spans="2:6" ht="13.5" customHeight="1" x14ac:dyDescent="0.2">
      <c r="B20" s="1926" t="s">
        <v>248</v>
      </c>
      <c r="C20" s="1927"/>
      <c r="D20" s="2219"/>
      <c r="E20" s="248"/>
      <c r="F20" s="344"/>
    </row>
    <row r="21" spans="2:6" ht="13.5" customHeight="1" x14ac:dyDescent="0.2">
      <c r="B21" s="1923" t="s">
        <v>249</v>
      </c>
      <c r="C21" s="1924"/>
      <c r="D21" s="2217"/>
      <c r="E21" s="248"/>
      <c r="F21" s="344"/>
    </row>
    <row r="22" spans="2:6" ht="13.5" customHeight="1" x14ac:dyDescent="0.2">
      <c r="B22" s="1914" t="s">
        <v>250</v>
      </c>
      <c r="C22" s="1915"/>
      <c r="D22" s="2218"/>
      <c r="E22" s="248"/>
      <c r="F22" s="344"/>
    </row>
    <row r="23" spans="2:6" ht="13.5" customHeight="1" x14ac:dyDescent="0.2">
      <c r="B23" s="1926" t="s">
        <v>251</v>
      </c>
      <c r="C23" s="1927"/>
      <c r="D23" s="2219"/>
      <c r="E23" s="248"/>
      <c r="F23" s="344"/>
    </row>
    <row r="24" spans="2:6" ht="13.5" customHeight="1" x14ac:dyDescent="0.2">
      <c r="B24" s="1926" t="s">
        <v>252</v>
      </c>
      <c r="C24" s="1927"/>
      <c r="D24" s="2219"/>
      <c r="E24" s="248"/>
      <c r="F24" s="344"/>
    </row>
    <row r="25" spans="2:6" ht="13.5" customHeight="1" x14ac:dyDescent="0.2">
      <c r="B25" s="1923" t="s">
        <v>253</v>
      </c>
      <c r="C25" s="1924"/>
      <c r="D25" s="2217"/>
      <c r="E25" s="248"/>
      <c r="F25" s="344"/>
    </row>
    <row r="26" spans="2:6" ht="13.5" customHeight="1" x14ac:dyDescent="0.2">
      <c r="B26" s="1914" t="s">
        <v>254</v>
      </c>
      <c r="C26" s="1915"/>
      <c r="D26" s="2218"/>
      <c r="E26" s="248"/>
      <c r="F26" s="344"/>
    </row>
    <row r="27" spans="2:6" ht="13.5" customHeight="1" x14ac:dyDescent="0.2">
      <c r="B27" s="1923" t="s">
        <v>255</v>
      </c>
      <c r="C27" s="1924"/>
      <c r="D27" s="2217"/>
      <c r="E27" s="248"/>
      <c r="F27" s="344"/>
    </row>
    <row r="28" spans="2:6" ht="13.5" customHeight="1" x14ac:dyDescent="0.2">
      <c r="B28" s="2220" t="s">
        <v>704</v>
      </c>
      <c r="C28" s="1924"/>
      <c r="D28" s="2217"/>
      <c r="E28" s="248"/>
      <c r="F28" s="344"/>
    </row>
    <row r="29" spans="2:6" ht="13.5" customHeight="1" x14ac:dyDescent="0.2">
      <c r="B29" s="2220" t="s">
        <v>869</v>
      </c>
      <c r="C29" s="1924"/>
      <c r="D29" s="2217"/>
      <c r="E29" s="248"/>
      <c r="F29" s="344"/>
    </row>
    <row r="30" spans="2:6" ht="27" customHeight="1" x14ac:dyDescent="0.2">
      <c r="B30" s="1923" t="s">
        <v>256</v>
      </c>
      <c r="C30" s="1924"/>
      <c r="D30" s="2217"/>
      <c r="E30" s="248"/>
      <c r="F30" s="344"/>
    </row>
    <row r="31" spans="2:6" ht="13.5" thickBot="1" x14ac:dyDescent="0.25">
      <c r="B31" s="1949" t="s">
        <v>257</v>
      </c>
      <c r="C31" s="1950"/>
      <c r="D31" s="2215"/>
      <c r="E31" s="248"/>
      <c r="F31" s="465"/>
    </row>
    <row r="32" spans="2:6" ht="14.25" thickTop="1" thickBot="1" x14ac:dyDescent="0.25">
      <c r="B32" s="1952" t="s">
        <v>413</v>
      </c>
      <c r="C32" s="1953"/>
      <c r="D32" s="2216"/>
      <c r="E32" s="250"/>
      <c r="F32" s="66">
        <f>SUM(F17:F31)</f>
        <v>0</v>
      </c>
    </row>
    <row r="34" spans="2:8" x14ac:dyDescent="0.2">
      <c r="B34" s="217" t="s">
        <v>15</v>
      </c>
      <c r="C34" s="217"/>
      <c r="D34" s="217"/>
      <c r="E34" s="236"/>
      <c r="F34" s="236"/>
    </row>
    <row r="35" spans="2:8" x14ac:dyDescent="0.2">
      <c r="B35" s="236"/>
      <c r="C35" s="236"/>
      <c r="D35" s="236"/>
      <c r="E35" s="236"/>
      <c r="F35" s="236"/>
    </row>
    <row r="36" spans="2:8" ht="13.5" customHeight="1" x14ac:dyDescent="0.2">
      <c r="B36" s="2213">
        <v>1</v>
      </c>
      <c r="C36" s="1958" t="s">
        <v>258</v>
      </c>
      <c r="D36" s="1959"/>
      <c r="E36" s="1959"/>
      <c r="F36" s="1959"/>
      <c r="G36" s="799"/>
    </row>
    <row r="37" spans="2:8" x14ac:dyDescent="0.2">
      <c r="B37" s="2213"/>
      <c r="C37" s="1959"/>
      <c r="D37" s="1959"/>
      <c r="E37" s="1959"/>
      <c r="F37" s="1959"/>
      <c r="G37" s="687"/>
    </row>
    <row r="38" spans="2:8" x14ac:dyDescent="0.2">
      <c r="B38" s="285"/>
      <c r="C38" s="236"/>
      <c r="D38" s="236"/>
      <c r="E38" s="236"/>
      <c r="F38" s="236"/>
    </row>
    <row r="39" spans="2:8" x14ac:dyDescent="0.2">
      <c r="B39" s="2213">
        <v>2</v>
      </c>
      <c r="C39" s="1958" t="s">
        <v>259</v>
      </c>
      <c r="D39" s="1958"/>
      <c r="E39" s="1958"/>
      <c r="F39" s="1958"/>
      <c r="G39" s="255"/>
    </row>
    <row r="40" spans="2:8" x14ac:dyDescent="0.2">
      <c r="B40" s="2213"/>
      <c r="C40" s="236"/>
      <c r="D40" s="236"/>
      <c r="E40" s="236"/>
      <c r="F40" s="236"/>
    </row>
    <row r="41" spans="2:8" ht="12.75" customHeight="1" x14ac:dyDescent="0.2">
      <c r="B41" s="2213">
        <v>3</v>
      </c>
      <c r="C41" s="1868" t="s">
        <v>260</v>
      </c>
      <c r="D41" s="1868"/>
      <c r="E41" s="1868"/>
      <c r="F41" s="1868"/>
      <c r="G41" s="687"/>
    </row>
    <row r="42" spans="2:8" x14ac:dyDescent="0.2">
      <c r="B42" s="2213"/>
      <c r="C42" s="1868"/>
      <c r="D42" s="1868"/>
      <c r="E42" s="1868"/>
      <c r="F42" s="1868"/>
      <c r="G42" s="687"/>
    </row>
    <row r="43" spans="2:8" x14ac:dyDescent="0.2">
      <c r="B43" s="285"/>
      <c r="C43" s="236"/>
      <c r="D43" s="236"/>
      <c r="E43" s="236"/>
      <c r="F43" s="236"/>
    </row>
    <row r="44" spans="2:8" ht="12.75" customHeight="1" x14ac:dyDescent="0.2">
      <c r="B44" s="2213">
        <v>4</v>
      </c>
      <c r="C44" s="1868" t="s">
        <v>261</v>
      </c>
      <c r="D44" s="1868"/>
      <c r="E44" s="1868"/>
      <c r="F44" s="1868"/>
      <c r="G44" s="687"/>
      <c r="H44" s="687"/>
    </row>
    <row r="45" spans="2:8" x14ac:dyDescent="0.2">
      <c r="B45" s="2213"/>
      <c r="C45" s="1959"/>
      <c r="D45" s="1959"/>
      <c r="E45" s="1959"/>
      <c r="F45" s="1959"/>
      <c r="G45" s="687"/>
      <c r="H45" s="687"/>
    </row>
    <row r="46" spans="2:8" ht="12.75" customHeight="1" x14ac:dyDescent="0.2">
      <c r="B46" s="285"/>
      <c r="C46" s="689"/>
      <c r="D46" s="689"/>
      <c r="E46" s="689"/>
      <c r="F46" s="689"/>
      <c r="G46" s="687"/>
      <c r="H46" s="687"/>
    </row>
    <row r="47" spans="2:8" x14ac:dyDescent="0.2">
      <c r="B47" s="2214">
        <v>5</v>
      </c>
      <c r="C47" s="1868" t="s">
        <v>870</v>
      </c>
      <c r="D47" s="1868"/>
      <c r="E47" s="1868"/>
      <c r="F47" s="1868"/>
      <c r="G47" s="687"/>
      <c r="H47" s="687"/>
    </row>
    <row r="48" spans="2:8" x14ac:dyDescent="0.2">
      <c r="B48" s="2214"/>
      <c r="C48" s="1868"/>
      <c r="D48" s="1868"/>
      <c r="E48" s="1868"/>
      <c r="F48" s="1868"/>
      <c r="G48" s="687"/>
      <c r="H48" s="687"/>
    </row>
    <row r="49" spans="2:8" x14ac:dyDescent="0.2">
      <c r="B49" s="2214"/>
      <c r="C49" s="1959"/>
      <c r="D49" s="1959"/>
      <c r="E49" s="1959"/>
      <c r="F49" s="1959"/>
      <c r="G49" s="687"/>
      <c r="H49" s="687"/>
    </row>
    <row r="50" spans="2:8" x14ac:dyDescent="0.2">
      <c r="B50" s="2214"/>
      <c r="C50" s="1959"/>
      <c r="D50" s="1959"/>
      <c r="E50" s="1959"/>
      <c r="F50" s="1959"/>
      <c r="G50" s="687"/>
      <c r="H50" s="687"/>
    </row>
    <row r="51" spans="2:8" x14ac:dyDescent="0.2">
      <c r="B51" s="285"/>
      <c r="C51" s="236"/>
      <c r="D51" s="236"/>
      <c r="E51" s="236"/>
      <c r="F51" s="236"/>
    </row>
    <row r="52" spans="2:8" ht="12.75" customHeight="1" x14ac:dyDescent="0.2">
      <c r="B52" s="2213">
        <v>6</v>
      </c>
      <c r="C52" s="1868" t="s">
        <v>263</v>
      </c>
      <c r="D52" s="1868"/>
      <c r="E52" s="1868"/>
      <c r="F52" s="1868"/>
      <c r="G52" s="687"/>
      <c r="H52" s="687"/>
    </row>
    <row r="53" spans="2:8" x14ac:dyDescent="0.2">
      <c r="B53" s="2213"/>
      <c r="C53" s="1868"/>
      <c r="D53" s="1868"/>
      <c r="E53" s="1868"/>
      <c r="F53" s="1868"/>
      <c r="G53" s="687"/>
      <c r="H53" s="687"/>
    </row>
    <row r="55" spans="2:8" ht="12.75" customHeight="1" x14ac:dyDescent="0.2"/>
  </sheetData>
  <mergeCells count="32">
    <mergeCell ref="B18:D18"/>
    <mergeCell ref="B9:F9"/>
    <mergeCell ref="B10:F10"/>
    <mergeCell ref="B12:F12"/>
    <mergeCell ref="B14:D16"/>
    <mergeCell ref="B17:D17"/>
    <mergeCell ref="B30:D30"/>
    <mergeCell ref="B19:D19"/>
    <mergeCell ref="B20:D20"/>
    <mergeCell ref="B21:D21"/>
    <mergeCell ref="B22:D22"/>
    <mergeCell ref="B23:D23"/>
    <mergeCell ref="B24:D24"/>
    <mergeCell ref="B25:D25"/>
    <mergeCell ref="B26:D26"/>
    <mergeCell ref="B27:D27"/>
    <mergeCell ref="B28:D28"/>
    <mergeCell ref="B29:D29"/>
    <mergeCell ref="B31:D31"/>
    <mergeCell ref="B32:D32"/>
    <mergeCell ref="B36:B37"/>
    <mergeCell ref="C36:F37"/>
    <mergeCell ref="B39:B40"/>
    <mergeCell ref="C39:F39"/>
    <mergeCell ref="B52:B53"/>
    <mergeCell ref="C52:F53"/>
    <mergeCell ref="B41:B42"/>
    <mergeCell ref="C41:F42"/>
    <mergeCell ref="B44:B45"/>
    <mergeCell ref="C44:F45"/>
    <mergeCell ref="B47:B50"/>
    <mergeCell ref="C47:F50"/>
  </mergeCells>
  <dataValidations count="1">
    <dataValidation allowBlank="1" showInputMessage="1" showErrorMessage="1" promptTitle="Date Format" prompt="E.g:  &quot;August 1, 2011&quot;" sqref="F7"/>
  </dataValidations>
  <pageMargins left="0.75" right="0.75" top="1" bottom="1" header="0.5" footer="0.5"/>
  <pageSetup scale="8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1"/>
  <sheetViews>
    <sheetView showGridLines="0" zoomScaleNormal="100" workbookViewId="0">
      <selection activeCell="I2" sqref="I2"/>
    </sheetView>
  </sheetViews>
  <sheetFormatPr defaultColWidth="9.140625" defaultRowHeight="12.75" x14ac:dyDescent="0.2"/>
  <cols>
    <col min="1" max="1" width="5" style="216" customWidth="1"/>
    <col min="2" max="2" width="23" style="216" customWidth="1"/>
    <col min="3" max="3" width="12.7109375" style="216" bestFit="1" customWidth="1"/>
    <col min="4" max="4" width="1.7109375" style="216" customWidth="1"/>
    <col min="5" max="8" width="13.7109375" style="216" customWidth="1"/>
    <col min="9" max="9" width="14.7109375" style="216" customWidth="1"/>
    <col min="10" max="10" width="13.7109375" style="216" customWidth="1"/>
    <col min="11" max="11" width="19.28515625" style="216" customWidth="1"/>
    <col min="12" max="16384" width="9.140625" style="216"/>
  </cols>
  <sheetData>
    <row r="1" spans="1:11" x14ac:dyDescent="0.2">
      <c r="F1" s="219"/>
      <c r="G1" s="219"/>
      <c r="I1" s="880" t="s">
        <v>419</v>
      </c>
      <c r="K1" s="766" t="str">
        <f>EBNUMBER</f>
        <v>EB-2014-0113</v>
      </c>
    </row>
    <row r="2" spans="1:11" x14ac:dyDescent="0.2">
      <c r="F2" s="219"/>
      <c r="G2" s="219"/>
      <c r="I2" s="880" t="s">
        <v>420</v>
      </c>
      <c r="K2" s="767">
        <v>1</v>
      </c>
    </row>
    <row r="3" spans="1:11" x14ac:dyDescent="0.2">
      <c r="F3" s="219"/>
      <c r="G3" s="219"/>
      <c r="I3" s="880" t="s">
        <v>421</v>
      </c>
      <c r="K3" s="767">
        <v>2</v>
      </c>
    </row>
    <row r="4" spans="1:11" x14ac:dyDescent="0.2">
      <c r="F4" s="219"/>
      <c r="G4" s="219"/>
      <c r="I4" s="880" t="s">
        <v>422</v>
      </c>
      <c r="K4" s="767">
        <v>2</v>
      </c>
    </row>
    <row r="5" spans="1:11" x14ac:dyDescent="0.2">
      <c r="F5" s="219"/>
      <c r="G5" s="219"/>
      <c r="I5" s="880" t="s">
        <v>423</v>
      </c>
      <c r="K5" s="768"/>
    </row>
    <row r="6" spans="1:11" x14ac:dyDescent="0.2">
      <c r="F6" s="219"/>
      <c r="G6" s="219"/>
      <c r="I6" s="880"/>
      <c r="K6" s="766"/>
    </row>
    <row r="7" spans="1:11" x14ac:dyDescent="0.2">
      <c r="F7" s="219"/>
      <c r="G7" s="219"/>
      <c r="I7" s="880" t="s">
        <v>424</v>
      </c>
      <c r="K7" s="1467">
        <v>42119</v>
      </c>
    </row>
    <row r="9" spans="1:11" ht="18" x14ac:dyDescent="0.25">
      <c r="A9" s="1856" t="s">
        <v>871</v>
      </c>
      <c r="B9" s="1856"/>
      <c r="C9" s="1856"/>
      <c r="D9" s="1856"/>
      <c r="E9" s="1856"/>
      <c r="F9" s="1856"/>
      <c r="G9" s="1856"/>
      <c r="H9" s="1856"/>
      <c r="I9" s="1856"/>
      <c r="J9" s="1856"/>
      <c r="K9" s="1856"/>
    </row>
    <row r="10" spans="1:11" ht="18" customHeight="1" x14ac:dyDescent="0.25">
      <c r="A10" s="2221" t="s">
        <v>872</v>
      </c>
      <c r="B10" s="2221"/>
      <c r="C10" s="2221"/>
      <c r="D10" s="2221"/>
      <c r="E10" s="2221"/>
      <c r="F10" s="2221"/>
      <c r="G10" s="2221"/>
      <c r="H10" s="2221"/>
      <c r="I10" s="2221"/>
      <c r="J10" s="2221"/>
      <c r="K10" s="2221"/>
    </row>
    <row r="11" spans="1:11" ht="18" x14ac:dyDescent="0.25">
      <c r="A11" s="1856" t="s">
        <v>873</v>
      </c>
      <c r="B11" s="1856"/>
      <c r="C11" s="1856"/>
      <c r="D11" s="1856"/>
      <c r="E11" s="1856"/>
      <c r="F11" s="1856"/>
      <c r="G11" s="1856"/>
      <c r="H11" s="1856"/>
      <c r="I11" s="1856"/>
      <c r="J11" s="1856"/>
      <c r="K11" s="1856"/>
    </row>
    <row r="13" spans="1:11" ht="18.75" customHeight="1" x14ac:dyDescent="0.2">
      <c r="A13" s="1857" t="s">
        <v>874</v>
      </c>
      <c r="B13" s="1857"/>
      <c r="C13" s="1857"/>
      <c r="D13" s="1857"/>
      <c r="E13" s="1857"/>
      <c r="F13" s="1857"/>
      <c r="G13" s="1857"/>
      <c r="H13" s="1857"/>
      <c r="I13" s="1857"/>
      <c r="J13" s="1857"/>
      <c r="K13" s="1857"/>
    </row>
    <row r="14" spans="1:11" x14ac:dyDescent="0.2">
      <c r="A14" s="1784" t="s">
        <v>875</v>
      </c>
      <c r="B14" s="1784"/>
      <c r="C14" s="1784"/>
      <c r="D14" s="1784"/>
      <c r="E14" s="1784"/>
      <c r="F14" s="1784"/>
      <c r="G14" s="1784"/>
      <c r="H14" s="1784"/>
      <c r="I14" s="1784"/>
      <c r="J14" s="1784"/>
      <c r="K14" s="1784"/>
    </row>
    <row r="15" spans="1:11" x14ac:dyDescent="0.2">
      <c r="A15" s="1784"/>
      <c r="B15" s="1784"/>
      <c r="C15" s="1784"/>
      <c r="D15" s="1784"/>
      <c r="E15" s="1784"/>
      <c r="F15" s="1784"/>
      <c r="G15" s="1784"/>
      <c r="H15" s="1784"/>
      <c r="I15" s="1784"/>
      <c r="J15" s="1784"/>
      <c r="K15" s="1784"/>
    </row>
    <row r="16" spans="1:11" x14ac:dyDescent="0.2">
      <c r="A16" s="799"/>
      <c r="B16" s="799"/>
      <c r="C16" s="799"/>
      <c r="D16" s="799"/>
      <c r="E16" s="799"/>
      <c r="F16" s="799"/>
      <c r="G16" s="799"/>
      <c r="H16" s="799"/>
      <c r="I16" s="799"/>
      <c r="J16" s="799"/>
      <c r="K16" s="799"/>
    </row>
    <row r="17" spans="1:12" x14ac:dyDescent="0.2">
      <c r="A17" s="1877" t="s">
        <v>876</v>
      </c>
      <c r="B17" s="1877"/>
      <c r="C17" s="1877"/>
      <c r="D17" s="1877"/>
      <c r="E17" s="1877"/>
      <c r="F17" s="1877"/>
      <c r="G17" s="1877"/>
      <c r="H17" s="1877"/>
      <c r="I17" s="1877"/>
      <c r="J17" s="1877"/>
      <c r="K17" s="1877"/>
    </row>
    <row r="18" spans="1:12" x14ac:dyDescent="0.2">
      <c r="A18" s="681"/>
      <c r="B18" s="681"/>
      <c r="C18" s="681"/>
      <c r="D18" s="681"/>
      <c r="E18" s="681"/>
      <c r="F18" s="681"/>
      <c r="G18" s="681"/>
      <c r="H18" s="681"/>
      <c r="I18" s="681"/>
      <c r="J18" s="681"/>
      <c r="K18" s="681"/>
    </row>
    <row r="19" spans="1:12" ht="39.75" x14ac:dyDescent="0.2">
      <c r="A19" s="236"/>
      <c r="B19" s="236"/>
      <c r="C19" s="236"/>
      <c r="D19" s="236"/>
      <c r="E19" s="891" t="s">
        <v>885</v>
      </c>
      <c r="F19" s="891" t="s">
        <v>886</v>
      </c>
      <c r="G19" s="891" t="s">
        <v>887</v>
      </c>
      <c r="H19" s="891" t="s">
        <v>888</v>
      </c>
      <c r="I19" s="891" t="s">
        <v>889</v>
      </c>
      <c r="J19" s="891" t="s">
        <v>877</v>
      </c>
      <c r="K19" s="891" t="s">
        <v>878</v>
      </c>
      <c r="L19" s="690"/>
    </row>
    <row r="20" spans="1:12" x14ac:dyDescent="0.2">
      <c r="A20" s="236"/>
      <c r="B20" s="236"/>
      <c r="C20" s="236"/>
      <c r="D20" s="236"/>
      <c r="E20" s="689"/>
      <c r="F20" s="689"/>
      <c r="G20" s="689"/>
      <c r="H20" s="689"/>
      <c r="I20" s="886"/>
      <c r="J20" s="886"/>
      <c r="K20" s="886"/>
    </row>
    <row r="21" spans="1:12" x14ac:dyDescent="0.2">
      <c r="A21" s="887"/>
      <c r="B21" s="236"/>
      <c r="C21" s="236"/>
      <c r="D21" s="236"/>
      <c r="E21" s="236"/>
      <c r="F21" s="236"/>
      <c r="G21" s="236"/>
      <c r="H21" s="236"/>
      <c r="I21" s="236"/>
      <c r="J21" s="236"/>
      <c r="K21" s="236"/>
    </row>
    <row r="22" spans="1:12" ht="13.5" thickBot="1" x14ac:dyDescent="0.25">
      <c r="A22" s="888"/>
      <c r="B22" s="236"/>
      <c r="C22" s="236"/>
      <c r="D22" s="236"/>
      <c r="E22" s="236"/>
      <c r="F22" s="236"/>
      <c r="G22" s="236"/>
      <c r="H22" s="236"/>
      <c r="I22" s="236"/>
      <c r="J22" s="236"/>
      <c r="K22" s="236"/>
    </row>
    <row r="23" spans="1:12" ht="14.25" thickTop="1" thickBot="1" x14ac:dyDescent="0.25">
      <c r="A23" s="887" t="s">
        <v>879</v>
      </c>
      <c r="B23" s="236"/>
      <c r="C23" s="236"/>
      <c r="D23" s="236"/>
      <c r="E23" s="259"/>
      <c r="F23" s="259"/>
      <c r="G23" s="259"/>
      <c r="H23" s="259"/>
      <c r="I23" s="259"/>
      <c r="J23" s="259"/>
      <c r="K23" s="889">
        <f>SUM(E23:J23)</f>
        <v>0</v>
      </c>
    </row>
    <row r="24" spans="1:12" ht="14.25" thickTop="1" thickBot="1" x14ac:dyDescent="0.25">
      <c r="A24" s="887" t="s">
        <v>880</v>
      </c>
      <c r="B24" s="236"/>
      <c r="C24" s="236"/>
      <c r="D24" s="236"/>
      <c r="E24" s="259"/>
      <c r="F24" s="259"/>
      <c r="G24" s="259"/>
      <c r="H24" s="259"/>
      <c r="I24" s="259"/>
      <c r="J24" s="259"/>
      <c r="K24" s="889">
        <f>SUM(E24:J24)</f>
        <v>0</v>
      </c>
    </row>
    <row r="25" spans="1:12" ht="15.75" thickTop="1" thickBot="1" x14ac:dyDescent="0.25">
      <c r="A25" s="887" t="s">
        <v>881</v>
      </c>
      <c r="B25" s="236"/>
      <c r="C25" s="236"/>
      <c r="D25" s="236"/>
      <c r="E25" s="889">
        <f t="shared" ref="E25:K25" si="0">SUM(E23:E24)</f>
        <v>0</v>
      </c>
      <c r="F25" s="889">
        <f t="shared" si="0"/>
        <v>0</v>
      </c>
      <c r="G25" s="889">
        <f t="shared" si="0"/>
        <v>0</v>
      </c>
      <c r="H25" s="889">
        <f t="shared" si="0"/>
        <v>0</v>
      </c>
      <c r="I25" s="889">
        <f t="shared" si="0"/>
        <v>0</v>
      </c>
      <c r="J25" s="889">
        <f t="shared" si="0"/>
        <v>0</v>
      </c>
      <c r="K25" s="889">
        <f t="shared" si="0"/>
        <v>0</v>
      </c>
    </row>
    <row r="26" spans="1:12" x14ac:dyDescent="0.2">
      <c r="A26" s="887"/>
      <c r="B26" s="236"/>
      <c r="C26" s="236"/>
      <c r="D26" s="236"/>
      <c r="E26" s="890"/>
      <c r="F26" s="890"/>
      <c r="G26" s="890"/>
      <c r="H26" s="890"/>
      <c r="I26" s="890"/>
    </row>
    <row r="27" spans="1:12" ht="14.25" x14ac:dyDescent="0.2">
      <c r="A27" s="887" t="s">
        <v>882</v>
      </c>
      <c r="B27" s="236"/>
      <c r="C27" s="236"/>
      <c r="D27" s="236"/>
      <c r="E27" s="890"/>
      <c r="F27" s="890"/>
      <c r="G27" s="890"/>
      <c r="H27" s="890"/>
      <c r="I27" s="890"/>
    </row>
    <row r="28" spans="1:12" ht="14.25" x14ac:dyDescent="0.2">
      <c r="A28" s="887" t="s">
        <v>883</v>
      </c>
      <c r="B28" s="236"/>
      <c r="C28" s="236"/>
      <c r="D28" s="236"/>
      <c r="E28" s="236"/>
      <c r="F28" s="236"/>
      <c r="G28" s="236"/>
      <c r="H28" s="236"/>
      <c r="I28" s="236"/>
    </row>
    <row r="29" spans="1:12" x14ac:dyDescent="0.2">
      <c r="A29" s="887"/>
      <c r="B29" s="236"/>
      <c r="C29" s="236"/>
      <c r="D29" s="236"/>
      <c r="E29" s="236"/>
      <c r="F29" s="236"/>
      <c r="G29" s="236"/>
      <c r="H29" s="236"/>
      <c r="I29" s="236"/>
    </row>
    <row r="30" spans="1:12" x14ac:dyDescent="0.2">
      <c r="A30" s="2222" t="s">
        <v>884</v>
      </c>
      <c r="B30" s="2222"/>
      <c r="C30" s="2222"/>
      <c r="D30" s="2222"/>
      <c r="E30" s="2222"/>
      <c r="F30" s="2222"/>
      <c r="G30" s="2222"/>
      <c r="H30" s="2222"/>
      <c r="I30" s="2222"/>
      <c r="J30" s="2222"/>
      <c r="K30" s="2222"/>
    </row>
    <row r="31" spans="1:12" x14ac:dyDescent="0.2">
      <c r="A31" s="2222"/>
      <c r="B31" s="2222"/>
      <c r="C31" s="2222"/>
      <c r="D31" s="2222"/>
      <c r="E31" s="2222"/>
      <c r="F31" s="2222"/>
      <c r="G31" s="2222"/>
      <c r="H31" s="2222"/>
      <c r="I31" s="2222"/>
      <c r="J31" s="2222"/>
      <c r="K31" s="2222"/>
    </row>
  </sheetData>
  <mergeCells count="7">
    <mergeCell ref="A9:K9"/>
    <mergeCell ref="A10:K10"/>
    <mergeCell ref="A11:K11"/>
    <mergeCell ref="A30:K31"/>
    <mergeCell ref="A14:K15"/>
    <mergeCell ref="A17:K17"/>
    <mergeCell ref="A13:K13"/>
  </mergeCells>
  <dataValidations count="1">
    <dataValidation allowBlank="1" showInputMessage="1" showErrorMessage="1" promptTitle="Date Format" prompt="E.g:  &quot;August 1, 2011&quot;" sqref="K7"/>
  </dataValidations>
  <pageMargins left="0.75" right="0.75" top="1" bottom="1" header="0.5" footer="0.5"/>
  <pageSetup scale="8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N51"/>
  <sheetViews>
    <sheetView showGridLines="0" zoomScaleNormal="100" workbookViewId="0">
      <selection activeCell="G25" sqref="G25"/>
    </sheetView>
  </sheetViews>
  <sheetFormatPr defaultRowHeight="12.75" x14ac:dyDescent="0.2"/>
  <cols>
    <col min="1" max="1" width="2.140625" style="216" customWidth="1"/>
    <col min="2" max="2" width="5" style="216" customWidth="1"/>
    <col min="3" max="3" width="47.42578125" style="216" customWidth="1"/>
    <col min="4" max="4" width="12.7109375" style="216" bestFit="1" customWidth="1"/>
    <col min="5" max="5" width="1.7109375" style="216" customWidth="1"/>
    <col min="6" max="12" width="15.7109375" style="216" customWidth="1"/>
    <col min="13" max="13" width="13.7109375" style="216" customWidth="1"/>
    <col min="14" max="14" width="40.7109375" style="216" customWidth="1"/>
    <col min="15" max="257" width="9.140625" style="216"/>
    <col min="258" max="258" width="2.85546875" style="216" customWidth="1"/>
    <col min="259" max="259" width="5" style="216" customWidth="1"/>
    <col min="260" max="260" width="62" style="216" customWidth="1"/>
    <col min="261" max="261" width="12.7109375" style="216" bestFit="1" customWidth="1"/>
    <col min="262" max="262" width="1.7109375" style="216" customWidth="1"/>
    <col min="263" max="268" width="15.7109375" style="216" customWidth="1"/>
    <col min="269" max="269" width="13.7109375" style="216" customWidth="1"/>
    <col min="270" max="270" width="40.7109375" style="216" customWidth="1"/>
    <col min="271" max="513" width="9.140625" style="216"/>
    <col min="514" max="514" width="2.85546875" style="216" customWidth="1"/>
    <col min="515" max="515" width="5" style="216" customWidth="1"/>
    <col min="516" max="516" width="62" style="216" customWidth="1"/>
    <col min="517" max="517" width="12.7109375" style="216" bestFit="1" customWidth="1"/>
    <col min="518" max="518" width="1.7109375" style="216" customWidth="1"/>
    <col min="519" max="524" width="15.7109375" style="216" customWidth="1"/>
    <col min="525" max="525" width="13.7109375" style="216" customWidth="1"/>
    <col min="526" max="526" width="40.7109375" style="216" customWidth="1"/>
    <col min="527" max="769" width="9.140625" style="216"/>
    <col min="770" max="770" width="2.85546875" style="216" customWidth="1"/>
    <col min="771" max="771" width="5" style="216" customWidth="1"/>
    <col min="772" max="772" width="62" style="216" customWidth="1"/>
    <col min="773" max="773" width="12.7109375" style="216" bestFit="1" customWidth="1"/>
    <col min="774" max="774" width="1.7109375" style="216" customWidth="1"/>
    <col min="775" max="780" width="15.7109375" style="216" customWidth="1"/>
    <col min="781" max="781" width="13.7109375" style="216" customWidth="1"/>
    <col min="782" max="782" width="40.7109375" style="216" customWidth="1"/>
    <col min="783" max="1025" width="9.140625" style="216"/>
    <col min="1026" max="1026" width="2.85546875" style="216" customWidth="1"/>
    <col min="1027" max="1027" width="5" style="216" customWidth="1"/>
    <col min="1028" max="1028" width="62" style="216" customWidth="1"/>
    <col min="1029" max="1029" width="12.7109375" style="216" bestFit="1" customWidth="1"/>
    <col min="1030" max="1030" width="1.7109375" style="216" customWidth="1"/>
    <col min="1031" max="1036" width="15.7109375" style="216" customWidth="1"/>
    <col min="1037" max="1037" width="13.7109375" style="216" customWidth="1"/>
    <col min="1038" max="1038" width="40.7109375" style="216" customWidth="1"/>
    <col min="1039" max="1281" width="9.140625" style="216"/>
    <col min="1282" max="1282" width="2.85546875" style="216" customWidth="1"/>
    <col min="1283" max="1283" width="5" style="216" customWidth="1"/>
    <col min="1284" max="1284" width="62" style="216" customWidth="1"/>
    <col min="1285" max="1285" width="12.7109375" style="216" bestFit="1" customWidth="1"/>
    <col min="1286" max="1286" width="1.7109375" style="216" customWidth="1"/>
    <col min="1287" max="1292" width="15.7109375" style="216" customWidth="1"/>
    <col min="1293" max="1293" width="13.7109375" style="216" customWidth="1"/>
    <col min="1294" max="1294" width="40.7109375" style="216" customWidth="1"/>
    <col min="1295" max="1537" width="9.140625" style="216"/>
    <col min="1538" max="1538" width="2.85546875" style="216" customWidth="1"/>
    <col min="1539" max="1539" width="5" style="216" customWidth="1"/>
    <col min="1540" max="1540" width="62" style="216" customWidth="1"/>
    <col min="1541" max="1541" width="12.7109375" style="216" bestFit="1" customWidth="1"/>
    <col min="1542" max="1542" width="1.7109375" style="216" customWidth="1"/>
    <col min="1543" max="1548" width="15.7109375" style="216" customWidth="1"/>
    <col min="1549" max="1549" width="13.7109375" style="216" customWidth="1"/>
    <col min="1550" max="1550" width="40.7109375" style="216" customWidth="1"/>
    <col min="1551" max="1793" width="9.140625" style="216"/>
    <col min="1794" max="1794" width="2.85546875" style="216" customWidth="1"/>
    <col min="1795" max="1795" width="5" style="216" customWidth="1"/>
    <col min="1796" max="1796" width="62" style="216" customWidth="1"/>
    <col min="1797" max="1797" width="12.7109375" style="216" bestFit="1" customWidth="1"/>
    <col min="1798" max="1798" width="1.7109375" style="216" customWidth="1"/>
    <col min="1799" max="1804" width="15.7109375" style="216" customWidth="1"/>
    <col min="1805" max="1805" width="13.7109375" style="216" customWidth="1"/>
    <col min="1806" max="1806" width="40.7109375" style="216" customWidth="1"/>
    <col min="1807" max="2049" width="9.140625" style="216"/>
    <col min="2050" max="2050" width="2.85546875" style="216" customWidth="1"/>
    <col min="2051" max="2051" width="5" style="216" customWidth="1"/>
    <col min="2052" max="2052" width="62" style="216" customWidth="1"/>
    <col min="2053" max="2053" width="12.7109375" style="216" bestFit="1" customWidth="1"/>
    <col min="2054" max="2054" width="1.7109375" style="216" customWidth="1"/>
    <col min="2055" max="2060" width="15.7109375" style="216" customWidth="1"/>
    <col min="2061" max="2061" width="13.7109375" style="216" customWidth="1"/>
    <col min="2062" max="2062" width="40.7109375" style="216" customWidth="1"/>
    <col min="2063" max="2305" width="9.140625" style="216"/>
    <col min="2306" max="2306" width="2.85546875" style="216" customWidth="1"/>
    <col min="2307" max="2307" width="5" style="216" customWidth="1"/>
    <col min="2308" max="2308" width="62" style="216" customWidth="1"/>
    <col min="2309" max="2309" width="12.7109375" style="216" bestFit="1" customWidth="1"/>
    <col min="2310" max="2310" width="1.7109375" style="216" customWidth="1"/>
    <col min="2311" max="2316" width="15.7109375" style="216" customWidth="1"/>
    <col min="2317" max="2317" width="13.7109375" style="216" customWidth="1"/>
    <col min="2318" max="2318" width="40.7109375" style="216" customWidth="1"/>
    <col min="2319" max="2561" width="9.140625" style="216"/>
    <col min="2562" max="2562" width="2.85546875" style="216" customWidth="1"/>
    <col min="2563" max="2563" width="5" style="216" customWidth="1"/>
    <col min="2564" max="2564" width="62" style="216" customWidth="1"/>
    <col min="2565" max="2565" width="12.7109375" style="216" bestFit="1" customWidth="1"/>
    <col min="2566" max="2566" width="1.7109375" style="216" customWidth="1"/>
    <col min="2567" max="2572" width="15.7109375" style="216" customWidth="1"/>
    <col min="2573" max="2573" width="13.7109375" style="216" customWidth="1"/>
    <col min="2574" max="2574" width="40.7109375" style="216" customWidth="1"/>
    <col min="2575" max="2817" width="9.140625" style="216"/>
    <col min="2818" max="2818" width="2.85546875" style="216" customWidth="1"/>
    <col min="2819" max="2819" width="5" style="216" customWidth="1"/>
    <col min="2820" max="2820" width="62" style="216" customWidth="1"/>
    <col min="2821" max="2821" width="12.7109375" style="216" bestFit="1" customWidth="1"/>
    <col min="2822" max="2822" width="1.7109375" style="216" customWidth="1"/>
    <col min="2823" max="2828" width="15.7109375" style="216" customWidth="1"/>
    <col min="2829" max="2829" width="13.7109375" style="216" customWidth="1"/>
    <col min="2830" max="2830" width="40.7109375" style="216" customWidth="1"/>
    <col min="2831" max="3073" width="9.140625" style="216"/>
    <col min="3074" max="3074" width="2.85546875" style="216" customWidth="1"/>
    <col min="3075" max="3075" width="5" style="216" customWidth="1"/>
    <col min="3076" max="3076" width="62" style="216" customWidth="1"/>
    <col min="3077" max="3077" width="12.7109375" style="216" bestFit="1" customWidth="1"/>
    <col min="3078" max="3078" width="1.7109375" style="216" customWidth="1"/>
    <col min="3079" max="3084" width="15.7109375" style="216" customWidth="1"/>
    <col min="3085" max="3085" width="13.7109375" style="216" customWidth="1"/>
    <col min="3086" max="3086" width="40.7109375" style="216" customWidth="1"/>
    <col min="3087" max="3329" width="9.140625" style="216"/>
    <col min="3330" max="3330" width="2.85546875" style="216" customWidth="1"/>
    <col min="3331" max="3331" width="5" style="216" customWidth="1"/>
    <col min="3332" max="3332" width="62" style="216" customWidth="1"/>
    <col min="3333" max="3333" width="12.7109375" style="216" bestFit="1" customWidth="1"/>
    <col min="3334" max="3334" width="1.7109375" style="216" customWidth="1"/>
    <col min="3335" max="3340" width="15.7109375" style="216" customWidth="1"/>
    <col min="3341" max="3341" width="13.7109375" style="216" customWidth="1"/>
    <col min="3342" max="3342" width="40.7109375" style="216" customWidth="1"/>
    <col min="3343" max="3585" width="9.140625" style="216"/>
    <col min="3586" max="3586" width="2.85546875" style="216" customWidth="1"/>
    <col min="3587" max="3587" width="5" style="216" customWidth="1"/>
    <col min="3588" max="3588" width="62" style="216" customWidth="1"/>
    <col min="3589" max="3589" width="12.7109375" style="216" bestFit="1" customWidth="1"/>
    <col min="3590" max="3590" width="1.7109375" style="216" customWidth="1"/>
    <col min="3591" max="3596" width="15.7109375" style="216" customWidth="1"/>
    <col min="3597" max="3597" width="13.7109375" style="216" customWidth="1"/>
    <col min="3598" max="3598" width="40.7109375" style="216" customWidth="1"/>
    <col min="3599" max="3841" width="9.140625" style="216"/>
    <col min="3842" max="3842" width="2.85546875" style="216" customWidth="1"/>
    <col min="3843" max="3843" width="5" style="216" customWidth="1"/>
    <col min="3844" max="3844" width="62" style="216" customWidth="1"/>
    <col min="3845" max="3845" width="12.7109375" style="216" bestFit="1" customWidth="1"/>
    <col min="3846" max="3846" width="1.7109375" style="216" customWidth="1"/>
    <col min="3847" max="3852" width="15.7109375" style="216" customWidth="1"/>
    <col min="3853" max="3853" width="13.7109375" style="216" customWidth="1"/>
    <col min="3854" max="3854" width="40.7109375" style="216" customWidth="1"/>
    <col min="3855" max="4097" width="9.140625" style="216"/>
    <col min="4098" max="4098" width="2.85546875" style="216" customWidth="1"/>
    <col min="4099" max="4099" width="5" style="216" customWidth="1"/>
    <col min="4100" max="4100" width="62" style="216" customWidth="1"/>
    <col min="4101" max="4101" width="12.7109375" style="216" bestFit="1" customWidth="1"/>
    <col min="4102" max="4102" width="1.7109375" style="216" customWidth="1"/>
    <col min="4103" max="4108" width="15.7109375" style="216" customWidth="1"/>
    <col min="4109" max="4109" width="13.7109375" style="216" customWidth="1"/>
    <col min="4110" max="4110" width="40.7109375" style="216" customWidth="1"/>
    <col min="4111" max="4353" width="9.140625" style="216"/>
    <col min="4354" max="4354" width="2.85546875" style="216" customWidth="1"/>
    <col min="4355" max="4355" width="5" style="216" customWidth="1"/>
    <col min="4356" max="4356" width="62" style="216" customWidth="1"/>
    <col min="4357" max="4357" width="12.7109375" style="216" bestFit="1" customWidth="1"/>
    <col min="4358" max="4358" width="1.7109375" style="216" customWidth="1"/>
    <col min="4359" max="4364" width="15.7109375" style="216" customWidth="1"/>
    <col min="4365" max="4365" width="13.7109375" style="216" customWidth="1"/>
    <col min="4366" max="4366" width="40.7109375" style="216" customWidth="1"/>
    <col min="4367" max="4609" width="9.140625" style="216"/>
    <col min="4610" max="4610" width="2.85546875" style="216" customWidth="1"/>
    <col min="4611" max="4611" width="5" style="216" customWidth="1"/>
    <col min="4612" max="4612" width="62" style="216" customWidth="1"/>
    <col min="4613" max="4613" width="12.7109375" style="216" bestFit="1" customWidth="1"/>
    <col min="4614" max="4614" width="1.7109375" style="216" customWidth="1"/>
    <col min="4615" max="4620" width="15.7109375" style="216" customWidth="1"/>
    <col min="4621" max="4621" width="13.7109375" style="216" customWidth="1"/>
    <col min="4622" max="4622" width="40.7109375" style="216" customWidth="1"/>
    <col min="4623" max="4865" width="9.140625" style="216"/>
    <col min="4866" max="4866" width="2.85546875" style="216" customWidth="1"/>
    <col min="4867" max="4867" width="5" style="216" customWidth="1"/>
    <col min="4868" max="4868" width="62" style="216" customWidth="1"/>
    <col min="4869" max="4869" width="12.7109375" style="216" bestFit="1" customWidth="1"/>
    <col min="4870" max="4870" width="1.7109375" style="216" customWidth="1"/>
    <col min="4871" max="4876" width="15.7109375" style="216" customWidth="1"/>
    <col min="4877" max="4877" width="13.7109375" style="216" customWidth="1"/>
    <col min="4878" max="4878" width="40.7109375" style="216" customWidth="1"/>
    <col min="4879" max="5121" width="9.140625" style="216"/>
    <col min="5122" max="5122" width="2.85546875" style="216" customWidth="1"/>
    <col min="5123" max="5123" width="5" style="216" customWidth="1"/>
    <col min="5124" max="5124" width="62" style="216" customWidth="1"/>
    <col min="5125" max="5125" width="12.7109375" style="216" bestFit="1" customWidth="1"/>
    <col min="5126" max="5126" width="1.7109375" style="216" customWidth="1"/>
    <col min="5127" max="5132" width="15.7109375" style="216" customWidth="1"/>
    <col min="5133" max="5133" width="13.7109375" style="216" customWidth="1"/>
    <col min="5134" max="5134" width="40.7109375" style="216" customWidth="1"/>
    <col min="5135" max="5377" width="9.140625" style="216"/>
    <col min="5378" max="5378" width="2.85546875" style="216" customWidth="1"/>
    <col min="5379" max="5379" width="5" style="216" customWidth="1"/>
    <col min="5380" max="5380" width="62" style="216" customWidth="1"/>
    <col min="5381" max="5381" width="12.7109375" style="216" bestFit="1" customWidth="1"/>
    <col min="5382" max="5382" width="1.7109375" style="216" customWidth="1"/>
    <col min="5383" max="5388" width="15.7109375" style="216" customWidth="1"/>
    <col min="5389" max="5389" width="13.7109375" style="216" customWidth="1"/>
    <col min="5390" max="5390" width="40.7109375" style="216" customWidth="1"/>
    <col min="5391" max="5633" width="9.140625" style="216"/>
    <col min="5634" max="5634" width="2.85546875" style="216" customWidth="1"/>
    <col min="5635" max="5635" width="5" style="216" customWidth="1"/>
    <col min="5636" max="5636" width="62" style="216" customWidth="1"/>
    <col min="5637" max="5637" width="12.7109375" style="216" bestFit="1" customWidth="1"/>
    <col min="5638" max="5638" width="1.7109375" style="216" customWidth="1"/>
    <col min="5639" max="5644" width="15.7109375" style="216" customWidth="1"/>
    <col min="5645" max="5645" width="13.7109375" style="216" customWidth="1"/>
    <col min="5646" max="5646" width="40.7109375" style="216" customWidth="1"/>
    <col min="5647" max="5889" width="9.140625" style="216"/>
    <col min="5890" max="5890" width="2.85546875" style="216" customWidth="1"/>
    <col min="5891" max="5891" width="5" style="216" customWidth="1"/>
    <col min="5892" max="5892" width="62" style="216" customWidth="1"/>
    <col min="5893" max="5893" width="12.7109375" style="216" bestFit="1" customWidth="1"/>
    <col min="5894" max="5894" width="1.7109375" style="216" customWidth="1"/>
    <col min="5895" max="5900" width="15.7109375" style="216" customWidth="1"/>
    <col min="5901" max="5901" width="13.7109375" style="216" customWidth="1"/>
    <col min="5902" max="5902" width="40.7109375" style="216" customWidth="1"/>
    <col min="5903" max="6145" width="9.140625" style="216"/>
    <col min="6146" max="6146" width="2.85546875" style="216" customWidth="1"/>
    <col min="6147" max="6147" width="5" style="216" customWidth="1"/>
    <col min="6148" max="6148" width="62" style="216" customWidth="1"/>
    <col min="6149" max="6149" width="12.7109375" style="216" bestFit="1" customWidth="1"/>
    <col min="6150" max="6150" width="1.7109375" style="216" customWidth="1"/>
    <col min="6151" max="6156" width="15.7109375" style="216" customWidth="1"/>
    <col min="6157" max="6157" width="13.7109375" style="216" customWidth="1"/>
    <col min="6158" max="6158" width="40.7109375" style="216" customWidth="1"/>
    <col min="6159" max="6401" width="9.140625" style="216"/>
    <col min="6402" max="6402" width="2.85546875" style="216" customWidth="1"/>
    <col min="6403" max="6403" width="5" style="216" customWidth="1"/>
    <col min="6404" max="6404" width="62" style="216" customWidth="1"/>
    <col min="6405" max="6405" width="12.7109375" style="216" bestFit="1" customWidth="1"/>
    <col min="6406" max="6406" width="1.7109375" style="216" customWidth="1"/>
    <col min="6407" max="6412" width="15.7109375" style="216" customWidth="1"/>
    <col min="6413" max="6413" width="13.7109375" style="216" customWidth="1"/>
    <col min="6414" max="6414" width="40.7109375" style="216" customWidth="1"/>
    <col min="6415" max="6657" width="9.140625" style="216"/>
    <col min="6658" max="6658" width="2.85546875" style="216" customWidth="1"/>
    <col min="6659" max="6659" width="5" style="216" customWidth="1"/>
    <col min="6660" max="6660" width="62" style="216" customWidth="1"/>
    <col min="6661" max="6661" width="12.7109375" style="216" bestFit="1" customWidth="1"/>
    <col min="6662" max="6662" width="1.7109375" style="216" customWidth="1"/>
    <col min="6663" max="6668" width="15.7109375" style="216" customWidth="1"/>
    <col min="6669" max="6669" width="13.7109375" style="216" customWidth="1"/>
    <col min="6670" max="6670" width="40.7109375" style="216" customWidth="1"/>
    <col min="6671" max="6913" width="9.140625" style="216"/>
    <col min="6914" max="6914" width="2.85546875" style="216" customWidth="1"/>
    <col min="6915" max="6915" width="5" style="216" customWidth="1"/>
    <col min="6916" max="6916" width="62" style="216" customWidth="1"/>
    <col min="6917" max="6917" width="12.7109375" style="216" bestFit="1" customWidth="1"/>
    <col min="6918" max="6918" width="1.7109375" style="216" customWidth="1"/>
    <col min="6919" max="6924" width="15.7109375" style="216" customWidth="1"/>
    <col min="6925" max="6925" width="13.7109375" style="216" customWidth="1"/>
    <col min="6926" max="6926" width="40.7109375" style="216" customWidth="1"/>
    <col min="6927" max="7169" width="9.140625" style="216"/>
    <col min="7170" max="7170" width="2.85546875" style="216" customWidth="1"/>
    <col min="7171" max="7171" width="5" style="216" customWidth="1"/>
    <col min="7172" max="7172" width="62" style="216" customWidth="1"/>
    <col min="7173" max="7173" width="12.7109375" style="216" bestFit="1" customWidth="1"/>
    <col min="7174" max="7174" width="1.7109375" style="216" customWidth="1"/>
    <col min="7175" max="7180" width="15.7109375" style="216" customWidth="1"/>
    <col min="7181" max="7181" width="13.7109375" style="216" customWidth="1"/>
    <col min="7182" max="7182" width="40.7109375" style="216" customWidth="1"/>
    <col min="7183" max="7425" width="9.140625" style="216"/>
    <col min="7426" max="7426" width="2.85546875" style="216" customWidth="1"/>
    <col min="7427" max="7427" width="5" style="216" customWidth="1"/>
    <col min="7428" max="7428" width="62" style="216" customWidth="1"/>
    <col min="7429" max="7429" width="12.7109375" style="216" bestFit="1" customWidth="1"/>
    <col min="7430" max="7430" width="1.7109375" style="216" customWidth="1"/>
    <col min="7431" max="7436" width="15.7109375" style="216" customWidth="1"/>
    <col min="7437" max="7437" width="13.7109375" style="216" customWidth="1"/>
    <col min="7438" max="7438" width="40.7109375" style="216" customWidth="1"/>
    <col min="7439" max="7681" width="9.140625" style="216"/>
    <col min="7682" max="7682" width="2.85546875" style="216" customWidth="1"/>
    <col min="7683" max="7683" width="5" style="216" customWidth="1"/>
    <col min="7684" max="7684" width="62" style="216" customWidth="1"/>
    <col min="7685" max="7685" width="12.7109375" style="216" bestFit="1" customWidth="1"/>
    <col min="7686" max="7686" width="1.7109375" style="216" customWidth="1"/>
    <col min="7687" max="7692" width="15.7109375" style="216" customWidth="1"/>
    <col min="7693" max="7693" width="13.7109375" style="216" customWidth="1"/>
    <col min="7694" max="7694" width="40.7109375" style="216" customWidth="1"/>
    <col min="7695" max="7937" width="9.140625" style="216"/>
    <col min="7938" max="7938" width="2.85546875" style="216" customWidth="1"/>
    <col min="7939" max="7939" width="5" style="216" customWidth="1"/>
    <col min="7940" max="7940" width="62" style="216" customWidth="1"/>
    <col min="7941" max="7941" width="12.7109375" style="216" bestFit="1" customWidth="1"/>
    <col min="7942" max="7942" width="1.7109375" style="216" customWidth="1"/>
    <col min="7943" max="7948" width="15.7109375" style="216" customWidth="1"/>
    <col min="7949" max="7949" width="13.7109375" style="216" customWidth="1"/>
    <col min="7950" max="7950" width="40.7109375" style="216" customWidth="1"/>
    <col min="7951" max="8193" width="9.140625" style="216"/>
    <col min="8194" max="8194" width="2.85546875" style="216" customWidth="1"/>
    <col min="8195" max="8195" width="5" style="216" customWidth="1"/>
    <col min="8196" max="8196" width="62" style="216" customWidth="1"/>
    <col min="8197" max="8197" width="12.7109375" style="216" bestFit="1" customWidth="1"/>
    <col min="8198" max="8198" width="1.7109375" style="216" customWidth="1"/>
    <col min="8199" max="8204" width="15.7109375" style="216" customWidth="1"/>
    <col min="8205" max="8205" width="13.7109375" style="216" customWidth="1"/>
    <col min="8206" max="8206" width="40.7109375" style="216" customWidth="1"/>
    <col min="8207" max="8449" width="9.140625" style="216"/>
    <col min="8450" max="8450" width="2.85546875" style="216" customWidth="1"/>
    <col min="8451" max="8451" width="5" style="216" customWidth="1"/>
    <col min="8452" max="8452" width="62" style="216" customWidth="1"/>
    <col min="8453" max="8453" width="12.7109375" style="216" bestFit="1" customWidth="1"/>
    <col min="8454" max="8454" width="1.7109375" style="216" customWidth="1"/>
    <col min="8455" max="8460" width="15.7109375" style="216" customWidth="1"/>
    <col min="8461" max="8461" width="13.7109375" style="216" customWidth="1"/>
    <col min="8462" max="8462" width="40.7109375" style="216" customWidth="1"/>
    <col min="8463" max="8705" width="9.140625" style="216"/>
    <col min="8706" max="8706" width="2.85546875" style="216" customWidth="1"/>
    <col min="8707" max="8707" width="5" style="216" customWidth="1"/>
    <col min="8708" max="8708" width="62" style="216" customWidth="1"/>
    <col min="8709" max="8709" width="12.7109375" style="216" bestFit="1" customWidth="1"/>
    <col min="8710" max="8710" width="1.7109375" style="216" customWidth="1"/>
    <col min="8711" max="8716" width="15.7109375" style="216" customWidth="1"/>
    <col min="8717" max="8717" width="13.7109375" style="216" customWidth="1"/>
    <col min="8718" max="8718" width="40.7109375" style="216" customWidth="1"/>
    <col min="8719" max="8961" width="9.140625" style="216"/>
    <col min="8962" max="8962" width="2.85546875" style="216" customWidth="1"/>
    <col min="8963" max="8963" width="5" style="216" customWidth="1"/>
    <col min="8964" max="8964" width="62" style="216" customWidth="1"/>
    <col min="8965" max="8965" width="12.7109375" style="216" bestFit="1" customWidth="1"/>
    <col min="8966" max="8966" width="1.7109375" style="216" customWidth="1"/>
    <col min="8967" max="8972" width="15.7109375" style="216" customWidth="1"/>
    <col min="8973" max="8973" width="13.7109375" style="216" customWidth="1"/>
    <col min="8974" max="8974" width="40.7109375" style="216" customWidth="1"/>
    <col min="8975" max="9217" width="9.140625" style="216"/>
    <col min="9218" max="9218" width="2.85546875" style="216" customWidth="1"/>
    <col min="9219" max="9219" width="5" style="216" customWidth="1"/>
    <col min="9220" max="9220" width="62" style="216" customWidth="1"/>
    <col min="9221" max="9221" width="12.7109375" style="216" bestFit="1" customWidth="1"/>
    <col min="9222" max="9222" width="1.7109375" style="216" customWidth="1"/>
    <col min="9223" max="9228" width="15.7109375" style="216" customWidth="1"/>
    <col min="9229" max="9229" width="13.7109375" style="216" customWidth="1"/>
    <col min="9230" max="9230" width="40.7109375" style="216" customWidth="1"/>
    <col min="9231" max="9473" width="9.140625" style="216"/>
    <col min="9474" max="9474" width="2.85546875" style="216" customWidth="1"/>
    <col min="9475" max="9475" width="5" style="216" customWidth="1"/>
    <col min="9476" max="9476" width="62" style="216" customWidth="1"/>
    <col min="9477" max="9477" width="12.7109375" style="216" bestFit="1" customWidth="1"/>
    <col min="9478" max="9478" width="1.7109375" style="216" customWidth="1"/>
    <col min="9479" max="9484" width="15.7109375" style="216" customWidth="1"/>
    <col min="9485" max="9485" width="13.7109375" style="216" customWidth="1"/>
    <col min="9486" max="9486" width="40.7109375" style="216" customWidth="1"/>
    <col min="9487" max="9729" width="9.140625" style="216"/>
    <col min="9730" max="9730" width="2.85546875" style="216" customWidth="1"/>
    <col min="9731" max="9731" width="5" style="216" customWidth="1"/>
    <col min="9732" max="9732" width="62" style="216" customWidth="1"/>
    <col min="9733" max="9733" width="12.7109375" style="216" bestFit="1" customWidth="1"/>
    <col min="9734" max="9734" width="1.7109375" style="216" customWidth="1"/>
    <col min="9735" max="9740" width="15.7109375" style="216" customWidth="1"/>
    <col min="9741" max="9741" width="13.7109375" style="216" customWidth="1"/>
    <col min="9742" max="9742" width="40.7109375" style="216" customWidth="1"/>
    <col min="9743" max="9985" width="9.140625" style="216"/>
    <col min="9986" max="9986" width="2.85546875" style="216" customWidth="1"/>
    <col min="9987" max="9987" width="5" style="216" customWidth="1"/>
    <col min="9988" max="9988" width="62" style="216" customWidth="1"/>
    <col min="9989" max="9989" width="12.7109375" style="216" bestFit="1" customWidth="1"/>
    <col min="9990" max="9990" width="1.7109375" style="216" customWidth="1"/>
    <col min="9991" max="9996" width="15.7109375" style="216" customWidth="1"/>
    <col min="9997" max="9997" width="13.7109375" style="216" customWidth="1"/>
    <col min="9998" max="9998" width="40.7109375" style="216" customWidth="1"/>
    <col min="9999" max="10241" width="9.140625" style="216"/>
    <col min="10242" max="10242" width="2.85546875" style="216" customWidth="1"/>
    <col min="10243" max="10243" width="5" style="216" customWidth="1"/>
    <col min="10244" max="10244" width="62" style="216" customWidth="1"/>
    <col min="10245" max="10245" width="12.7109375" style="216" bestFit="1" customWidth="1"/>
    <col min="10246" max="10246" width="1.7109375" style="216" customWidth="1"/>
    <col min="10247" max="10252" width="15.7109375" style="216" customWidth="1"/>
    <col min="10253" max="10253" width="13.7109375" style="216" customWidth="1"/>
    <col min="10254" max="10254" width="40.7109375" style="216" customWidth="1"/>
    <col min="10255" max="10497" width="9.140625" style="216"/>
    <col min="10498" max="10498" width="2.85546875" style="216" customWidth="1"/>
    <col min="10499" max="10499" width="5" style="216" customWidth="1"/>
    <col min="10500" max="10500" width="62" style="216" customWidth="1"/>
    <col min="10501" max="10501" width="12.7109375" style="216" bestFit="1" customWidth="1"/>
    <col min="10502" max="10502" width="1.7109375" style="216" customWidth="1"/>
    <col min="10503" max="10508" width="15.7109375" style="216" customWidth="1"/>
    <col min="10509" max="10509" width="13.7109375" style="216" customWidth="1"/>
    <col min="10510" max="10510" width="40.7109375" style="216" customWidth="1"/>
    <col min="10511" max="10753" width="9.140625" style="216"/>
    <col min="10754" max="10754" width="2.85546875" style="216" customWidth="1"/>
    <col min="10755" max="10755" width="5" style="216" customWidth="1"/>
    <col min="10756" max="10756" width="62" style="216" customWidth="1"/>
    <col min="10757" max="10757" width="12.7109375" style="216" bestFit="1" customWidth="1"/>
    <col min="10758" max="10758" width="1.7109375" style="216" customWidth="1"/>
    <col min="10759" max="10764" width="15.7109375" style="216" customWidth="1"/>
    <col min="10765" max="10765" width="13.7109375" style="216" customWidth="1"/>
    <col min="10766" max="10766" width="40.7109375" style="216" customWidth="1"/>
    <col min="10767" max="11009" width="9.140625" style="216"/>
    <col min="11010" max="11010" width="2.85546875" style="216" customWidth="1"/>
    <col min="11011" max="11011" width="5" style="216" customWidth="1"/>
    <col min="11012" max="11012" width="62" style="216" customWidth="1"/>
    <col min="11013" max="11013" width="12.7109375" style="216" bestFit="1" customWidth="1"/>
    <col min="11014" max="11014" width="1.7109375" style="216" customWidth="1"/>
    <col min="11015" max="11020" width="15.7109375" style="216" customWidth="1"/>
    <col min="11021" max="11021" width="13.7109375" style="216" customWidth="1"/>
    <col min="11022" max="11022" width="40.7109375" style="216" customWidth="1"/>
    <col min="11023" max="11265" width="9.140625" style="216"/>
    <col min="11266" max="11266" width="2.85546875" style="216" customWidth="1"/>
    <col min="11267" max="11267" width="5" style="216" customWidth="1"/>
    <col min="11268" max="11268" width="62" style="216" customWidth="1"/>
    <col min="11269" max="11269" width="12.7109375" style="216" bestFit="1" customWidth="1"/>
    <col min="11270" max="11270" width="1.7109375" style="216" customWidth="1"/>
    <col min="11271" max="11276" width="15.7109375" style="216" customWidth="1"/>
    <col min="11277" max="11277" width="13.7109375" style="216" customWidth="1"/>
    <col min="11278" max="11278" width="40.7109375" style="216" customWidth="1"/>
    <col min="11279" max="11521" width="9.140625" style="216"/>
    <col min="11522" max="11522" width="2.85546875" style="216" customWidth="1"/>
    <col min="11523" max="11523" width="5" style="216" customWidth="1"/>
    <col min="11524" max="11524" width="62" style="216" customWidth="1"/>
    <col min="11525" max="11525" width="12.7109375" style="216" bestFit="1" customWidth="1"/>
    <col min="11526" max="11526" width="1.7109375" style="216" customWidth="1"/>
    <col min="11527" max="11532" width="15.7109375" style="216" customWidth="1"/>
    <col min="11533" max="11533" width="13.7109375" style="216" customWidth="1"/>
    <col min="11534" max="11534" width="40.7109375" style="216" customWidth="1"/>
    <col min="11535" max="11777" width="9.140625" style="216"/>
    <col min="11778" max="11778" width="2.85546875" style="216" customWidth="1"/>
    <col min="11779" max="11779" width="5" style="216" customWidth="1"/>
    <col min="11780" max="11780" width="62" style="216" customWidth="1"/>
    <col min="11781" max="11781" width="12.7109375" style="216" bestFit="1" customWidth="1"/>
    <col min="11782" max="11782" width="1.7109375" style="216" customWidth="1"/>
    <col min="11783" max="11788" width="15.7109375" style="216" customWidth="1"/>
    <col min="11789" max="11789" width="13.7109375" style="216" customWidth="1"/>
    <col min="11790" max="11790" width="40.7109375" style="216" customWidth="1"/>
    <col min="11791" max="12033" width="9.140625" style="216"/>
    <col min="12034" max="12034" width="2.85546875" style="216" customWidth="1"/>
    <col min="12035" max="12035" width="5" style="216" customWidth="1"/>
    <col min="12036" max="12036" width="62" style="216" customWidth="1"/>
    <col min="12037" max="12037" width="12.7109375" style="216" bestFit="1" customWidth="1"/>
    <col min="12038" max="12038" width="1.7109375" style="216" customWidth="1"/>
    <col min="12039" max="12044" width="15.7109375" style="216" customWidth="1"/>
    <col min="12045" max="12045" width="13.7109375" style="216" customWidth="1"/>
    <col min="12046" max="12046" width="40.7109375" style="216" customWidth="1"/>
    <col min="12047" max="12289" width="9.140625" style="216"/>
    <col min="12290" max="12290" width="2.85546875" style="216" customWidth="1"/>
    <col min="12291" max="12291" width="5" style="216" customWidth="1"/>
    <col min="12292" max="12292" width="62" style="216" customWidth="1"/>
    <col min="12293" max="12293" width="12.7109375" style="216" bestFit="1" customWidth="1"/>
    <col min="12294" max="12294" width="1.7109375" style="216" customWidth="1"/>
    <col min="12295" max="12300" width="15.7109375" style="216" customWidth="1"/>
    <col min="12301" max="12301" width="13.7109375" style="216" customWidth="1"/>
    <col min="12302" max="12302" width="40.7109375" style="216" customWidth="1"/>
    <col min="12303" max="12545" width="9.140625" style="216"/>
    <col min="12546" max="12546" width="2.85546875" style="216" customWidth="1"/>
    <col min="12547" max="12547" width="5" style="216" customWidth="1"/>
    <col min="12548" max="12548" width="62" style="216" customWidth="1"/>
    <col min="12549" max="12549" width="12.7109375" style="216" bestFit="1" customWidth="1"/>
    <col min="12550" max="12550" width="1.7109375" style="216" customWidth="1"/>
    <col min="12551" max="12556" width="15.7109375" style="216" customWidth="1"/>
    <col min="12557" max="12557" width="13.7109375" style="216" customWidth="1"/>
    <col min="12558" max="12558" width="40.7109375" style="216" customWidth="1"/>
    <col min="12559" max="12801" width="9.140625" style="216"/>
    <col min="12802" max="12802" width="2.85546875" style="216" customWidth="1"/>
    <col min="12803" max="12803" width="5" style="216" customWidth="1"/>
    <col min="12804" max="12804" width="62" style="216" customWidth="1"/>
    <col min="12805" max="12805" width="12.7109375" style="216" bestFit="1" customWidth="1"/>
    <col min="12806" max="12806" width="1.7109375" style="216" customWidth="1"/>
    <col min="12807" max="12812" width="15.7109375" style="216" customWidth="1"/>
    <col min="12813" max="12813" width="13.7109375" style="216" customWidth="1"/>
    <col min="12814" max="12814" width="40.7109375" style="216" customWidth="1"/>
    <col min="12815" max="13057" width="9.140625" style="216"/>
    <col min="13058" max="13058" width="2.85546875" style="216" customWidth="1"/>
    <col min="13059" max="13059" width="5" style="216" customWidth="1"/>
    <col min="13060" max="13060" width="62" style="216" customWidth="1"/>
    <col min="13061" max="13061" width="12.7109375" style="216" bestFit="1" customWidth="1"/>
    <col min="13062" max="13062" width="1.7109375" style="216" customWidth="1"/>
    <col min="13063" max="13068" width="15.7109375" style="216" customWidth="1"/>
    <col min="13069" max="13069" width="13.7109375" style="216" customWidth="1"/>
    <col min="13070" max="13070" width="40.7109375" style="216" customWidth="1"/>
    <col min="13071" max="13313" width="9.140625" style="216"/>
    <col min="13314" max="13314" width="2.85546875" style="216" customWidth="1"/>
    <col min="13315" max="13315" width="5" style="216" customWidth="1"/>
    <col min="13316" max="13316" width="62" style="216" customWidth="1"/>
    <col min="13317" max="13317" width="12.7109375" style="216" bestFit="1" customWidth="1"/>
    <col min="13318" max="13318" width="1.7109375" style="216" customWidth="1"/>
    <col min="13319" max="13324" width="15.7109375" style="216" customWidth="1"/>
    <col min="13325" max="13325" width="13.7109375" style="216" customWidth="1"/>
    <col min="13326" max="13326" width="40.7109375" style="216" customWidth="1"/>
    <col min="13327" max="13569" width="9.140625" style="216"/>
    <col min="13570" max="13570" width="2.85546875" style="216" customWidth="1"/>
    <col min="13571" max="13571" width="5" style="216" customWidth="1"/>
    <col min="13572" max="13572" width="62" style="216" customWidth="1"/>
    <col min="13573" max="13573" width="12.7109375" style="216" bestFit="1" customWidth="1"/>
    <col min="13574" max="13574" width="1.7109375" style="216" customWidth="1"/>
    <col min="13575" max="13580" width="15.7109375" style="216" customWidth="1"/>
    <col min="13581" max="13581" width="13.7109375" style="216" customWidth="1"/>
    <col min="13582" max="13582" width="40.7109375" style="216" customWidth="1"/>
    <col min="13583" max="13825" width="9.140625" style="216"/>
    <col min="13826" max="13826" width="2.85546875" style="216" customWidth="1"/>
    <col min="13827" max="13827" width="5" style="216" customWidth="1"/>
    <col min="13828" max="13828" width="62" style="216" customWidth="1"/>
    <col min="13829" max="13829" width="12.7109375" style="216" bestFit="1" customWidth="1"/>
    <col min="13830" max="13830" width="1.7109375" style="216" customWidth="1"/>
    <col min="13831" max="13836" width="15.7109375" style="216" customWidth="1"/>
    <col min="13837" max="13837" width="13.7109375" style="216" customWidth="1"/>
    <col min="13838" max="13838" width="40.7109375" style="216" customWidth="1"/>
    <col min="13839" max="14081" width="9.140625" style="216"/>
    <col min="14082" max="14082" width="2.85546875" style="216" customWidth="1"/>
    <col min="14083" max="14083" width="5" style="216" customWidth="1"/>
    <col min="14084" max="14084" width="62" style="216" customWidth="1"/>
    <col min="14085" max="14085" width="12.7109375" style="216" bestFit="1" customWidth="1"/>
    <col min="14086" max="14086" width="1.7109375" style="216" customWidth="1"/>
    <col min="14087" max="14092" width="15.7109375" style="216" customWidth="1"/>
    <col min="14093" max="14093" width="13.7109375" style="216" customWidth="1"/>
    <col min="14094" max="14094" width="40.7109375" style="216" customWidth="1"/>
    <col min="14095" max="14337" width="9.140625" style="216"/>
    <col min="14338" max="14338" width="2.85546875" style="216" customWidth="1"/>
    <col min="14339" max="14339" width="5" style="216" customWidth="1"/>
    <col min="14340" max="14340" width="62" style="216" customWidth="1"/>
    <col min="14341" max="14341" width="12.7109375" style="216" bestFit="1" customWidth="1"/>
    <col min="14342" max="14342" width="1.7109375" style="216" customWidth="1"/>
    <col min="14343" max="14348" width="15.7109375" style="216" customWidth="1"/>
    <col min="14349" max="14349" width="13.7109375" style="216" customWidth="1"/>
    <col min="14350" max="14350" width="40.7109375" style="216" customWidth="1"/>
    <col min="14351" max="14593" width="9.140625" style="216"/>
    <col min="14594" max="14594" width="2.85546875" style="216" customWidth="1"/>
    <col min="14595" max="14595" width="5" style="216" customWidth="1"/>
    <col min="14596" max="14596" width="62" style="216" customWidth="1"/>
    <col min="14597" max="14597" width="12.7109375" style="216" bestFit="1" customWidth="1"/>
    <col min="14598" max="14598" width="1.7109375" style="216" customWidth="1"/>
    <col min="14599" max="14604" width="15.7109375" style="216" customWidth="1"/>
    <col min="14605" max="14605" width="13.7109375" style="216" customWidth="1"/>
    <col min="14606" max="14606" width="40.7109375" style="216" customWidth="1"/>
    <col min="14607" max="14849" width="9.140625" style="216"/>
    <col min="14850" max="14850" width="2.85546875" style="216" customWidth="1"/>
    <col min="14851" max="14851" width="5" style="216" customWidth="1"/>
    <col min="14852" max="14852" width="62" style="216" customWidth="1"/>
    <col min="14853" max="14853" width="12.7109375" style="216" bestFit="1" customWidth="1"/>
    <col min="14854" max="14854" width="1.7109375" style="216" customWidth="1"/>
    <col min="14855" max="14860" width="15.7109375" style="216" customWidth="1"/>
    <col min="14861" max="14861" width="13.7109375" style="216" customWidth="1"/>
    <col min="14862" max="14862" width="40.7109375" style="216" customWidth="1"/>
    <col min="14863" max="15105" width="9.140625" style="216"/>
    <col min="15106" max="15106" width="2.85546875" style="216" customWidth="1"/>
    <col min="15107" max="15107" width="5" style="216" customWidth="1"/>
    <col min="15108" max="15108" width="62" style="216" customWidth="1"/>
    <col min="15109" max="15109" width="12.7109375" style="216" bestFit="1" customWidth="1"/>
    <col min="15110" max="15110" width="1.7109375" style="216" customWidth="1"/>
    <col min="15111" max="15116" width="15.7109375" style="216" customWidth="1"/>
    <col min="15117" max="15117" width="13.7109375" style="216" customWidth="1"/>
    <col min="15118" max="15118" width="40.7109375" style="216" customWidth="1"/>
    <col min="15119" max="15361" width="9.140625" style="216"/>
    <col min="15362" max="15362" width="2.85546875" style="216" customWidth="1"/>
    <col min="15363" max="15363" width="5" style="216" customWidth="1"/>
    <col min="15364" max="15364" width="62" style="216" customWidth="1"/>
    <col min="15365" max="15365" width="12.7109375" style="216" bestFit="1" customWidth="1"/>
    <col min="15366" max="15366" width="1.7109375" style="216" customWidth="1"/>
    <col min="15367" max="15372" width="15.7109375" style="216" customWidth="1"/>
    <col min="15373" max="15373" width="13.7109375" style="216" customWidth="1"/>
    <col min="15374" max="15374" width="40.7109375" style="216" customWidth="1"/>
    <col min="15375" max="15617" width="9.140625" style="216"/>
    <col min="15618" max="15618" width="2.85546875" style="216" customWidth="1"/>
    <col min="15619" max="15619" width="5" style="216" customWidth="1"/>
    <col min="15620" max="15620" width="62" style="216" customWidth="1"/>
    <col min="15621" max="15621" width="12.7109375" style="216" bestFit="1" customWidth="1"/>
    <col min="15622" max="15622" width="1.7109375" style="216" customWidth="1"/>
    <col min="15623" max="15628" width="15.7109375" style="216" customWidth="1"/>
    <col min="15629" max="15629" width="13.7109375" style="216" customWidth="1"/>
    <col min="15630" max="15630" width="40.7109375" style="216" customWidth="1"/>
    <col min="15631" max="15873" width="9.140625" style="216"/>
    <col min="15874" max="15874" width="2.85546875" style="216" customWidth="1"/>
    <col min="15875" max="15875" width="5" style="216" customWidth="1"/>
    <col min="15876" max="15876" width="62" style="216" customWidth="1"/>
    <col min="15877" max="15877" width="12.7109375" style="216" bestFit="1" customWidth="1"/>
    <col min="15878" max="15878" width="1.7109375" style="216" customWidth="1"/>
    <col min="15879" max="15884" width="15.7109375" style="216" customWidth="1"/>
    <col min="15885" max="15885" width="13.7109375" style="216" customWidth="1"/>
    <col min="15886" max="15886" width="40.7109375" style="216" customWidth="1"/>
    <col min="15887" max="16129" width="9.140625" style="216"/>
    <col min="16130" max="16130" width="2.85546875" style="216" customWidth="1"/>
    <col min="16131" max="16131" width="5" style="216" customWidth="1"/>
    <col min="16132" max="16132" width="62" style="216" customWidth="1"/>
    <col min="16133" max="16133" width="12.7109375" style="216" bestFit="1" customWidth="1"/>
    <col min="16134" max="16134" width="1.7109375" style="216" customWidth="1"/>
    <col min="16135" max="16140" width="15.7109375" style="216" customWidth="1"/>
    <col min="16141" max="16141" width="13.7109375" style="216" customWidth="1"/>
    <col min="16142" max="16142" width="40.7109375" style="216" customWidth="1"/>
    <col min="16143" max="16384" width="9.140625" style="216"/>
  </cols>
  <sheetData>
    <row r="1" spans="2:14" x14ac:dyDescent="0.2">
      <c r="L1" s="217" t="s">
        <v>419</v>
      </c>
      <c r="M1" s="766" t="str">
        <f>EBNUMBER</f>
        <v>EB-2014-0113</v>
      </c>
    </row>
    <row r="2" spans="2:14" x14ac:dyDescent="0.2">
      <c r="L2" s="217" t="s">
        <v>420</v>
      </c>
      <c r="M2" s="767">
        <v>1</v>
      </c>
    </row>
    <row r="3" spans="2:14" x14ac:dyDescent="0.2">
      <c r="L3" s="217" t="s">
        <v>421</v>
      </c>
      <c r="M3" s="767">
        <v>2</v>
      </c>
    </row>
    <row r="4" spans="2:14" x14ac:dyDescent="0.2">
      <c r="L4" s="217" t="s">
        <v>422</v>
      </c>
      <c r="M4" s="767">
        <v>2</v>
      </c>
    </row>
    <row r="5" spans="2:14" x14ac:dyDescent="0.2">
      <c r="L5" s="217" t="s">
        <v>423</v>
      </c>
      <c r="M5" s="768"/>
    </row>
    <row r="6" spans="2:14" x14ac:dyDescent="0.2">
      <c r="F6" s="216" t="s">
        <v>2042</v>
      </c>
      <c r="L6" s="217"/>
      <c r="M6" s="766"/>
    </row>
    <row r="7" spans="2:14" x14ac:dyDescent="0.2">
      <c r="L7" s="217" t="s">
        <v>424</v>
      </c>
      <c r="M7" s="1467">
        <v>42119</v>
      </c>
    </row>
    <row r="9" spans="2:14" ht="18" x14ac:dyDescent="0.25">
      <c r="B9" s="1856" t="s">
        <v>241</v>
      </c>
      <c r="C9" s="1967"/>
      <c r="D9" s="1967"/>
      <c r="E9" s="1967"/>
      <c r="F9" s="1967"/>
      <c r="G9" s="1967"/>
      <c r="H9" s="1967"/>
      <c r="I9" s="1967"/>
      <c r="J9" s="1967"/>
      <c r="K9" s="1967"/>
      <c r="L9" s="1967"/>
      <c r="M9" s="1967"/>
      <c r="N9" s="1967"/>
    </row>
    <row r="10" spans="2:14" ht="18" x14ac:dyDescent="0.25">
      <c r="B10" s="1856" t="s">
        <v>567</v>
      </c>
      <c r="C10" s="1968"/>
      <c r="D10" s="1968"/>
      <c r="E10" s="1968"/>
      <c r="F10" s="1968"/>
      <c r="G10" s="1968"/>
      <c r="H10" s="1968"/>
      <c r="I10" s="1968"/>
      <c r="J10" s="1968"/>
      <c r="K10" s="1968"/>
      <c r="L10" s="1968"/>
      <c r="M10" s="1968"/>
      <c r="N10" s="1968"/>
    </row>
    <row r="12" spans="2:14" ht="27" customHeight="1" x14ac:dyDescent="0.2">
      <c r="B12" s="1947" t="s">
        <v>568</v>
      </c>
      <c r="C12" s="1947"/>
      <c r="D12" s="1947"/>
      <c r="E12" s="1947"/>
      <c r="F12" s="1947"/>
      <c r="G12" s="1968"/>
      <c r="H12" s="1968"/>
      <c r="I12" s="1968"/>
      <c r="J12" s="1968"/>
      <c r="K12" s="1968"/>
      <c r="L12" s="1968"/>
      <c r="M12" s="1968"/>
      <c r="N12" s="1968"/>
    </row>
    <row r="13" spans="2:14" ht="13.5" thickBot="1" x14ac:dyDescent="0.25"/>
    <row r="14" spans="2:14" ht="14.25" x14ac:dyDescent="0.2">
      <c r="B14" s="2230" t="s">
        <v>569</v>
      </c>
      <c r="C14" s="2231"/>
      <c r="D14" s="2231"/>
      <c r="E14" s="243"/>
      <c r="F14" s="1413" t="s">
        <v>570</v>
      </c>
      <c r="G14" s="1413" t="s">
        <v>570</v>
      </c>
      <c r="H14" s="1413" t="s">
        <v>570</v>
      </c>
      <c r="I14" s="1413" t="s">
        <v>570</v>
      </c>
      <c r="J14" s="1413" t="s">
        <v>571</v>
      </c>
      <c r="K14" s="1413" t="s">
        <v>572</v>
      </c>
      <c r="L14" s="1413" t="s">
        <v>573</v>
      </c>
      <c r="M14" s="1413" t="s">
        <v>523</v>
      </c>
      <c r="N14" s="2234" t="s">
        <v>574</v>
      </c>
    </row>
    <row r="15" spans="2:14" x14ac:dyDescent="0.2">
      <c r="B15" s="2232"/>
      <c r="C15" s="2233"/>
      <c r="D15" s="2233"/>
      <c r="E15" s="245"/>
      <c r="F15" s="1414" t="s">
        <v>575</v>
      </c>
      <c r="G15" s="1414" t="s">
        <v>575</v>
      </c>
      <c r="H15" s="1414" t="s">
        <v>575</v>
      </c>
      <c r="I15" s="1414" t="s">
        <v>575</v>
      </c>
      <c r="J15" s="1414" t="s">
        <v>576</v>
      </c>
      <c r="K15" s="1414" t="s">
        <v>577</v>
      </c>
      <c r="L15" s="1414" t="s">
        <v>578</v>
      </c>
      <c r="M15" s="1414"/>
      <c r="N15" s="2235"/>
    </row>
    <row r="16" spans="2:14" ht="16.5" customHeight="1" x14ac:dyDescent="0.2">
      <c r="B16" s="2232"/>
      <c r="C16" s="2233"/>
      <c r="D16" s="2233"/>
      <c r="E16" s="245"/>
      <c r="F16" s="1415">
        <v>2009</v>
      </c>
      <c r="G16" s="1415">
        <v>2010</v>
      </c>
      <c r="H16" s="1415">
        <v>2011</v>
      </c>
      <c r="I16" s="1415">
        <v>2012</v>
      </c>
      <c r="J16" s="1415" t="s">
        <v>890</v>
      </c>
      <c r="K16" s="1416" t="s">
        <v>890</v>
      </c>
      <c r="L16" s="1416">
        <v>41274</v>
      </c>
      <c r="M16" s="1416"/>
      <c r="N16" s="2236"/>
    </row>
    <row r="17" spans="2:14" x14ac:dyDescent="0.2">
      <c r="B17" s="2224" t="s">
        <v>579</v>
      </c>
      <c r="C17" s="2225"/>
      <c r="D17" s="2226"/>
      <c r="E17" s="248"/>
      <c r="F17" s="259"/>
      <c r="G17" s="260">
        <v>45645</v>
      </c>
      <c r="H17" s="260">
        <v>15560.55</v>
      </c>
      <c r="I17" s="260"/>
      <c r="J17" s="260">
        <v>916.86</v>
      </c>
      <c r="K17" s="249">
        <f>SUM(F17:J17)</f>
        <v>62122.41</v>
      </c>
      <c r="L17" s="321"/>
      <c r="M17" s="321"/>
      <c r="N17" s="260" t="s">
        <v>2060</v>
      </c>
    </row>
    <row r="18" spans="2:14" x14ac:dyDescent="0.2">
      <c r="B18" s="1961" t="s">
        <v>580</v>
      </c>
      <c r="C18" s="1962"/>
      <c r="D18" s="2223"/>
      <c r="E18" s="248"/>
      <c r="F18" s="260"/>
      <c r="G18" s="260"/>
      <c r="H18" s="260"/>
      <c r="I18" s="260"/>
      <c r="J18" s="260"/>
      <c r="K18" s="249">
        <f t="shared" ref="K18:K28" si="0">SUM(F18:J18)</f>
        <v>0</v>
      </c>
      <c r="L18" s="322"/>
      <c r="M18" s="322"/>
      <c r="N18" s="260"/>
    </row>
    <row r="19" spans="2:14" x14ac:dyDescent="0.2">
      <c r="B19" s="2224" t="s">
        <v>581</v>
      </c>
      <c r="C19" s="2225"/>
      <c r="D19" s="2226"/>
      <c r="E19" s="248"/>
      <c r="F19" s="260"/>
      <c r="G19" s="260"/>
      <c r="H19" s="260"/>
      <c r="I19" s="260"/>
      <c r="J19" s="260"/>
      <c r="K19" s="249">
        <f t="shared" si="0"/>
        <v>0</v>
      </c>
      <c r="L19" s="322"/>
      <c r="M19" s="322"/>
      <c r="N19" s="260"/>
    </row>
    <row r="20" spans="2:14" x14ac:dyDescent="0.2">
      <c r="B20" s="2227" t="s">
        <v>582</v>
      </c>
      <c r="C20" s="2228"/>
      <c r="D20" s="2229"/>
      <c r="E20" s="248"/>
      <c r="F20" s="260"/>
      <c r="G20" s="260"/>
      <c r="H20" s="260"/>
      <c r="I20" s="260"/>
      <c r="J20" s="260"/>
      <c r="K20" s="249">
        <f t="shared" si="0"/>
        <v>0</v>
      </c>
      <c r="L20" s="322"/>
      <c r="M20" s="322"/>
      <c r="N20" s="260"/>
    </row>
    <row r="21" spans="2:14" ht="24" customHeight="1" x14ac:dyDescent="0.2">
      <c r="B21" s="1961" t="s">
        <v>583</v>
      </c>
      <c r="C21" s="1962"/>
      <c r="D21" s="2223"/>
      <c r="E21" s="248"/>
      <c r="F21" s="260"/>
      <c r="G21" s="260"/>
      <c r="H21" s="260"/>
      <c r="I21" s="260"/>
      <c r="J21" s="260"/>
      <c r="K21" s="249">
        <f t="shared" si="0"/>
        <v>0</v>
      </c>
      <c r="L21" s="322"/>
      <c r="M21" s="322"/>
      <c r="N21" s="260"/>
    </row>
    <row r="22" spans="2:14" x14ac:dyDescent="0.2">
      <c r="B22" s="1914"/>
      <c r="C22" s="1915"/>
      <c r="D22" s="2218"/>
      <c r="E22" s="248"/>
      <c r="F22" s="260"/>
      <c r="G22" s="260"/>
      <c r="H22" s="260"/>
      <c r="I22" s="260"/>
      <c r="J22" s="260"/>
      <c r="K22" s="249">
        <f t="shared" si="0"/>
        <v>0</v>
      </c>
      <c r="L22" s="322"/>
      <c r="M22" s="322"/>
      <c r="N22" s="260"/>
    </row>
    <row r="23" spans="2:14" ht="24.95" customHeight="1" x14ac:dyDescent="0.2">
      <c r="B23" s="1926"/>
      <c r="C23" s="1927"/>
      <c r="D23" s="2219"/>
      <c r="E23" s="248"/>
      <c r="F23" s="260"/>
      <c r="G23" s="260"/>
      <c r="H23" s="260"/>
      <c r="I23" s="260"/>
      <c r="J23" s="260"/>
      <c r="K23" s="249">
        <f t="shared" si="0"/>
        <v>0</v>
      </c>
      <c r="L23" s="322"/>
      <c r="M23" s="322"/>
      <c r="N23" s="260"/>
    </row>
    <row r="24" spans="2:14" ht="24.95" customHeight="1" x14ac:dyDescent="0.2">
      <c r="B24" s="1926"/>
      <c r="C24" s="1927"/>
      <c r="D24" s="2219"/>
      <c r="E24" s="248"/>
      <c r="F24" s="260"/>
      <c r="G24" s="260"/>
      <c r="H24" s="260"/>
      <c r="I24" s="260"/>
      <c r="J24" s="260"/>
      <c r="K24" s="249">
        <f t="shared" si="0"/>
        <v>0</v>
      </c>
      <c r="L24" s="322"/>
      <c r="M24" s="322"/>
      <c r="N24" s="260"/>
    </row>
    <row r="25" spans="2:14" ht="13.5" customHeight="1" x14ac:dyDescent="0.2">
      <c r="B25" s="1914"/>
      <c r="C25" s="1915"/>
      <c r="D25" s="2218"/>
      <c r="E25" s="248"/>
      <c r="F25" s="260"/>
      <c r="G25" s="260"/>
      <c r="H25" s="260"/>
      <c r="I25" s="260"/>
      <c r="J25" s="260"/>
      <c r="K25" s="249">
        <f t="shared" si="0"/>
        <v>0</v>
      </c>
      <c r="L25" s="322"/>
      <c r="M25" s="322"/>
      <c r="N25" s="260"/>
    </row>
    <row r="26" spans="2:14" ht="32.25" customHeight="1" x14ac:dyDescent="0.2">
      <c r="B26" s="1923" t="s">
        <v>891</v>
      </c>
      <c r="C26" s="1924"/>
      <c r="D26" s="2217"/>
      <c r="E26" s="248"/>
      <c r="F26" s="260"/>
      <c r="G26" s="260"/>
      <c r="H26" s="260"/>
      <c r="I26" s="260"/>
      <c r="J26" s="260"/>
      <c r="K26" s="249">
        <f t="shared" si="0"/>
        <v>0</v>
      </c>
      <c r="L26" s="322"/>
      <c r="M26" s="322"/>
      <c r="N26" s="260"/>
    </row>
    <row r="27" spans="2:14" ht="27" customHeight="1" x14ac:dyDescent="0.2">
      <c r="B27" s="1923"/>
      <c r="C27" s="1924"/>
      <c r="D27" s="2217"/>
      <c r="E27" s="248"/>
      <c r="F27" s="260"/>
      <c r="G27" s="260"/>
      <c r="H27" s="260"/>
      <c r="I27" s="260"/>
      <c r="J27" s="260"/>
      <c r="K27" s="249">
        <f t="shared" si="0"/>
        <v>0</v>
      </c>
      <c r="L27" s="322"/>
      <c r="M27" s="322"/>
      <c r="N27" s="260"/>
    </row>
    <row r="28" spans="2:14" ht="13.5" thickBot="1" x14ac:dyDescent="0.25">
      <c r="B28" s="1949" t="s">
        <v>257</v>
      </c>
      <c r="C28" s="1950"/>
      <c r="D28" s="2215"/>
      <c r="E28" s="248"/>
      <c r="F28" s="261"/>
      <c r="G28" s="261"/>
      <c r="H28" s="261"/>
      <c r="I28" s="261"/>
      <c r="J28" s="261"/>
      <c r="K28" s="249">
        <f t="shared" si="0"/>
        <v>0</v>
      </c>
      <c r="L28" s="322"/>
      <c r="M28" s="322"/>
      <c r="N28" s="261"/>
    </row>
    <row r="29" spans="2:14" ht="14.25" thickTop="1" thickBot="1" x14ac:dyDescent="0.25">
      <c r="B29" s="1952" t="s">
        <v>413</v>
      </c>
      <c r="C29" s="1953"/>
      <c r="D29" s="2216"/>
      <c r="E29" s="250"/>
      <c r="F29" s="90">
        <f t="shared" ref="F29:K29" si="1">SUM(F17:F28)</f>
        <v>0</v>
      </c>
      <c r="G29" s="90">
        <f t="shared" si="1"/>
        <v>45645</v>
      </c>
      <c r="H29" s="90">
        <f t="shared" si="1"/>
        <v>15560.55</v>
      </c>
      <c r="I29" s="90">
        <f t="shared" si="1"/>
        <v>0</v>
      </c>
      <c r="J29" s="90">
        <f t="shared" si="1"/>
        <v>916.86</v>
      </c>
      <c r="K29" s="90">
        <f t="shared" si="1"/>
        <v>62122.41</v>
      </c>
      <c r="L29" s="262"/>
      <c r="M29" s="263">
        <f>+K29-L29</f>
        <v>62122.41</v>
      </c>
      <c r="N29" s="264"/>
    </row>
    <row r="31" spans="2:14" x14ac:dyDescent="0.2">
      <c r="B31" s="217"/>
      <c r="C31" s="217"/>
      <c r="D31" s="217"/>
      <c r="E31" s="236"/>
      <c r="F31" s="236"/>
    </row>
    <row r="32" spans="2:14" x14ac:dyDescent="0.2">
      <c r="B32" s="217" t="s">
        <v>177</v>
      </c>
      <c r="C32" s="236"/>
      <c r="D32" s="236"/>
      <c r="E32" s="236"/>
      <c r="F32" s="236"/>
    </row>
    <row r="33" spans="2:14" ht="36" customHeight="1" x14ac:dyDescent="0.2">
      <c r="B33" s="2213">
        <v>1</v>
      </c>
      <c r="C33" s="1958" t="s">
        <v>584</v>
      </c>
      <c r="D33" s="1959"/>
      <c r="E33" s="1959"/>
      <c r="F33" s="1959"/>
      <c r="G33" s="1947"/>
      <c r="H33" s="1947"/>
      <c r="I33" s="1947"/>
      <c r="J33" s="1947"/>
      <c r="K33" s="1947"/>
      <c r="L33" s="1947"/>
      <c r="M33" s="1947"/>
      <c r="N33" s="1947"/>
    </row>
    <row r="34" spans="2:14" ht="4.5" customHeight="1" x14ac:dyDescent="0.2">
      <c r="B34" s="2213"/>
      <c r="C34" s="1959"/>
      <c r="D34" s="1959"/>
      <c r="E34" s="1959"/>
      <c r="F34" s="1959"/>
      <c r="G34" s="1947"/>
      <c r="H34" s="1947"/>
      <c r="I34" s="1947"/>
      <c r="J34" s="1947"/>
      <c r="K34" s="1947"/>
      <c r="L34" s="1947"/>
      <c r="M34" s="1947"/>
      <c r="N34" s="1947"/>
    </row>
    <row r="35" spans="2:14" x14ac:dyDescent="0.2">
      <c r="B35" s="285">
        <v>2</v>
      </c>
      <c r="C35" s="236" t="s">
        <v>585</v>
      </c>
      <c r="D35" s="236"/>
      <c r="E35" s="236"/>
      <c r="F35" s="236"/>
    </row>
    <row r="36" spans="2:14" x14ac:dyDescent="0.2">
      <c r="B36" s="688">
        <v>3</v>
      </c>
      <c r="C36" s="1958" t="s">
        <v>892</v>
      </c>
      <c r="D36" s="1958"/>
      <c r="E36" s="1958"/>
      <c r="F36" s="1958"/>
      <c r="G36" s="260"/>
    </row>
    <row r="37" spans="2:14" ht="12.75" customHeight="1" x14ac:dyDescent="0.2">
      <c r="B37" s="1948"/>
      <c r="C37" s="1868"/>
      <c r="D37" s="1868"/>
      <c r="E37" s="1868"/>
      <c r="F37" s="1868"/>
      <c r="G37" s="687"/>
    </row>
    <row r="38" spans="2:14" x14ac:dyDescent="0.2">
      <c r="B38" s="1948"/>
      <c r="C38" s="1868"/>
      <c r="D38" s="1868"/>
      <c r="E38" s="1868"/>
      <c r="F38" s="1868"/>
      <c r="G38" s="687"/>
    </row>
    <row r="39" spans="2:14" x14ac:dyDescent="0.2">
      <c r="B39" s="242"/>
      <c r="C39" s="236"/>
      <c r="D39" s="236"/>
      <c r="E39" s="236"/>
      <c r="F39" s="236"/>
    </row>
    <row r="40" spans="2:14" ht="12.75" customHeight="1" x14ac:dyDescent="0.2">
      <c r="B40" s="1948"/>
      <c r="C40" s="1868"/>
      <c r="D40" s="1868"/>
      <c r="E40" s="1868"/>
      <c r="F40" s="1868"/>
      <c r="G40" s="687"/>
      <c r="H40" s="687"/>
      <c r="I40" s="687"/>
      <c r="J40" s="687"/>
      <c r="K40" s="687"/>
      <c r="L40" s="687"/>
    </row>
    <row r="41" spans="2:14" x14ac:dyDescent="0.2">
      <c r="B41" s="1948"/>
      <c r="C41" s="1959"/>
      <c r="D41" s="1959"/>
      <c r="E41" s="1959"/>
      <c r="F41" s="1959"/>
      <c r="G41" s="687"/>
      <c r="H41" s="687"/>
      <c r="I41" s="687"/>
      <c r="J41" s="687"/>
      <c r="K41" s="687"/>
      <c r="L41" s="687"/>
    </row>
    <row r="42" spans="2:14" ht="12.75" customHeight="1" x14ac:dyDescent="0.2">
      <c r="B42" s="242"/>
      <c r="C42" s="689"/>
      <c r="D42" s="689"/>
      <c r="E42" s="689"/>
      <c r="F42" s="689"/>
      <c r="G42" s="687"/>
      <c r="H42" s="687"/>
      <c r="I42" s="687"/>
      <c r="J42" s="687"/>
      <c r="K42" s="687"/>
      <c r="L42" s="687"/>
    </row>
    <row r="43" spans="2:14" x14ac:dyDescent="0.2">
      <c r="B43" s="1960"/>
      <c r="C43" s="1868"/>
      <c r="D43" s="1868"/>
      <c r="E43" s="1868"/>
      <c r="F43" s="1868"/>
      <c r="G43" s="687"/>
      <c r="H43" s="687"/>
      <c r="I43" s="687"/>
      <c r="J43" s="687"/>
      <c r="K43" s="687"/>
      <c r="L43" s="687"/>
    </row>
    <row r="44" spans="2:14" x14ac:dyDescent="0.2">
      <c r="B44" s="1960"/>
      <c r="C44" s="1868"/>
      <c r="D44" s="1868"/>
      <c r="E44" s="1868"/>
      <c r="F44" s="1868"/>
      <c r="G44" s="687"/>
      <c r="H44" s="687"/>
      <c r="I44" s="687"/>
      <c r="J44" s="687"/>
      <c r="K44" s="687"/>
      <c r="L44" s="687"/>
    </row>
    <row r="45" spans="2:14" x14ac:dyDescent="0.2">
      <c r="B45" s="1960"/>
      <c r="C45" s="1959"/>
      <c r="D45" s="1959"/>
      <c r="E45" s="1959"/>
      <c r="F45" s="1959"/>
      <c r="G45" s="687"/>
      <c r="H45" s="687"/>
      <c r="I45" s="687"/>
      <c r="J45" s="687"/>
      <c r="K45" s="687"/>
      <c r="L45" s="687"/>
    </row>
    <row r="46" spans="2:14" x14ac:dyDescent="0.2">
      <c r="B46" s="1960"/>
      <c r="C46" s="1959"/>
      <c r="D46" s="1959"/>
      <c r="E46" s="1959"/>
      <c r="F46" s="1959"/>
      <c r="G46" s="687"/>
      <c r="H46" s="687"/>
      <c r="I46" s="687"/>
      <c r="J46" s="687"/>
      <c r="K46" s="687"/>
      <c r="L46" s="687"/>
    </row>
    <row r="47" spans="2:14" x14ac:dyDescent="0.2">
      <c r="B47" s="242"/>
      <c r="C47" s="236"/>
      <c r="D47" s="236"/>
      <c r="E47" s="236"/>
      <c r="F47" s="236"/>
    </row>
    <row r="48" spans="2:14" ht="12.75" customHeight="1" x14ac:dyDescent="0.2">
      <c r="B48" s="1948"/>
      <c r="C48" s="1868"/>
      <c r="D48" s="1868"/>
      <c r="E48" s="1868"/>
      <c r="F48" s="1868"/>
      <c r="G48" s="687"/>
      <c r="H48" s="687"/>
      <c r="I48" s="687"/>
      <c r="J48" s="687"/>
      <c r="K48" s="687"/>
      <c r="L48" s="687"/>
    </row>
    <row r="49" spans="2:12" x14ac:dyDescent="0.2">
      <c r="B49" s="1948"/>
      <c r="C49" s="1868"/>
      <c r="D49" s="1868"/>
      <c r="E49" s="1868"/>
      <c r="F49" s="1868"/>
      <c r="G49" s="687"/>
      <c r="H49" s="687"/>
      <c r="I49" s="687"/>
      <c r="J49" s="687"/>
      <c r="K49" s="687"/>
      <c r="L49" s="687"/>
    </row>
    <row r="51" spans="2:12" ht="12.75" customHeight="1" x14ac:dyDescent="0.2"/>
  </sheetData>
  <mergeCells count="29">
    <mergeCell ref="B17:D17"/>
    <mergeCell ref="B9:N9"/>
    <mergeCell ref="B10:N10"/>
    <mergeCell ref="B12:N12"/>
    <mergeCell ref="B14:D16"/>
    <mergeCell ref="N14:N16"/>
    <mergeCell ref="B29:D29"/>
    <mergeCell ref="B18:D18"/>
    <mergeCell ref="B19:D19"/>
    <mergeCell ref="B20:D20"/>
    <mergeCell ref="B21:D21"/>
    <mergeCell ref="B22:D22"/>
    <mergeCell ref="B23:D23"/>
    <mergeCell ref="B24:D24"/>
    <mergeCell ref="B25:D25"/>
    <mergeCell ref="B26:D26"/>
    <mergeCell ref="B27:D27"/>
    <mergeCell ref="B28:D28"/>
    <mergeCell ref="B43:B46"/>
    <mergeCell ref="C43:F46"/>
    <mergeCell ref="B48:B49"/>
    <mergeCell ref="C48:F49"/>
    <mergeCell ref="B33:B34"/>
    <mergeCell ref="C33:N34"/>
    <mergeCell ref="C36:F36"/>
    <mergeCell ref="B37:B38"/>
    <mergeCell ref="C37:F38"/>
    <mergeCell ref="B40:B41"/>
    <mergeCell ref="C40:F41"/>
  </mergeCells>
  <dataValidations disablePrompts="1" count="1">
    <dataValidation allowBlank="1" showInputMessage="1" showErrorMessage="1" promptTitle="Date Format" prompt="E.g:  &quot;August 1, 2011&quot;" sqref="WVO983045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F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F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F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F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F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F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F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F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F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F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F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F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F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F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1:S30"/>
  <sheetViews>
    <sheetView showGridLines="0" topLeftCell="L1" zoomScaleNormal="100" workbookViewId="0">
      <selection activeCell="Q31" sqref="Q31"/>
    </sheetView>
  </sheetViews>
  <sheetFormatPr defaultRowHeight="12.75" x14ac:dyDescent="0.2"/>
  <cols>
    <col min="1" max="1" width="2" customWidth="1"/>
    <col min="2" max="2" width="23.85546875" customWidth="1"/>
    <col min="3" max="3" width="12.7109375" customWidth="1"/>
    <col min="4" max="5" width="11.7109375" customWidth="1"/>
    <col min="6" max="6" width="13.7109375" customWidth="1"/>
    <col min="7" max="8" width="12.7109375" customWidth="1"/>
    <col min="9" max="11" width="10.7109375" customWidth="1"/>
    <col min="12" max="12" width="15.5703125" customWidth="1"/>
    <col min="13" max="13" width="0.85546875" customWidth="1"/>
    <col min="14" max="17" width="13.5703125" customWidth="1"/>
    <col min="19" max="19" width="14" bestFit="1" customWidth="1"/>
  </cols>
  <sheetData>
    <row r="1" spans="2:19" x14ac:dyDescent="0.2">
      <c r="P1" s="14" t="s">
        <v>419</v>
      </c>
      <c r="Q1" s="766" t="str">
        <f>EBNUMBER</f>
        <v>EB-2014-0113</v>
      </c>
    </row>
    <row r="2" spans="2:19" x14ac:dyDescent="0.2">
      <c r="P2" s="14" t="s">
        <v>420</v>
      </c>
      <c r="Q2" s="209">
        <v>1</v>
      </c>
    </row>
    <row r="3" spans="2:19" x14ac:dyDescent="0.2">
      <c r="P3" s="14" t="s">
        <v>421</v>
      </c>
      <c r="Q3" s="209">
        <v>2</v>
      </c>
    </row>
    <row r="4" spans="2:19" x14ac:dyDescent="0.2">
      <c r="P4" s="14" t="s">
        <v>422</v>
      </c>
      <c r="Q4" s="209">
        <v>2</v>
      </c>
    </row>
    <row r="5" spans="2:19" x14ac:dyDescent="0.2">
      <c r="P5" s="14" t="s">
        <v>423</v>
      </c>
      <c r="Q5" s="210"/>
    </row>
    <row r="6" spans="2:19" x14ac:dyDescent="0.2">
      <c r="P6" s="14"/>
      <c r="Q6" s="208"/>
    </row>
    <row r="7" spans="2:19" x14ac:dyDescent="0.2">
      <c r="P7" s="14" t="s">
        <v>424</v>
      </c>
      <c r="Q7" s="1466">
        <v>42119</v>
      </c>
    </row>
    <row r="9" spans="2:19" ht="18" x14ac:dyDescent="0.25">
      <c r="B9" s="1746" t="s">
        <v>39</v>
      </c>
      <c r="C9" s="1746"/>
      <c r="D9" s="1746"/>
      <c r="E9" s="1746"/>
      <c r="F9" s="1746"/>
      <c r="G9" s="1746"/>
      <c r="H9" s="1746"/>
      <c r="I9" s="1746"/>
      <c r="J9" s="1746"/>
      <c r="K9" s="1746"/>
      <c r="L9" s="1746"/>
      <c r="M9" s="1746"/>
      <c r="N9" s="1746"/>
      <c r="O9" s="1746"/>
      <c r="P9" s="1746"/>
      <c r="Q9" s="1746"/>
    </row>
    <row r="10" spans="2:19" ht="18" x14ac:dyDescent="0.25">
      <c r="B10" s="1746" t="s">
        <v>102</v>
      </c>
      <c r="C10" s="1746"/>
      <c r="D10" s="1746"/>
      <c r="E10" s="1746"/>
      <c r="F10" s="1746"/>
      <c r="G10" s="1746"/>
      <c r="H10" s="1746"/>
      <c r="I10" s="1746"/>
      <c r="J10" s="1746"/>
      <c r="K10" s="1746"/>
      <c r="L10" s="1746"/>
      <c r="M10" s="1746"/>
      <c r="N10" s="1746"/>
      <c r="O10" s="1746"/>
      <c r="P10" s="1746"/>
      <c r="Q10" s="1746"/>
    </row>
    <row r="11" spans="2:19" ht="13.5" thickBot="1" x14ac:dyDescent="0.25"/>
    <row r="12" spans="2:19" ht="13.5" customHeight="1" thickBot="1" x14ac:dyDescent="0.25">
      <c r="B12" s="153" t="s">
        <v>103</v>
      </c>
      <c r="C12" s="2237" t="s">
        <v>104</v>
      </c>
      <c r="D12" s="1779" t="s">
        <v>105</v>
      </c>
      <c r="E12" s="1780"/>
      <c r="F12" s="1781"/>
      <c r="G12" s="2239" t="s">
        <v>106</v>
      </c>
      <c r="H12" s="2240"/>
      <c r="I12" s="2245" t="s">
        <v>107</v>
      </c>
      <c r="J12" s="2239"/>
      <c r="K12" s="2240"/>
      <c r="L12" s="2237" t="s">
        <v>108</v>
      </c>
      <c r="M12" s="113"/>
      <c r="N12" s="2237" t="s">
        <v>286</v>
      </c>
      <c r="O12" s="2237" t="s">
        <v>109</v>
      </c>
      <c r="P12" s="2237" t="s">
        <v>413</v>
      </c>
      <c r="Q12" s="2241" t="s">
        <v>110</v>
      </c>
    </row>
    <row r="13" spans="2:19" ht="39" thickBot="1" x14ac:dyDescent="0.25">
      <c r="B13" s="154"/>
      <c r="C13" s="2238"/>
      <c r="D13" s="155" t="s">
        <v>111</v>
      </c>
      <c r="E13" s="155" t="s">
        <v>112</v>
      </c>
      <c r="F13" s="156" t="s">
        <v>113</v>
      </c>
      <c r="G13" s="156" t="s">
        <v>114</v>
      </c>
      <c r="H13" s="157" t="s">
        <v>115</v>
      </c>
      <c r="I13" s="155" t="s">
        <v>27</v>
      </c>
      <c r="J13" s="2243" t="s">
        <v>116</v>
      </c>
      <c r="K13" s="2244"/>
      <c r="L13" s="2238"/>
      <c r="M13" s="114"/>
      <c r="N13" s="2238"/>
      <c r="O13" s="2238"/>
      <c r="P13" s="2238"/>
      <c r="Q13" s="2242"/>
    </row>
    <row r="14" spans="2:19" x14ac:dyDescent="0.2">
      <c r="B14" s="45"/>
      <c r="C14" s="45"/>
      <c r="D14" s="45"/>
      <c r="E14" s="45"/>
      <c r="F14" s="45"/>
      <c r="G14" s="45"/>
      <c r="H14" s="34"/>
      <c r="I14" s="45"/>
      <c r="J14" s="46" t="s">
        <v>114</v>
      </c>
      <c r="K14" s="46" t="s">
        <v>115</v>
      </c>
      <c r="L14" s="48"/>
      <c r="M14" s="115"/>
      <c r="N14" s="48"/>
      <c r="O14" s="48"/>
      <c r="P14" s="48"/>
      <c r="Q14" s="34"/>
    </row>
    <row r="15" spans="2:19" x14ac:dyDescent="0.2">
      <c r="B15" s="45"/>
      <c r="C15" s="45"/>
      <c r="D15" s="45"/>
      <c r="E15" s="45"/>
      <c r="F15" s="45"/>
      <c r="G15" s="45"/>
      <c r="H15" s="34"/>
      <c r="I15" s="45"/>
      <c r="J15" s="45"/>
      <c r="K15" s="45"/>
      <c r="L15" s="45"/>
      <c r="M15" s="115"/>
      <c r="N15" s="45"/>
      <c r="O15" s="45"/>
      <c r="P15" s="45"/>
      <c r="Q15" s="34"/>
      <c r="S15" s="1534"/>
    </row>
    <row r="16" spans="2:19" x14ac:dyDescent="0.2">
      <c r="B16" s="527" t="s">
        <v>117</v>
      </c>
      <c r="C16" s="533" t="s">
        <v>2061</v>
      </c>
      <c r="D16" s="528">
        <v>14973</v>
      </c>
      <c r="E16" s="528">
        <v>15120</v>
      </c>
      <c r="F16" s="52">
        <f t="shared" ref="F16:F21" si="0">IF(SUM(D16:E16)=0,0,AVERAGE(D16:E16))</f>
        <v>15046.5</v>
      </c>
      <c r="G16" s="529">
        <v>121139467</v>
      </c>
      <c r="H16" s="530"/>
      <c r="I16" s="474">
        <v>15.07</v>
      </c>
      <c r="J16" s="531">
        <v>1.78E-2</v>
      </c>
      <c r="K16" s="531"/>
      <c r="L16" s="53">
        <f t="shared" ref="L16:L21" si="1">I16*F16*12+J16*G16+K16*H16</f>
        <v>4877291.5725999996</v>
      </c>
      <c r="M16" s="115"/>
      <c r="N16" s="532">
        <v>4890222</v>
      </c>
      <c r="O16" s="532"/>
      <c r="P16" s="54">
        <f t="shared" ref="P16:P21" si="2">SUM(N16:O16)</f>
        <v>4890222</v>
      </c>
      <c r="Q16" s="55">
        <f>P16-L16</f>
        <v>12930.427400000393</v>
      </c>
      <c r="S16" s="1534"/>
    </row>
    <row r="17" spans="2:19" x14ac:dyDescent="0.2">
      <c r="B17" s="527" t="s">
        <v>118</v>
      </c>
      <c r="C17" s="533" t="s">
        <v>2061</v>
      </c>
      <c r="D17" s="528">
        <v>1728</v>
      </c>
      <c r="E17" s="528">
        <v>1737</v>
      </c>
      <c r="F17" s="52">
        <f t="shared" si="0"/>
        <v>1732.5</v>
      </c>
      <c r="G17" s="529">
        <v>40919528</v>
      </c>
      <c r="H17" s="530"/>
      <c r="I17" s="474">
        <v>24.61</v>
      </c>
      <c r="J17" s="531">
        <v>1.6799999999999999E-2</v>
      </c>
      <c r="K17" s="531"/>
      <c r="L17" s="53">
        <f t="shared" si="1"/>
        <v>1199089.9704</v>
      </c>
      <c r="M17" s="115"/>
      <c r="N17" s="532">
        <v>1199589</v>
      </c>
      <c r="O17" s="532">
        <v>889</v>
      </c>
      <c r="P17" s="54">
        <f t="shared" si="2"/>
        <v>1200478</v>
      </c>
      <c r="Q17" s="55">
        <f t="shared" ref="Q17:Q21" si="3">P17-L17</f>
        <v>1388.0296000000089</v>
      </c>
      <c r="S17" s="1534"/>
    </row>
    <row r="18" spans="2:19" x14ac:dyDescent="0.2">
      <c r="B18" s="527" t="s">
        <v>119</v>
      </c>
      <c r="C18" s="533" t="s">
        <v>2061</v>
      </c>
      <c r="D18" s="528">
        <v>143</v>
      </c>
      <c r="E18" s="528">
        <v>144</v>
      </c>
      <c r="F18" s="52">
        <f t="shared" si="0"/>
        <v>143.5</v>
      </c>
      <c r="G18" s="529">
        <v>117249967</v>
      </c>
      <c r="H18" s="530">
        <v>299044</v>
      </c>
      <c r="I18" s="474">
        <v>81.430000000000007</v>
      </c>
      <c r="J18" s="531"/>
      <c r="K18" s="531">
        <v>3.6257999999999999</v>
      </c>
      <c r="L18" s="53">
        <f>I18*F18*12+J18*G18+K18*H18</f>
        <v>1224496.1952</v>
      </c>
      <c r="M18" s="115"/>
      <c r="N18" s="532">
        <v>1148442</v>
      </c>
      <c r="O18" s="532">
        <v>76554</v>
      </c>
      <c r="P18" s="54">
        <f t="shared" si="2"/>
        <v>1224996</v>
      </c>
      <c r="Q18" s="55">
        <f t="shared" si="3"/>
        <v>499.80480000004172</v>
      </c>
      <c r="S18" s="1534"/>
    </row>
    <row r="19" spans="2:19" x14ac:dyDescent="0.2">
      <c r="B19" s="527" t="s">
        <v>120</v>
      </c>
      <c r="C19" s="533" t="s">
        <v>2062</v>
      </c>
      <c r="D19" s="528">
        <v>4918</v>
      </c>
      <c r="E19" s="528">
        <v>4918</v>
      </c>
      <c r="F19" s="52">
        <f t="shared" si="0"/>
        <v>4918</v>
      </c>
      <c r="G19" s="529">
        <v>3138334</v>
      </c>
      <c r="H19" s="530">
        <v>8685</v>
      </c>
      <c r="I19" s="474">
        <v>3.79</v>
      </c>
      <c r="J19" s="531"/>
      <c r="K19" s="531">
        <v>3.7100000000000001E-2</v>
      </c>
      <c r="L19" s="53">
        <f t="shared" si="1"/>
        <v>223992.85350000003</v>
      </c>
      <c r="M19" s="115"/>
      <c r="N19" s="532">
        <v>224263</v>
      </c>
      <c r="O19" s="532"/>
      <c r="P19" s="54">
        <f t="shared" si="2"/>
        <v>224263</v>
      </c>
      <c r="Q19" s="55">
        <f t="shared" si="3"/>
        <v>270.14649999997346</v>
      </c>
      <c r="S19" s="1534"/>
    </row>
    <row r="20" spans="2:19" x14ac:dyDescent="0.2">
      <c r="B20" s="527" t="s">
        <v>121</v>
      </c>
      <c r="C20" s="533" t="s">
        <v>2062</v>
      </c>
      <c r="D20" s="528">
        <v>52</v>
      </c>
      <c r="E20" s="528">
        <v>52</v>
      </c>
      <c r="F20" s="52">
        <f t="shared" si="0"/>
        <v>52</v>
      </c>
      <c r="G20" s="529">
        <v>22987</v>
      </c>
      <c r="H20" s="530">
        <v>176</v>
      </c>
      <c r="I20" s="474">
        <v>5</v>
      </c>
      <c r="J20" s="531"/>
      <c r="K20" s="531">
        <v>6.0141</v>
      </c>
      <c r="L20" s="53">
        <f t="shared" si="1"/>
        <v>4178.4816000000001</v>
      </c>
      <c r="M20" s="115"/>
      <c r="N20" s="532">
        <v>4182</v>
      </c>
      <c r="O20" s="532"/>
      <c r="P20" s="54">
        <f t="shared" si="2"/>
        <v>4182</v>
      </c>
      <c r="Q20" s="55">
        <f t="shared" si="3"/>
        <v>3.5183999999999287</v>
      </c>
      <c r="S20" s="1534"/>
    </row>
    <row r="21" spans="2:19" ht="13.5" thickBot="1" x14ac:dyDescent="0.25">
      <c r="B21" s="527"/>
      <c r="C21" s="533"/>
      <c r="D21" s="528"/>
      <c r="E21" s="528"/>
      <c r="F21" s="52">
        <f t="shared" si="0"/>
        <v>0</v>
      </c>
      <c r="G21" s="529"/>
      <c r="H21" s="530"/>
      <c r="I21" s="474"/>
      <c r="J21" s="531"/>
      <c r="K21" s="531"/>
      <c r="L21" s="56">
        <f t="shared" si="1"/>
        <v>0</v>
      </c>
      <c r="M21" s="115"/>
      <c r="N21" s="532"/>
      <c r="O21" s="532"/>
      <c r="P21" s="57">
        <f t="shared" si="2"/>
        <v>0</v>
      </c>
      <c r="Q21" s="57">
        <f t="shared" si="3"/>
        <v>0</v>
      </c>
    </row>
    <row r="22" spans="2:19" ht="13.5" thickTop="1" x14ac:dyDescent="0.2">
      <c r="B22" s="45"/>
      <c r="C22" s="45"/>
      <c r="D22" s="45"/>
      <c r="E22" s="45"/>
      <c r="F22" s="45"/>
      <c r="G22" s="45"/>
      <c r="H22" s="34"/>
      <c r="I22" s="45"/>
      <c r="J22" s="45"/>
      <c r="K22" s="45"/>
      <c r="L22" s="50"/>
      <c r="M22" s="115"/>
      <c r="N22" s="58"/>
      <c r="O22" s="58"/>
      <c r="P22" s="45"/>
      <c r="Q22" s="34"/>
    </row>
    <row r="23" spans="2:19" ht="13.5" thickBot="1" x14ac:dyDescent="0.25">
      <c r="B23" s="49" t="s">
        <v>413</v>
      </c>
      <c r="C23" s="44"/>
      <c r="D23" s="44"/>
      <c r="E23" s="44"/>
      <c r="F23" s="44"/>
      <c r="G23" s="44"/>
      <c r="H23" s="35"/>
      <c r="I23" s="44"/>
      <c r="J23" s="44"/>
      <c r="K23" s="44"/>
      <c r="L23" s="1535">
        <f>SUM(L16:L21)</f>
        <v>7529049.0732999993</v>
      </c>
      <c r="M23" s="116"/>
      <c r="N23" s="1536">
        <f>SUM(N16:N21)</f>
        <v>7466698</v>
      </c>
      <c r="O23" s="1536">
        <f>SUM(O16:O21)</f>
        <v>77443</v>
      </c>
      <c r="P23" s="1536">
        <f>N23+O23</f>
        <v>7544141</v>
      </c>
      <c r="Q23" s="1537">
        <f>P23-L23</f>
        <v>15091.926700000651</v>
      </c>
    </row>
    <row r="25" spans="2:19" x14ac:dyDescent="0.2">
      <c r="B25" s="534" t="s">
        <v>125</v>
      </c>
      <c r="C25" s="358"/>
      <c r="D25" s="358"/>
      <c r="E25" s="358"/>
      <c r="F25" s="358"/>
      <c r="G25" s="358"/>
      <c r="H25" s="358"/>
      <c r="I25" s="358"/>
      <c r="J25" s="358"/>
      <c r="K25" s="358"/>
      <c r="L25" s="358"/>
    </row>
    <row r="26" spans="2:19" x14ac:dyDescent="0.2">
      <c r="B26" s="358"/>
      <c r="C26" s="358"/>
      <c r="D26" s="358"/>
      <c r="E26" s="358"/>
      <c r="F26" s="358"/>
      <c r="G26" s="358"/>
      <c r="H26" s="358"/>
      <c r="I26" s="358"/>
      <c r="J26" s="358"/>
      <c r="K26" s="358"/>
      <c r="L26" s="358"/>
    </row>
    <row r="27" spans="2:19" x14ac:dyDescent="0.2">
      <c r="B27" s="2035" t="s">
        <v>1938</v>
      </c>
      <c r="C27" s="2035"/>
      <c r="D27" s="2035"/>
      <c r="E27" s="2035"/>
      <c r="F27" s="2035"/>
      <c r="G27" s="2035"/>
      <c r="H27" s="2035"/>
      <c r="I27" s="2035"/>
      <c r="J27" s="2035"/>
      <c r="K27" s="2035"/>
      <c r="L27" s="2035"/>
      <c r="M27" s="2035"/>
      <c r="N27" s="2035"/>
      <c r="O27" s="2035"/>
    </row>
    <row r="28" spans="2:19" x14ac:dyDescent="0.2">
      <c r="B28" s="2035"/>
      <c r="C28" s="2035"/>
      <c r="D28" s="2035"/>
      <c r="E28" s="2035"/>
      <c r="F28" s="2035"/>
      <c r="G28" s="2035"/>
      <c r="H28" s="2035"/>
      <c r="I28" s="2035"/>
      <c r="J28" s="2035"/>
      <c r="K28" s="2035"/>
      <c r="L28" s="2035"/>
      <c r="M28" s="2035"/>
      <c r="N28" s="2035"/>
      <c r="O28" s="2035"/>
    </row>
    <row r="29" spans="2:19" x14ac:dyDescent="0.2">
      <c r="B29" s="2035" t="s">
        <v>1937</v>
      </c>
      <c r="C29" s="2035"/>
      <c r="D29" s="2035"/>
      <c r="E29" s="2035"/>
      <c r="F29" s="2035"/>
      <c r="G29" s="2035"/>
      <c r="H29" s="2035"/>
      <c r="I29" s="2035"/>
      <c r="J29" s="2035"/>
      <c r="K29" s="2035"/>
      <c r="L29" s="2035"/>
      <c r="M29" s="2035"/>
      <c r="N29" s="2035"/>
      <c r="O29" s="2035"/>
    </row>
    <row r="30" spans="2:19" x14ac:dyDescent="0.2">
      <c r="B30" s="2035"/>
      <c r="C30" s="2035"/>
      <c r="D30" s="2035"/>
      <c r="E30" s="2035"/>
      <c r="F30" s="2035"/>
      <c r="G30" s="2035"/>
      <c r="H30" s="2035"/>
      <c r="I30" s="2035"/>
      <c r="J30" s="2035"/>
      <c r="K30" s="2035"/>
      <c r="L30" s="2035"/>
      <c r="M30" s="2035"/>
      <c r="N30" s="2035"/>
      <c r="O30" s="2035"/>
    </row>
  </sheetData>
  <mergeCells count="14">
    <mergeCell ref="B29:O30"/>
    <mergeCell ref="B27:O28"/>
    <mergeCell ref="B9:Q9"/>
    <mergeCell ref="L12:L13"/>
    <mergeCell ref="B10:Q10"/>
    <mergeCell ref="G12:H12"/>
    <mergeCell ref="D12:F12"/>
    <mergeCell ref="N12:N13"/>
    <mergeCell ref="O12:O13"/>
    <mergeCell ref="P12:P13"/>
    <mergeCell ref="Q12:Q13"/>
    <mergeCell ref="C12:C13"/>
    <mergeCell ref="J13:K13"/>
    <mergeCell ref="I12:K12"/>
  </mergeCells>
  <phoneticPr fontId="11" type="noConversion"/>
  <dataValidations count="1">
    <dataValidation type="list" allowBlank="1" showInputMessage="1" showErrorMessage="1" sqref="C16:C21">
      <formula1>"Customers, Connections"</formula1>
    </dataValidation>
  </dataValidations>
  <pageMargins left="0.75" right="0.75" top="1" bottom="1" header="0.5" footer="0.5"/>
  <pageSetup scale="61" orientation="landscape"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1450"/>
  <sheetViews>
    <sheetView showGridLines="0" topLeftCell="A95" zoomScaleNormal="100" workbookViewId="0">
      <selection activeCell="Q10" sqref="Q10"/>
    </sheetView>
  </sheetViews>
  <sheetFormatPr defaultColWidth="9.140625" defaultRowHeight="12.75" x14ac:dyDescent="0.2"/>
  <cols>
    <col min="1" max="1" width="2.140625" style="4" customWidth="1"/>
    <col min="2" max="2" width="26.5703125" style="4" customWidth="1"/>
    <col min="3" max="3" width="1.28515625" style="4" customWidth="1"/>
    <col min="4" max="4" width="11.28515625" style="4" customWidth="1"/>
    <col min="5" max="5" width="1.28515625" style="4" customWidth="1"/>
    <col min="6" max="6" width="12.28515625" style="4" customWidth="1"/>
    <col min="7" max="7" width="8.5703125" style="4" customWidth="1"/>
    <col min="8" max="8" width="16.42578125" style="4" customWidth="1"/>
    <col min="9" max="9" width="2.85546875" style="4" customWidth="1"/>
    <col min="10" max="10" width="12.140625" style="4" customWidth="1"/>
    <col min="11" max="11" width="8.5703125" style="4" customWidth="1"/>
    <col min="12" max="12" width="13" style="4" customWidth="1"/>
    <col min="13" max="13" width="2.85546875" style="4" customWidth="1"/>
    <col min="14" max="14" width="12.7109375" style="4" bestFit="1" customWidth="1"/>
    <col min="15" max="15" width="10.85546875" style="4" bestFit="1" customWidth="1"/>
    <col min="16" max="16" width="3.85546875" style="4" customWidth="1"/>
    <col min="17" max="19" width="9.140625" style="4"/>
    <col min="20" max="20" width="9.140625" style="4" customWidth="1"/>
    <col min="21" max="16384" width="9.140625" style="4"/>
  </cols>
  <sheetData>
    <row r="1" spans="1:20" s="20" customFormat="1" ht="15" customHeight="1" x14ac:dyDescent="0.2">
      <c r="A1" s="24"/>
      <c r="B1" s="24"/>
      <c r="C1" s="24"/>
      <c r="D1" s="24"/>
      <c r="E1" s="24"/>
      <c r="F1" s="24"/>
      <c r="G1" s="24"/>
      <c r="H1" s="24"/>
      <c r="I1" s="24"/>
      <c r="J1" s="24"/>
      <c r="K1" s="24"/>
      <c r="N1" s="14" t="s">
        <v>419</v>
      </c>
      <c r="O1" s="208" t="str">
        <f>EBNUMBER</f>
        <v>EB-2014-0113</v>
      </c>
      <c r="P1"/>
      <c r="T1" s="20">
        <v>1</v>
      </c>
    </row>
    <row r="2" spans="1:20" s="20" customFormat="1" ht="15" customHeight="1" x14ac:dyDescent="0.25">
      <c r="A2" s="23"/>
      <c r="B2" s="23"/>
      <c r="C2" s="23"/>
      <c r="D2" s="23"/>
      <c r="E2" s="23"/>
      <c r="F2" s="23"/>
      <c r="G2" s="23"/>
      <c r="H2" s="23"/>
      <c r="I2" s="23"/>
      <c r="J2" s="23"/>
      <c r="K2" s="23"/>
      <c r="N2" s="14" t="s">
        <v>420</v>
      </c>
      <c r="O2" s="209">
        <v>1</v>
      </c>
      <c r="P2"/>
    </row>
    <row r="3" spans="1:20" s="20" customFormat="1" ht="15" customHeight="1" x14ac:dyDescent="0.25">
      <c r="A3" s="2255"/>
      <c r="B3" s="2255"/>
      <c r="C3" s="2255"/>
      <c r="D3" s="2255"/>
      <c r="E3" s="2255"/>
      <c r="F3" s="2255"/>
      <c r="G3" s="2255"/>
      <c r="H3" s="2255"/>
      <c r="I3" s="2255"/>
      <c r="J3" s="2255"/>
      <c r="K3" s="2255"/>
      <c r="N3" s="14" t="s">
        <v>421</v>
      </c>
      <c r="O3" s="209">
        <v>2</v>
      </c>
      <c r="P3"/>
    </row>
    <row r="4" spans="1:20" s="20" customFormat="1" ht="15" customHeight="1" x14ac:dyDescent="0.25">
      <c r="A4" s="23"/>
      <c r="B4" s="23"/>
      <c r="C4" s="23"/>
      <c r="D4" s="23"/>
      <c r="E4" s="23"/>
      <c r="F4" s="23"/>
      <c r="G4" s="23"/>
      <c r="H4" s="23"/>
      <c r="I4" s="21"/>
      <c r="J4" s="21"/>
      <c r="K4" s="21"/>
      <c r="N4" s="14" t="s">
        <v>422</v>
      </c>
      <c r="O4" s="209">
        <v>2</v>
      </c>
      <c r="P4"/>
    </row>
    <row r="5" spans="1:20" s="20" customFormat="1" ht="15" customHeight="1" x14ac:dyDescent="0.25">
      <c r="C5" s="22"/>
      <c r="D5" s="22"/>
      <c r="E5" s="22"/>
      <c r="N5" s="14" t="s">
        <v>423</v>
      </c>
      <c r="O5" s="210"/>
      <c r="P5"/>
    </row>
    <row r="6" spans="1:20" s="20" customFormat="1" ht="9" customHeight="1" x14ac:dyDescent="0.2">
      <c r="N6" s="14"/>
      <c r="O6" s="208"/>
      <c r="P6"/>
    </row>
    <row r="7" spans="1:20" s="20" customFormat="1" x14ac:dyDescent="0.2">
      <c r="N7" s="14" t="s">
        <v>424</v>
      </c>
      <c r="O7" s="1466">
        <v>42119</v>
      </c>
      <c r="P7"/>
    </row>
    <row r="8" spans="1:20" s="20" customFormat="1" ht="15" customHeight="1" x14ac:dyDescent="0.2">
      <c r="N8" s="4"/>
      <c r="O8"/>
      <c r="P8"/>
    </row>
    <row r="9" spans="1:20" ht="7.5" customHeight="1" x14ac:dyDescent="0.2">
      <c r="L9"/>
      <c r="M9"/>
      <c r="N9"/>
      <c r="O9"/>
      <c r="P9"/>
    </row>
    <row r="10" spans="1:20" ht="18.75" customHeight="1" x14ac:dyDescent="0.25">
      <c r="B10" s="2257" t="s">
        <v>646</v>
      </c>
      <c r="C10" s="2257"/>
      <c r="D10" s="2257"/>
      <c r="E10" s="2257"/>
      <c r="F10" s="2257"/>
      <c r="G10" s="2257"/>
      <c r="H10" s="2257"/>
      <c r="I10" s="2257"/>
      <c r="J10" s="2257"/>
      <c r="K10" s="2257"/>
      <c r="L10" s="2257"/>
      <c r="M10" s="2257"/>
      <c r="N10" s="2257"/>
      <c r="O10" s="2257"/>
      <c r="P10"/>
    </row>
    <row r="11" spans="1:20" ht="18.75" customHeight="1" x14ac:dyDescent="0.25">
      <c r="B11" s="2257" t="s">
        <v>61</v>
      </c>
      <c r="C11" s="2257"/>
      <c r="D11" s="2257"/>
      <c r="E11" s="2257"/>
      <c r="F11" s="2257"/>
      <c r="G11" s="2257"/>
      <c r="H11" s="2257"/>
      <c r="I11" s="2257"/>
      <c r="J11" s="2257"/>
      <c r="K11" s="2257"/>
      <c r="L11" s="2257"/>
      <c r="M11" s="2257"/>
      <c r="N11" s="2257"/>
      <c r="O11" s="2257"/>
      <c r="P11"/>
    </row>
    <row r="12" spans="1:20" ht="7.5" customHeight="1" x14ac:dyDescent="0.2">
      <c r="L12"/>
      <c r="M12"/>
      <c r="N12"/>
      <c r="O12"/>
      <c r="P12"/>
    </row>
    <row r="13" spans="1:20" ht="7.5" customHeight="1" x14ac:dyDescent="0.2">
      <c r="L13"/>
      <c r="M13"/>
      <c r="N13"/>
      <c r="O13"/>
      <c r="P13"/>
    </row>
    <row r="14" spans="1:20" ht="15.75" x14ac:dyDescent="0.2">
      <c r="B14" s="26" t="s">
        <v>38</v>
      </c>
      <c r="D14" s="2248" t="s">
        <v>117</v>
      </c>
      <c r="E14" s="2248"/>
      <c r="F14" s="2248"/>
      <c r="G14" s="2248"/>
      <c r="H14" s="2248"/>
      <c r="I14" s="2248"/>
      <c r="J14" s="2248"/>
      <c r="K14" s="2248"/>
      <c r="L14" s="2248"/>
      <c r="M14" s="2248"/>
      <c r="N14" s="2248"/>
      <c r="O14" s="2248"/>
    </row>
    <row r="15" spans="1:20" ht="7.5" customHeight="1" x14ac:dyDescent="0.25">
      <c r="B15" s="150"/>
      <c r="D15" s="25"/>
      <c r="E15" s="25"/>
      <c r="F15" s="25"/>
      <c r="G15" s="25"/>
      <c r="H15" s="25"/>
      <c r="I15" s="25"/>
      <c r="J15" s="25"/>
      <c r="K15" s="25"/>
      <c r="L15" s="25"/>
      <c r="M15" s="25"/>
      <c r="N15" s="25"/>
      <c r="O15" s="25"/>
    </row>
    <row r="16" spans="1:20" ht="15.75" x14ac:dyDescent="0.25">
      <c r="B16" s="26" t="s">
        <v>1797</v>
      </c>
      <c r="D16" s="1373" t="s">
        <v>1798</v>
      </c>
      <c r="E16" s="25"/>
      <c r="F16" s="25"/>
      <c r="G16" s="25"/>
      <c r="H16" s="25"/>
      <c r="I16" s="25"/>
      <c r="J16" s="25"/>
      <c r="K16" s="25"/>
      <c r="L16" s="25"/>
      <c r="M16" s="25"/>
      <c r="N16" s="25"/>
      <c r="O16" s="25"/>
    </row>
    <row r="17" spans="1:15" ht="15.75" x14ac:dyDescent="0.25">
      <c r="B17" s="150"/>
      <c r="D17" s="25"/>
      <c r="E17" s="25"/>
      <c r="F17" s="25"/>
      <c r="G17" s="25"/>
      <c r="H17" s="25"/>
      <c r="I17" s="25"/>
      <c r="J17" s="25"/>
      <c r="K17" s="25"/>
      <c r="L17" s="25"/>
      <c r="M17" s="25"/>
      <c r="N17" s="25"/>
      <c r="O17" s="25"/>
    </row>
    <row r="18" spans="1:15" x14ac:dyDescent="0.2">
      <c r="B18" s="151"/>
      <c r="D18" s="5" t="s">
        <v>16</v>
      </c>
      <c r="E18" s="5"/>
      <c r="F18" s="1678">
        <v>800</v>
      </c>
      <c r="G18" s="5" t="s">
        <v>17</v>
      </c>
    </row>
    <row r="19" spans="1:15" x14ac:dyDescent="0.2">
      <c r="B19" s="151"/>
    </row>
    <row r="20" spans="1:15" x14ac:dyDescent="0.2">
      <c r="A20" s="1557"/>
      <c r="B20" s="1558"/>
      <c r="C20" s="1557"/>
      <c r="D20" s="1559"/>
      <c r="E20" s="1559"/>
      <c r="F20" s="2249" t="s">
        <v>18</v>
      </c>
      <c r="G20" s="2250"/>
      <c r="H20" s="2251"/>
      <c r="I20" s="1557"/>
      <c r="J20" s="2249" t="s">
        <v>19</v>
      </c>
      <c r="K20" s="2250"/>
      <c r="L20" s="2251"/>
      <c r="M20" s="1557"/>
      <c r="N20" s="2249" t="s">
        <v>20</v>
      </c>
      <c r="O20" s="2251"/>
    </row>
    <row r="21" spans="1:15" ht="12.75" customHeight="1" x14ac:dyDescent="0.2">
      <c r="A21" s="1557"/>
      <c r="B21" s="1558"/>
      <c r="C21" s="1557"/>
      <c r="D21" s="2252" t="s">
        <v>21</v>
      </c>
      <c r="E21" s="1560"/>
      <c r="F21" s="1561" t="s">
        <v>22</v>
      </c>
      <c r="G21" s="1561" t="s">
        <v>23</v>
      </c>
      <c r="H21" s="1562" t="s">
        <v>24</v>
      </c>
      <c r="I21" s="1557"/>
      <c r="J21" s="1561" t="s">
        <v>22</v>
      </c>
      <c r="K21" s="1563" t="s">
        <v>23</v>
      </c>
      <c r="L21" s="1562" t="s">
        <v>24</v>
      </c>
      <c r="M21" s="1557"/>
      <c r="N21" s="2253" t="s">
        <v>25</v>
      </c>
      <c r="O21" s="2253" t="s">
        <v>26</v>
      </c>
    </row>
    <row r="22" spans="1:15" x14ac:dyDescent="0.2">
      <c r="A22" s="1557"/>
      <c r="B22" s="1558"/>
      <c r="C22" s="1557"/>
      <c r="D22" s="2252"/>
      <c r="E22" s="1560"/>
      <c r="F22" s="1564" t="s">
        <v>427</v>
      </c>
      <c r="G22" s="1564"/>
      <c r="H22" s="1565" t="s">
        <v>427</v>
      </c>
      <c r="I22" s="1557"/>
      <c r="J22" s="1564" t="s">
        <v>427</v>
      </c>
      <c r="K22" s="1565"/>
      <c r="L22" s="1565" t="s">
        <v>427</v>
      </c>
      <c r="M22" s="1557"/>
      <c r="N22" s="2254"/>
      <c r="O22" s="2254"/>
    </row>
    <row r="23" spans="1:15" x14ac:dyDescent="0.2">
      <c r="A23" s="1557"/>
      <c r="B23" s="1566" t="s">
        <v>27</v>
      </c>
      <c r="C23" s="1566"/>
      <c r="D23" s="538" t="s">
        <v>2088</v>
      </c>
      <c r="E23" s="1566"/>
      <c r="F23" s="1567">
        <v>11.53</v>
      </c>
      <c r="G23" s="1568">
        <v>1</v>
      </c>
      <c r="H23" s="1569">
        <f>G23*F23</f>
        <v>11.53</v>
      </c>
      <c r="I23" s="1570"/>
      <c r="J23" s="1571">
        <v>15.07</v>
      </c>
      <c r="K23" s="1572">
        <v>1</v>
      </c>
      <c r="L23" s="1569">
        <f>K23*J23</f>
        <v>15.07</v>
      </c>
      <c r="M23" s="1570"/>
      <c r="N23" s="1573">
        <f>L23-H23</f>
        <v>3.5400000000000009</v>
      </c>
      <c r="O23" s="1574">
        <f>IF((H23)=0,"",(N23/H23))</f>
        <v>0.30702515177797063</v>
      </c>
    </row>
    <row r="24" spans="1:15" x14ac:dyDescent="0.2">
      <c r="A24" s="1557"/>
      <c r="B24" s="1566" t="s">
        <v>28</v>
      </c>
      <c r="C24" s="1566"/>
      <c r="D24" s="538"/>
      <c r="E24" s="1566"/>
      <c r="F24" s="1567"/>
      <c r="G24" s="1568">
        <v>1</v>
      </c>
      <c r="H24" s="1569">
        <f t="shared" ref="H24:H31" si="0">G24*F24</f>
        <v>0</v>
      </c>
      <c r="I24" s="1570"/>
      <c r="J24" s="1571"/>
      <c r="K24" s="1572">
        <v>1</v>
      </c>
      <c r="L24" s="1569">
        <f>K24*J24</f>
        <v>0</v>
      </c>
      <c r="M24" s="1570"/>
      <c r="N24" s="1573">
        <f>L24-H24</f>
        <v>0</v>
      </c>
      <c r="O24" s="1574" t="str">
        <f>IF((H24)=0,"",(N24/H24))</f>
        <v/>
      </c>
    </row>
    <row r="25" spans="1:15" x14ac:dyDescent="0.2">
      <c r="A25" s="1557"/>
      <c r="B25" s="1566" t="s">
        <v>29</v>
      </c>
      <c r="C25" s="1566"/>
      <c r="D25" s="538" t="s">
        <v>114</v>
      </c>
      <c r="E25" s="1566"/>
      <c r="F25" s="1567">
        <v>1.6E-2</v>
      </c>
      <c r="G25" s="1568">
        <v>800</v>
      </c>
      <c r="H25" s="1569">
        <f t="shared" si="0"/>
        <v>12.8</v>
      </c>
      <c r="I25" s="1570"/>
      <c r="J25" s="1571">
        <v>1.78E-2</v>
      </c>
      <c r="K25" s="1568">
        <v>800</v>
      </c>
      <c r="L25" s="1569">
        <f t="shared" ref="L25:L31" si="1">K25*J25</f>
        <v>14.24</v>
      </c>
      <c r="M25" s="1570"/>
      <c r="N25" s="1573">
        <f t="shared" ref="N25:N61" si="2">L25-H25</f>
        <v>1.4399999999999995</v>
      </c>
      <c r="O25" s="1574">
        <f t="shared" ref="O25:O32" si="3">IF((H25)=0,"",(N25/H25))</f>
        <v>0.11249999999999996</v>
      </c>
    </row>
    <row r="26" spans="1:15" x14ac:dyDescent="0.2">
      <c r="A26" s="1557"/>
      <c r="B26" s="1566" t="s">
        <v>2089</v>
      </c>
      <c r="C26" s="1566"/>
      <c r="D26" s="538" t="s">
        <v>2088</v>
      </c>
      <c r="E26" s="1566"/>
      <c r="F26" s="1567">
        <v>2.02</v>
      </c>
      <c r="G26" s="1568">
        <v>1</v>
      </c>
      <c r="H26" s="1569">
        <f t="shared" si="0"/>
        <v>2.02</v>
      </c>
      <c r="I26" s="1570"/>
      <c r="J26" s="1571">
        <v>0</v>
      </c>
      <c r="K26" s="1568">
        <v>1</v>
      </c>
      <c r="L26" s="1569">
        <f t="shared" si="1"/>
        <v>0</v>
      </c>
      <c r="M26" s="1570"/>
      <c r="N26" s="1573">
        <f t="shared" si="2"/>
        <v>-2.02</v>
      </c>
      <c r="O26" s="1574">
        <f t="shared" si="3"/>
        <v>-1</v>
      </c>
    </row>
    <row r="27" spans="1:15" x14ac:dyDescent="0.2">
      <c r="A27" s="1557"/>
      <c r="B27" s="1566" t="s">
        <v>2090</v>
      </c>
      <c r="C27" s="1566"/>
      <c r="D27" s="538" t="s">
        <v>114</v>
      </c>
      <c r="E27" s="1566"/>
      <c r="F27" s="1567">
        <v>0</v>
      </c>
      <c r="G27" s="1568">
        <v>800</v>
      </c>
      <c r="H27" s="1569">
        <f t="shared" si="0"/>
        <v>0</v>
      </c>
      <c r="I27" s="1570"/>
      <c r="J27" s="1571">
        <v>0</v>
      </c>
      <c r="K27" s="1568">
        <v>800</v>
      </c>
      <c r="L27" s="1569">
        <f t="shared" si="1"/>
        <v>0</v>
      </c>
      <c r="M27" s="1570"/>
      <c r="N27" s="1573">
        <f t="shared" si="2"/>
        <v>0</v>
      </c>
      <c r="O27" s="1574" t="str">
        <f t="shared" si="3"/>
        <v/>
      </c>
    </row>
    <row r="28" spans="1:15" x14ac:dyDescent="0.2">
      <c r="A28" s="1557"/>
      <c r="B28" s="535" t="s">
        <v>2091</v>
      </c>
      <c r="C28" s="1566"/>
      <c r="D28" s="538" t="s">
        <v>114</v>
      </c>
      <c r="E28" s="1566"/>
      <c r="F28" s="1567">
        <v>0</v>
      </c>
      <c r="G28" s="1568">
        <v>800</v>
      </c>
      <c r="H28" s="1569">
        <f t="shared" si="0"/>
        <v>0</v>
      </c>
      <c r="I28" s="1570"/>
      <c r="J28" s="1571">
        <v>0</v>
      </c>
      <c r="K28" s="1568">
        <v>800</v>
      </c>
      <c r="L28" s="1569">
        <f t="shared" si="1"/>
        <v>0</v>
      </c>
      <c r="M28" s="1570"/>
      <c r="N28" s="1573">
        <f t="shared" si="2"/>
        <v>0</v>
      </c>
      <c r="O28" s="1574" t="str">
        <f t="shared" si="3"/>
        <v/>
      </c>
    </row>
    <row r="29" spans="1:15" x14ac:dyDescent="0.2">
      <c r="A29" s="1557"/>
      <c r="B29" s="535" t="s">
        <v>1751</v>
      </c>
      <c r="C29" s="1566"/>
      <c r="D29" s="538" t="s">
        <v>2088</v>
      </c>
      <c r="E29" s="1566"/>
      <c r="F29" s="1567">
        <v>0.79</v>
      </c>
      <c r="G29" s="1568">
        <v>1</v>
      </c>
      <c r="H29" s="1569">
        <f t="shared" si="0"/>
        <v>0.79</v>
      </c>
      <c r="I29" s="1570"/>
      <c r="J29" s="1571">
        <v>0.79</v>
      </c>
      <c r="K29" s="1568">
        <v>1</v>
      </c>
      <c r="L29" s="1569">
        <f t="shared" si="1"/>
        <v>0.79</v>
      </c>
      <c r="M29" s="1570"/>
      <c r="N29" s="1573">
        <f t="shared" si="2"/>
        <v>0</v>
      </c>
      <c r="O29" s="1574">
        <f t="shared" si="3"/>
        <v>0</v>
      </c>
    </row>
    <row r="30" spans="1:15" x14ac:dyDescent="0.2">
      <c r="A30" s="1557"/>
      <c r="B30" s="535" t="s">
        <v>2092</v>
      </c>
      <c r="C30" s="1566"/>
      <c r="D30" s="538" t="s">
        <v>114</v>
      </c>
      <c r="E30" s="1566"/>
      <c r="F30" s="1567">
        <v>-1E-4</v>
      </c>
      <c r="G30" s="1568">
        <v>800</v>
      </c>
      <c r="H30" s="1569">
        <f t="shared" si="0"/>
        <v>-0.08</v>
      </c>
      <c r="I30" s="1570"/>
      <c r="J30" s="1571">
        <v>-1E-4</v>
      </c>
      <c r="K30" s="1568">
        <v>800</v>
      </c>
      <c r="L30" s="1569">
        <f t="shared" si="1"/>
        <v>-0.08</v>
      </c>
      <c r="M30" s="1570"/>
      <c r="N30" s="1573">
        <f t="shared" si="2"/>
        <v>0</v>
      </c>
      <c r="O30" s="1574">
        <f t="shared" si="3"/>
        <v>0</v>
      </c>
    </row>
    <row r="31" spans="1:15" x14ac:dyDescent="0.2">
      <c r="A31" s="1557"/>
      <c r="B31" s="535" t="s">
        <v>2093</v>
      </c>
      <c r="C31" s="1566"/>
      <c r="D31" s="538" t="s">
        <v>2088</v>
      </c>
      <c r="E31" s="1566"/>
      <c r="F31" s="1567">
        <v>0</v>
      </c>
      <c r="G31" s="1568">
        <v>1</v>
      </c>
      <c r="H31" s="1569">
        <f t="shared" si="0"/>
        <v>0</v>
      </c>
      <c r="I31" s="1570"/>
      <c r="J31" s="1571">
        <v>0.42</v>
      </c>
      <c r="K31" s="1568">
        <v>1</v>
      </c>
      <c r="L31" s="1569">
        <f t="shared" si="1"/>
        <v>0.42</v>
      </c>
      <c r="M31" s="1570"/>
      <c r="N31" s="1573">
        <f t="shared" si="2"/>
        <v>0.42</v>
      </c>
      <c r="O31" s="1574" t="str">
        <f t="shared" si="3"/>
        <v/>
      </c>
    </row>
    <row r="32" spans="1:15" x14ac:dyDescent="0.2">
      <c r="A32" s="1557"/>
      <c r="B32" s="1575" t="s">
        <v>2094</v>
      </c>
      <c r="C32" s="1576"/>
      <c r="D32" s="1577"/>
      <c r="E32" s="1576"/>
      <c r="F32" s="1578"/>
      <c r="G32" s="1579"/>
      <c r="H32" s="1580">
        <f>SUM(H23:H31)</f>
        <v>27.06</v>
      </c>
      <c r="I32" s="1581"/>
      <c r="J32" s="1582"/>
      <c r="K32" s="1583"/>
      <c r="L32" s="1580">
        <f>SUM(L23:L31)</f>
        <v>30.440000000000005</v>
      </c>
      <c r="M32" s="1581"/>
      <c r="N32" s="1584">
        <f t="shared" si="2"/>
        <v>3.3800000000000061</v>
      </c>
      <c r="O32" s="1585">
        <f t="shared" si="3"/>
        <v>0.124907612712491</v>
      </c>
    </row>
    <row r="33" spans="1:15" ht="51" x14ac:dyDescent="0.2">
      <c r="A33" s="1557"/>
      <c r="B33" s="662" t="s">
        <v>2095</v>
      </c>
      <c r="C33" s="1566"/>
      <c r="D33" s="538" t="s">
        <v>114</v>
      </c>
      <c r="E33" s="1566"/>
      <c r="F33" s="1567">
        <v>-6.4000000000000003E-3</v>
      </c>
      <c r="G33" s="1568">
        <v>800</v>
      </c>
      <c r="H33" s="1569">
        <f>G33*F33</f>
        <v>-5.12</v>
      </c>
      <c r="I33" s="1570"/>
      <c r="J33" s="1571">
        <v>-6.4000000000000003E-3</v>
      </c>
      <c r="K33" s="1568">
        <v>800</v>
      </c>
      <c r="L33" s="1569">
        <f t="shared" ref="L33:L36" si="4">K33*J33</f>
        <v>-5.12</v>
      </c>
      <c r="M33" s="1570"/>
      <c r="N33" s="1573">
        <f t="shared" si="2"/>
        <v>0</v>
      </c>
      <c r="O33" s="1574">
        <f>IF((H33)=0,"",(N33/H33))</f>
        <v>0</v>
      </c>
    </row>
    <row r="34" spans="1:15" ht="51" x14ac:dyDescent="0.2">
      <c r="A34" s="1557"/>
      <c r="B34" s="662" t="s">
        <v>2096</v>
      </c>
      <c r="C34" s="1566"/>
      <c r="D34" s="538" t="s">
        <v>114</v>
      </c>
      <c r="E34" s="1566"/>
      <c r="F34" s="1567">
        <v>0</v>
      </c>
      <c r="G34" s="1568">
        <v>800</v>
      </c>
      <c r="H34" s="1569">
        <f>G34*F34</f>
        <v>0</v>
      </c>
      <c r="I34" s="1570"/>
      <c r="J34" s="1571">
        <v>0</v>
      </c>
      <c r="K34" s="1568">
        <v>800</v>
      </c>
      <c r="L34" s="1569">
        <f t="shared" si="4"/>
        <v>0</v>
      </c>
      <c r="M34" s="1570"/>
      <c r="N34" s="1573">
        <f t="shared" si="2"/>
        <v>0</v>
      </c>
      <c r="O34" s="1574" t="str">
        <f>IF((H34)=0,"",(N34/H34))</f>
        <v/>
      </c>
    </row>
    <row r="35" spans="1:15" x14ac:dyDescent="0.2">
      <c r="A35" s="1557"/>
      <c r="B35" s="1586" t="s">
        <v>705</v>
      </c>
      <c r="C35" s="1566"/>
      <c r="D35" s="538" t="s">
        <v>114</v>
      </c>
      <c r="E35" s="1566"/>
      <c r="F35" s="1567">
        <v>0</v>
      </c>
      <c r="G35" s="1568">
        <v>800</v>
      </c>
      <c r="H35" s="1569">
        <f>G35*F35</f>
        <v>0</v>
      </c>
      <c r="I35" s="1570"/>
      <c r="J35" s="1571">
        <v>0</v>
      </c>
      <c r="K35" s="1568">
        <v>800</v>
      </c>
      <c r="L35" s="1569">
        <f t="shared" si="4"/>
        <v>0</v>
      </c>
      <c r="M35" s="1570"/>
      <c r="N35" s="1573">
        <f t="shared" si="2"/>
        <v>0</v>
      </c>
      <c r="O35" s="1574" t="str">
        <f>IF((H35)=0,"",(N35/H35))</f>
        <v/>
      </c>
    </row>
    <row r="36" spans="1:15" x14ac:dyDescent="0.2">
      <c r="A36" s="1557"/>
      <c r="B36" s="1586" t="s">
        <v>649</v>
      </c>
      <c r="C36" s="1566"/>
      <c r="D36" s="538"/>
      <c r="E36" s="1566"/>
      <c r="F36" s="1587"/>
      <c r="G36" s="1588"/>
      <c r="H36" s="1589"/>
      <c r="I36" s="1570"/>
      <c r="J36" s="1571"/>
      <c r="K36" s="1568">
        <v>800</v>
      </c>
      <c r="L36" s="1569">
        <f t="shared" si="4"/>
        <v>0</v>
      </c>
      <c r="M36" s="1570"/>
      <c r="N36" s="1573">
        <f t="shared" si="2"/>
        <v>0</v>
      </c>
      <c r="O36" s="1574"/>
    </row>
    <row r="37" spans="1:15" ht="25.5" x14ac:dyDescent="0.2">
      <c r="A37" s="1557"/>
      <c r="B37" s="1590" t="s">
        <v>647</v>
      </c>
      <c r="C37" s="1591"/>
      <c r="D37" s="1591"/>
      <c r="E37" s="1591"/>
      <c r="F37" s="1592"/>
      <c r="G37" s="1593"/>
      <c r="H37" s="1594">
        <f>SUM(H32:H36)</f>
        <v>21.939999999999998</v>
      </c>
      <c r="I37" s="1581"/>
      <c r="J37" s="1593"/>
      <c r="K37" s="1595"/>
      <c r="L37" s="1594">
        <f>SUM(L32:L36)</f>
        <v>25.320000000000004</v>
      </c>
      <c r="M37" s="1581"/>
      <c r="N37" s="1584">
        <f t="shared" si="2"/>
        <v>3.3800000000000061</v>
      </c>
      <c r="O37" s="1585">
        <f t="shared" ref="O37:O61" si="5">IF((H37)=0,"",(N37/H37))</f>
        <v>0.15405651777575236</v>
      </c>
    </row>
    <row r="38" spans="1:15" x14ac:dyDescent="0.2">
      <c r="A38" s="1557"/>
      <c r="B38" s="1570" t="s">
        <v>30</v>
      </c>
      <c r="C38" s="1570"/>
      <c r="D38" s="539" t="s">
        <v>114</v>
      </c>
      <c r="E38" s="1570"/>
      <c r="F38" s="1571">
        <v>7.0000000000000001E-3</v>
      </c>
      <c r="G38" s="1596">
        <v>827.99999999999989</v>
      </c>
      <c r="H38" s="1569">
        <f>G38*F38</f>
        <v>5.7959999999999994</v>
      </c>
      <c r="I38" s="1570"/>
      <c r="J38" s="1571">
        <v>7.1000000000000004E-3</v>
      </c>
      <c r="K38" s="1597">
        <v>829.3282265045201</v>
      </c>
      <c r="L38" s="1569">
        <f>K38*J38</f>
        <v>5.8882304081820926</v>
      </c>
      <c r="M38" s="1570"/>
      <c r="N38" s="1573">
        <f t="shared" si="2"/>
        <v>9.2230408182093271E-2</v>
      </c>
      <c r="O38" s="1574">
        <f t="shared" si="5"/>
        <v>1.5912768837490213E-2</v>
      </c>
    </row>
    <row r="39" spans="1:15" s="17" customFormat="1" ht="25.5" x14ac:dyDescent="0.2">
      <c r="A39" s="1557"/>
      <c r="B39" s="1598" t="s">
        <v>31</v>
      </c>
      <c r="C39" s="1570"/>
      <c r="D39" s="539" t="s">
        <v>114</v>
      </c>
      <c r="E39" s="1570"/>
      <c r="F39" s="1571">
        <v>5.1999999999999998E-3</v>
      </c>
      <c r="G39" s="1596">
        <v>827.99999999999989</v>
      </c>
      <c r="H39" s="1569">
        <f>G39*F39</f>
        <v>4.3055999999999992</v>
      </c>
      <c r="I39" s="1570"/>
      <c r="J39" s="1571">
        <v>5.4000000000000003E-3</v>
      </c>
      <c r="K39" s="1597">
        <v>829.3282265045201</v>
      </c>
      <c r="L39" s="1569">
        <f>K39*J39</f>
        <v>4.4783724231244086</v>
      </c>
      <c r="M39" s="1570"/>
      <c r="N39" s="1573">
        <f t="shared" si="2"/>
        <v>0.17277242312440944</v>
      </c>
      <c r="O39" s="1574">
        <f t="shared" si="5"/>
        <v>4.0127374378578939E-2</v>
      </c>
    </row>
    <row r="40" spans="1:15" ht="25.5" x14ac:dyDescent="0.2">
      <c r="A40" s="1557"/>
      <c r="B40" s="1590" t="s">
        <v>648</v>
      </c>
      <c r="C40" s="1576"/>
      <c r="D40" s="1576"/>
      <c r="E40" s="1576"/>
      <c r="F40" s="1599"/>
      <c r="G40" s="1593"/>
      <c r="H40" s="1594">
        <f>SUM(H37:H39)</f>
        <v>32.041599999999995</v>
      </c>
      <c r="I40" s="1600"/>
      <c r="J40" s="1601"/>
      <c r="K40" s="1602"/>
      <c r="L40" s="1594">
        <f>SUM(L37:L39)</f>
        <v>35.686602831306502</v>
      </c>
      <c r="M40" s="1600"/>
      <c r="N40" s="1584">
        <f t="shared" si="2"/>
        <v>3.6450028313065062</v>
      </c>
      <c r="O40" s="1585">
        <f t="shared" si="5"/>
        <v>0.11375845249009121</v>
      </c>
    </row>
    <row r="41" spans="1:15" ht="25.5" x14ac:dyDescent="0.2">
      <c r="A41" s="1557"/>
      <c r="B41" s="1603" t="s">
        <v>32</v>
      </c>
      <c r="C41" s="1566"/>
      <c r="D41" s="538" t="s">
        <v>114</v>
      </c>
      <c r="E41" s="1566"/>
      <c r="F41" s="536">
        <v>5.1999999999999998E-3</v>
      </c>
      <c r="G41" s="1596">
        <v>827.99999999999989</v>
      </c>
      <c r="H41" s="1604">
        <f t="shared" ref="H41:H49" si="6">G41*F41</f>
        <v>4.3055999999999992</v>
      </c>
      <c r="I41" s="1570"/>
      <c r="J41" s="540">
        <v>5.1999999999999998E-3</v>
      </c>
      <c r="K41" s="1597">
        <v>829.3282265045201</v>
      </c>
      <c r="L41" s="1604">
        <f t="shared" ref="L41:L49" si="7">K41*J41</f>
        <v>4.3125067778235042</v>
      </c>
      <c r="M41" s="1570"/>
      <c r="N41" s="1573">
        <f t="shared" si="2"/>
        <v>6.906777823505017E-3</v>
      </c>
      <c r="O41" s="1605">
        <f t="shared" si="5"/>
        <v>1.6041382904833283E-3</v>
      </c>
    </row>
    <row r="42" spans="1:15" ht="25.5" x14ac:dyDescent="0.2">
      <c r="A42" s="1557"/>
      <c r="B42" s="1603" t="s">
        <v>33</v>
      </c>
      <c r="C42" s="1566"/>
      <c r="D42" s="538" t="s">
        <v>114</v>
      </c>
      <c r="E42" s="1566"/>
      <c r="F42" s="536">
        <v>1.2999999999999999E-3</v>
      </c>
      <c r="G42" s="1596">
        <v>827.99999999999989</v>
      </c>
      <c r="H42" s="1604">
        <f t="shared" si="6"/>
        <v>1.0763999999999998</v>
      </c>
      <c r="I42" s="1570"/>
      <c r="J42" s="540">
        <v>1.2999999999999999E-3</v>
      </c>
      <c r="K42" s="1597">
        <v>829.3282265045201</v>
      </c>
      <c r="L42" s="1604">
        <f t="shared" si="7"/>
        <v>1.0781266944558761</v>
      </c>
      <c r="M42" s="1570"/>
      <c r="N42" s="1573">
        <f t="shared" si="2"/>
        <v>1.7266944558762543E-3</v>
      </c>
      <c r="O42" s="1605">
        <f t="shared" si="5"/>
        <v>1.6041382904833283E-3</v>
      </c>
    </row>
    <row r="43" spans="1:15" x14ac:dyDescent="0.2">
      <c r="A43" s="1557"/>
      <c r="B43" s="1566" t="s">
        <v>34</v>
      </c>
      <c r="C43" s="1566"/>
      <c r="D43" s="538"/>
      <c r="E43" s="1566"/>
      <c r="F43" s="536"/>
      <c r="G43" s="1568">
        <v>1</v>
      </c>
      <c r="H43" s="1604">
        <f t="shared" si="6"/>
        <v>0</v>
      </c>
      <c r="I43" s="1570"/>
      <c r="J43" s="540"/>
      <c r="K43" s="1572">
        <v>1</v>
      </c>
      <c r="L43" s="1604">
        <f t="shared" si="7"/>
        <v>0</v>
      </c>
      <c r="M43" s="1570"/>
      <c r="N43" s="1573">
        <f t="shared" si="2"/>
        <v>0</v>
      </c>
      <c r="O43" s="1605" t="str">
        <f t="shared" si="5"/>
        <v/>
      </c>
    </row>
    <row r="44" spans="1:15" x14ac:dyDescent="0.2">
      <c r="A44" s="1557"/>
      <c r="B44" s="1566" t="s">
        <v>35</v>
      </c>
      <c r="C44" s="1566"/>
      <c r="D44" s="538" t="s">
        <v>114</v>
      </c>
      <c r="E44" s="1566"/>
      <c r="F44" s="536">
        <v>7.0000000000000001E-3</v>
      </c>
      <c r="G44" s="1596">
        <v>800</v>
      </c>
      <c r="H44" s="1604">
        <f t="shared" si="6"/>
        <v>5.6000000000000005</v>
      </c>
      <c r="I44" s="1570"/>
      <c r="J44" s="540">
        <v>7.0000000000000001E-3</v>
      </c>
      <c r="K44" s="1597">
        <v>800</v>
      </c>
      <c r="L44" s="1604">
        <f t="shared" si="7"/>
        <v>5.6000000000000005</v>
      </c>
      <c r="M44" s="1570"/>
      <c r="N44" s="1573">
        <f t="shared" si="2"/>
        <v>0</v>
      </c>
      <c r="O44" s="1605">
        <f t="shared" si="5"/>
        <v>0</v>
      </c>
    </row>
    <row r="45" spans="1:15" x14ac:dyDescent="0.2">
      <c r="A45" s="1557"/>
      <c r="B45" s="1586" t="s">
        <v>679</v>
      </c>
      <c r="C45" s="1566"/>
      <c r="D45" s="538" t="s">
        <v>114</v>
      </c>
      <c r="E45" s="1566"/>
      <c r="F45" s="1606">
        <v>7.4999999999999997E-2</v>
      </c>
      <c r="G45" s="1596">
        <f>IF($G$39&gt;=600,600,$G$39)</f>
        <v>600</v>
      </c>
      <c r="H45" s="1604">
        <f>G45*F45</f>
        <v>45</v>
      </c>
      <c r="I45" s="1570"/>
      <c r="J45" s="536">
        <v>7.4999999999999997E-2</v>
      </c>
      <c r="K45" s="1596">
        <f>IF($K$39&gt;=600,600,$K$39)</f>
        <v>600</v>
      </c>
      <c r="L45" s="1604">
        <f>K45*J45</f>
        <v>45</v>
      </c>
      <c r="M45" s="1570"/>
      <c r="N45" s="1573">
        <f t="shared" si="2"/>
        <v>0</v>
      </c>
      <c r="O45" s="1605">
        <f t="shared" si="5"/>
        <v>0</v>
      </c>
    </row>
    <row r="46" spans="1:15" x14ac:dyDescent="0.2">
      <c r="A46" s="1557"/>
      <c r="B46" s="1586" t="s">
        <v>680</v>
      </c>
      <c r="C46" s="1566"/>
      <c r="D46" s="538" t="s">
        <v>114</v>
      </c>
      <c r="E46" s="1566"/>
      <c r="F46" s="1606">
        <v>8.7999999999999995E-2</v>
      </c>
      <c r="G46" s="1596">
        <f>IF($G$39&gt;=600,$G$39-600,0)</f>
        <v>227.99999999999989</v>
      </c>
      <c r="H46" s="1604">
        <f>G46*F46</f>
        <v>20.063999999999989</v>
      </c>
      <c r="I46" s="1570"/>
      <c r="J46" s="536">
        <v>8.7999999999999995E-2</v>
      </c>
      <c r="K46" s="1596">
        <f>IF($K$39&gt;=600,$K$39-600,0)</f>
        <v>229.3282265045201</v>
      </c>
      <c r="L46" s="1604">
        <f>K46*J46</f>
        <v>20.180883932397769</v>
      </c>
      <c r="M46" s="1570"/>
      <c r="N46" s="1573">
        <f t="shared" si="2"/>
        <v>0.11688393239777994</v>
      </c>
      <c r="O46" s="1605">
        <f t="shared" si="5"/>
        <v>5.8255548443869624E-3</v>
      </c>
    </row>
    <row r="47" spans="1:15" x14ac:dyDescent="0.2">
      <c r="A47" s="1557"/>
      <c r="B47" s="1586" t="s">
        <v>681</v>
      </c>
      <c r="C47" s="1566"/>
      <c r="D47" s="538" t="s">
        <v>114</v>
      </c>
      <c r="E47" s="1566"/>
      <c r="F47" s="1606">
        <v>6.5000000000000002E-2</v>
      </c>
      <c r="G47" s="1138">
        <v>529.91999999999996</v>
      </c>
      <c r="H47" s="1604">
        <f t="shared" si="6"/>
        <v>34.444800000000001</v>
      </c>
      <c r="I47" s="1570"/>
      <c r="J47" s="536">
        <v>6.5000000000000002E-2</v>
      </c>
      <c r="K47" s="1138">
        <v>530.77006496289289</v>
      </c>
      <c r="L47" s="1604">
        <f t="shared" si="7"/>
        <v>34.500054222588041</v>
      </c>
      <c r="M47" s="1570"/>
      <c r="N47" s="1573">
        <f t="shared" si="2"/>
        <v>5.5254222588040136E-2</v>
      </c>
      <c r="O47" s="1605">
        <f t="shared" si="5"/>
        <v>1.6041382904833279E-3</v>
      </c>
    </row>
    <row r="48" spans="1:15" x14ac:dyDescent="0.2">
      <c r="A48" s="1557"/>
      <c r="B48" s="1586" t="s">
        <v>682</v>
      </c>
      <c r="C48" s="1566"/>
      <c r="D48" s="538" t="s">
        <v>114</v>
      </c>
      <c r="E48" s="1566"/>
      <c r="F48" s="1606">
        <v>0.1</v>
      </c>
      <c r="G48" s="1138">
        <v>149.03999999999996</v>
      </c>
      <c r="H48" s="1604">
        <f t="shared" si="6"/>
        <v>14.903999999999996</v>
      </c>
      <c r="I48" s="1570"/>
      <c r="J48" s="536">
        <v>0.1</v>
      </c>
      <c r="K48" s="1138">
        <v>149.27908077081361</v>
      </c>
      <c r="L48" s="1604">
        <f t="shared" si="7"/>
        <v>14.927908077081362</v>
      </c>
      <c r="M48" s="1570"/>
      <c r="N48" s="1573">
        <f t="shared" si="2"/>
        <v>2.3908077081365775E-2</v>
      </c>
      <c r="O48" s="1605">
        <f t="shared" si="5"/>
        <v>1.6041382904834797E-3</v>
      </c>
    </row>
    <row r="49" spans="1:19" ht="13.5" thickBot="1" x14ac:dyDescent="0.25">
      <c r="A49" s="1557"/>
      <c r="B49" s="1558" t="s">
        <v>683</v>
      </c>
      <c r="C49" s="1566"/>
      <c r="D49" s="538" t="s">
        <v>114</v>
      </c>
      <c r="E49" s="1566"/>
      <c r="F49" s="1606">
        <v>0.11700000000000001</v>
      </c>
      <c r="G49" s="1138">
        <v>149.03999999999996</v>
      </c>
      <c r="H49" s="1604">
        <f t="shared" si="6"/>
        <v>17.437679999999997</v>
      </c>
      <c r="I49" s="1570"/>
      <c r="J49" s="536">
        <v>0.11700000000000001</v>
      </c>
      <c r="K49" s="1138">
        <v>149.27908077081361</v>
      </c>
      <c r="L49" s="1604">
        <f t="shared" si="7"/>
        <v>17.465652450185193</v>
      </c>
      <c r="M49" s="1570"/>
      <c r="N49" s="1573">
        <f t="shared" si="2"/>
        <v>2.7972450185195896E-2</v>
      </c>
      <c r="O49" s="1605">
        <f t="shared" si="5"/>
        <v>1.6041382904833615E-3</v>
      </c>
    </row>
    <row r="50" spans="1:19" ht="13.5" thickBot="1" x14ac:dyDescent="0.25">
      <c r="A50" s="1557"/>
      <c r="B50" s="1607"/>
      <c r="C50" s="1608"/>
      <c r="D50" s="1609"/>
      <c r="E50" s="1608"/>
      <c r="F50" s="1610"/>
      <c r="G50" s="1611"/>
      <c r="H50" s="1612"/>
      <c r="I50" s="1613"/>
      <c r="J50" s="1610"/>
      <c r="K50" s="1614"/>
      <c r="L50" s="1612"/>
      <c r="M50" s="1613"/>
      <c r="N50" s="1615"/>
      <c r="O50" s="1616"/>
    </row>
    <row r="51" spans="1:19" x14ac:dyDescent="0.2">
      <c r="A51" s="1557"/>
      <c r="B51" s="1617" t="s">
        <v>684</v>
      </c>
      <c r="C51" s="1566"/>
      <c r="D51" s="1566"/>
      <c r="E51" s="1566"/>
      <c r="F51" s="1618"/>
      <c r="G51" s="1619"/>
      <c r="H51" s="1620">
        <f>SUM(H40:H46)</f>
        <v>108.08759999999998</v>
      </c>
      <c r="I51" s="1621"/>
      <c r="J51" s="1622"/>
      <c r="K51" s="1622"/>
      <c r="L51" s="1623">
        <f>SUM(L40:L46)</f>
        <v>111.85812023598365</v>
      </c>
      <c r="M51" s="1624"/>
      <c r="N51" s="1625">
        <f t="shared" si="2"/>
        <v>3.7705202359836676</v>
      </c>
      <c r="O51" s="1626">
        <f t="shared" si="5"/>
        <v>3.488392966430625E-2</v>
      </c>
    </row>
    <row r="52" spans="1:19" x14ac:dyDescent="0.2">
      <c r="A52" s="1557"/>
      <c r="B52" s="1627" t="s">
        <v>36</v>
      </c>
      <c r="C52" s="1566"/>
      <c r="D52" s="1566"/>
      <c r="E52" s="1566"/>
      <c r="F52" s="1628">
        <v>0.13</v>
      </c>
      <c r="G52" s="1619"/>
      <c r="H52" s="1629">
        <f>H51*F52</f>
        <v>14.051387999999998</v>
      </c>
      <c r="I52" s="1630"/>
      <c r="J52" s="1631">
        <v>0.13</v>
      </c>
      <c r="K52" s="1632"/>
      <c r="L52" s="1633">
        <f>L51*J52</f>
        <v>14.541555630677875</v>
      </c>
      <c r="M52" s="1634"/>
      <c r="N52" s="1635">
        <f t="shared" si="2"/>
        <v>0.4901676306778775</v>
      </c>
      <c r="O52" s="1636">
        <f t="shared" si="5"/>
        <v>3.4883929664306298E-2</v>
      </c>
    </row>
    <row r="53" spans="1:19" x14ac:dyDescent="0.2">
      <c r="A53" s="1557"/>
      <c r="B53" s="1637" t="s">
        <v>1369</v>
      </c>
      <c r="C53" s="1566"/>
      <c r="D53" s="1566"/>
      <c r="E53" s="1566"/>
      <c r="F53" s="1638"/>
      <c r="G53" s="1639"/>
      <c r="H53" s="1629">
        <f>H51+H52</f>
        <v>122.13898799999998</v>
      </c>
      <c r="I53" s="1630"/>
      <c r="J53" s="1630"/>
      <c r="K53" s="1630"/>
      <c r="L53" s="1633">
        <f>L51+L52</f>
        <v>126.39967586666152</v>
      </c>
      <c r="M53" s="1634"/>
      <c r="N53" s="1635">
        <f t="shared" si="2"/>
        <v>4.2606878666615415</v>
      </c>
      <c r="O53" s="1636">
        <f t="shared" si="5"/>
        <v>3.4883929664306222E-2</v>
      </c>
    </row>
    <row r="54" spans="1:19" ht="12.75" customHeight="1" x14ac:dyDescent="0.2">
      <c r="A54" s="1557"/>
      <c r="B54" s="2246" t="s">
        <v>2097</v>
      </c>
      <c r="C54" s="2246"/>
      <c r="D54" s="2246"/>
      <c r="E54" s="1566"/>
      <c r="F54" s="1638"/>
      <c r="G54" s="1639"/>
      <c r="H54" s="1640">
        <f>ROUND(-H53*10%,2)</f>
        <v>-12.21</v>
      </c>
      <c r="I54" s="1630"/>
      <c r="J54" s="1630"/>
      <c r="K54" s="1630"/>
      <c r="L54" s="1641">
        <f>ROUND(-L53*10%,2)</f>
        <v>-12.64</v>
      </c>
      <c r="M54" s="1634"/>
      <c r="N54" s="1642">
        <f t="shared" si="2"/>
        <v>-0.42999999999999972</v>
      </c>
      <c r="O54" s="1643">
        <f t="shared" si="5"/>
        <v>3.5217035217035189E-2</v>
      </c>
    </row>
    <row r="55" spans="1:19" ht="13.5" customHeight="1" thickBot="1" x14ac:dyDescent="0.25">
      <c r="A55" s="1557"/>
      <c r="B55" s="2247" t="s">
        <v>687</v>
      </c>
      <c r="C55" s="2247"/>
      <c r="D55" s="2247"/>
      <c r="E55" s="1644"/>
      <c r="F55" s="1645"/>
      <c r="G55" s="1646"/>
      <c r="H55" s="1647">
        <f>SUM(H53:H54)</f>
        <v>109.92898799999998</v>
      </c>
      <c r="I55" s="1648"/>
      <c r="J55" s="1648"/>
      <c r="K55" s="1648"/>
      <c r="L55" s="1649">
        <f>SUM(L53:L54)</f>
        <v>113.75967586666152</v>
      </c>
      <c r="M55" s="1650"/>
      <c r="N55" s="1651">
        <f t="shared" si="2"/>
        <v>3.8306878666615489</v>
      </c>
      <c r="O55" s="1652">
        <f t="shared" si="5"/>
        <v>3.4846931063001782E-2</v>
      </c>
      <c r="S55" s="615"/>
    </row>
    <row r="56" spans="1:19" ht="13.5" thickBot="1" x14ac:dyDescent="0.25">
      <c r="A56" s="1557"/>
      <c r="B56" s="1607"/>
      <c r="C56" s="1608"/>
      <c r="D56" s="1609"/>
      <c r="E56" s="1608"/>
      <c r="F56" s="1653"/>
      <c r="G56" s="1654"/>
      <c r="H56" s="1655"/>
      <c r="I56" s="1656"/>
      <c r="J56" s="1653"/>
      <c r="K56" s="1611"/>
      <c r="L56" s="1657"/>
      <c r="M56" s="1613"/>
      <c r="N56" s="1658"/>
      <c r="O56" s="1616"/>
      <c r="S56" s="615"/>
    </row>
    <row r="57" spans="1:19" x14ac:dyDescent="0.2">
      <c r="A57" s="1557"/>
      <c r="B57" s="1617" t="s">
        <v>685</v>
      </c>
      <c r="C57" s="1566"/>
      <c r="D57" s="1566"/>
      <c r="E57" s="1566"/>
      <c r="F57" s="1618"/>
      <c r="G57" s="1619"/>
      <c r="H57" s="1620">
        <f>SUM(H40:H44,H47:H49)</f>
        <v>109.81008</v>
      </c>
      <c r="I57" s="1621"/>
      <c r="J57" s="1622"/>
      <c r="K57" s="1622"/>
      <c r="L57" s="1659">
        <f>SUM(L40:L44,L47:L49)</f>
        <v>113.57085105344046</v>
      </c>
      <c r="M57" s="1624"/>
      <c r="N57" s="1625">
        <f>L57-H57</f>
        <v>3.7607710534404646</v>
      </c>
      <c r="O57" s="1626">
        <f>IF((H57)=0,"",(N57/H57))</f>
        <v>3.4247958415479389E-2</v>
      </c>
      <c r="S57" s="615"/>
    </row>
    <row r="58" spans="1:19" s="617" customFormat="1" x14ac:dyDescent="0.2">
      <c r="A58" s="1557"/>
      <c r="B58" s="1627" t="s">
        <v>36</v>
      </c>
      <c r="C58" s="1566"/>
      <c r="D58" s="1566"/>
      <c r="E58" s="1566"/>
      <c r="F58" s="1628">
        <v>0.13</v>
      </c>
      <c r="G58" s="1639"/>
      <c r="H58" s="1629">
        <f>H57*F58</f>
        <v>14.2753104</v>
      </c>
      <c r="I58" s="1630"/>
      <c r="J58" s="1660">
        <v>0.13</v>
      </c>
      <c r="K58" s="1630"/>
      <c r="L58" s="1633">
        <f>L57*J58</f>
        <v>14.764210636947261</v>
      </c>
      <c r="M58" s="1634"/>
      <c r="N58" s="1635">
        <f t="shared" si="2"/>
        <v>0.48890023694726104</v>
      </c>
      <c r="O58" s="1636">
        <f t="shared" si="5"/>
        <v>3.4247958415479431E-2</v>
      </c>
    </row>
    <row r="59" spans="1:19" s="617" customFormat="1" x14ac:dyDescent="0.2">
      <c r="A59" s="1557"/>
      <c r="B59" s="1637" t="s">
        <v>1369</v>
      </c>
      <c r="C59" s="1566"/>
      <c r="D59" s="1566"/>
      <c r="E59" s="1566"/>
      <c r="F59" s="1638"/>
      <c r="G59" s="1639"/>
      <c r="H59" s="1629">
        <f>H57+H58</f>
        <v>124.08539039999999</v>
      </c>
      <c r="I59" s="1630"/>
      <c r="J59" s="1630"/>
      <c r="K59" s="1630"/>
      <c r="L59" s="1633">
        <f>L57+L58</f>
        <v>128.33506169038773</v>
      </c>
      <c r="M59" s="1634"/>
      <c r="N59" s="1635">
        <f t="shared" si="2"/>
        <v>4.2496712903877381</v>
      </c>
      <c r="O59" s="1636">
        <f t="shared" si="5"/>
        <v>3.4247958415479493E-2</v>
      </c>
    </row>
    <row r="60" spans="1:19" ht="8.25" customHeight="1" x14ac:dyDescent="0.2">
      <c r="A60" s="1557"/>
      <c r="B60" s="2246" t="s">
        <v>2097</v>
      </c>
      <c r="C60" s="2246"/>
      <c r="D60" s="2246"/>
      <c r="E60" s="1566"/>
      <c r="F60" s="1638"/>
      <c r="G60" s="1639"/>
      <c r="H60" s="1640">
        <f>ROUND(-H59*10%,2)</f>
        <v>-12.41</v>
      </c>
      <c r="I60" s="1630"/>
      <c r="J60" s="1630"/>
      <c r="K60" s="1630"/>
      <c r="L60" s="1641">
        <f>ROUND(-L59*10%,2)</f>
        <v>-12.83</v>
      </c>
      <c r="M60" s="1634"/>
      <c r="N60" s="1642">
        <f t="shared" si="2"/>
        <v>-0.41999999999999993</v>
      </c>
      <c r="O60" s="1643">
        <f t="shared" si="5"/>
        <v>3.38436744560838E-2</v>
      </c>
    </row>
    <row r="61" spans="1:19" ht="13.5" customHeight="1" thickBot="1" x14ac:dyDescent="0.25">
      <c r="A61" s="1557"/>
      <c r="B61" s="2247" t="s">
        <v>686</v>
      </c>
      <c r="C61" s="2247"/>
      <c r="D61" s="2247"/>
      <c r="E61" s="1644"/>
      <c r="F61" s="1661"/>
      <c r="G61" s="1662"/>
      <c r="H61" s="1663">
        <f>H59+H60</f>
        <v>111.6753904</v>
      </c>
      <c r="I61" s="1664"/>
      <c r="J61" s="1664"/>
      <c r="K61" s="1664"/>
      <c r="L61" s="1665">
        <f>L59+L60</f>
        <v>115.50506169038773</v>
      </c>
      <c r="M61" s="1666"/>
      <c r="N61" s="1667">
        <f t="shared" si="2"/>
        <v>3.8296712903877363</v>
      </c>
      <c r="O61" s="1668">
        <f t="shared" si="5"/>
        <v>3.429288473199496E-2</v>
      </c>
      <c r="S61" s="615"/>
    </row>
    <row r="62" spans="1:19" ht="13.5" thickBot="1" x14ac:dyDescent="0.25">
      <c r="A62" s="1557"/>
      <c r="B62" s="1607"/>
      <c r="C62" s="1608"/>
      <c r="D62" s="1609"/>
      <c r="E62" s="1608"/>
      <c r="F62" s="1653"/>
      <c r="G62" s="1654"/>
      <c r="H62" s="1655"/>
      <c r="I62" s="1656"/>
      <c r="J62" s="1653"/>
      <c r="K62" s="1611"/>
      <c r="L62" s="1657"/>
      <c r="M62" s="1613"/>
      <c r="N62" s="1658"/>
      <c r="O62" s="1616"/>
      <c r="S62" s="615"/>
    </row>
    <row r="63" spans="1:19" x14ac:dyDescent="0.2">
      <c r="A63" s="1557"/>
      <c r="B63" s="1557"/>
      <c r="C63" s="1557"/>
      <c r="D63" s="1557"/>
      <c r="E63" s="1557"/>
      <c r="F63" s="1557"/>
      <c r="G63" s="1557"/>
      <c r="H63" s="1557"/>
      <c r="I63" s="1557"/>
      <c r="J63" s="1557"/>
      <c r="K63" s="1557"/>
      <c r="L63" s="1669"/>
      <c r="M63" s="1557"/>
      <c r="N63" s="1557"/>
      <c r="O63" s="1557"/>
      <c r="S63" s="615"/>
    </row>
    <row r="64" spans="1:19" ht="15.75" customHeight="1" x14ac:dyDescent="0.2">
      <c r="A64" s="1557"/>
      <c r="B64" s="5" t="s">
        <v>37</v>
      </c>
      <c r="C64" s="1557"/>
      <c r="E64" s="1557"/>
      <c r="F64" s="537">
        <v>3.499999999999992E-2</v>
      </c>
      <c r="G64" s="1557"/>
      <c r="H64" s="1557"/>
      <c r="I64" s="1557"/>
      <c r="J64" s="537">
        <v>3.6660283130650173E-2</v>
      </c>
      <c r="K64" s="1557"/>
      <c r="L64" s="1557"/>
      <c r="M64" s="1557"/>
      <c r="N64" s="1557"/>
      <c r="O64" s="1557"/>
    </row>
    <row r="65" spans="1:15" ht="13.5" customHeight="1" x14ac:dyDescent="0.2">
      <c r="A65" s="1557"/>
      <c r="B65" s="1557"/>
      <c r="C65" s="1557"/>
      <c r="D65" s="1557"/>
      <c r="E65" s="1557"/>
      <c r="F65" s="1557"/>
      <c r="G65" s="1557"/>
      <c r="H65" s="1557"/>
      <c r="I65" s="1557"/>
      <c r="J65" s="1557"/>
      <c r="K65" s="1557"/>
      <c r="L65" s="1557"/>
      <c r="M65" s="1557"/>
      <c r="N65" s="1557"/>
      <c r="O65" s="1557"/>
    </row>
    <row r="66" spans="1:15" s="617" customFormat="1" ht="18" customHeight="1" x14ac:dyDescent="0.2">
      <c r="A66" s="1682" t="s">
        <v>2100</v>
      </c>
      <c r="B66" s="1679"/>
      <c r="C66" s="1679"/>
      <c r="D66" s="1679"/>
      <c r="E66" s="1679"/>
      <c r="F66" s="1679"/>
      <c r="G66" s="1679"/>
      <c r="H66" s="1679"/>
      <c r="I66" s="1679"/>
      <c r="J66" s="1679"/>
      <c r="K66" s="1679"/>
      <c r="L66" s="1679"/>
      <c r="M66" s="1679"/>
      <c r="N66" s="1679"/>
      <c r="O66" s="1679"/>
    </row>
    <row r="67" spans="1:15" s="617" customFormat="1" x14ac:dyDescent="0.2">
      <c r="A67" s="1679"/>
      <c r="B67" s="1679"/>
      <c r="C67" s="1679"/>
      <c r="D67" s="1679"/>
      <c r="E67" s="1679"/>
      <c r="F67" s="1679"/>
      <c r="G67" s="1679"/>
      <c r="H67" s="1679"/>
      <c r="I67" s="1679"/>
      <c r="J67" s="1679"/>
      <c r="K67" s="1679"/>
      <c r="L67" s="1679"/>
      <c r="M67" s="1679"/>
      <c r="N67" s="1679"/>
      <c r="O67" s="1679"/>
    </row>
    <row r="68" spans="1:15" s="617" customFormat="1" x14ac:dyDescent="0.2">
      <c r="A68" s="1680" t="s">
        <v>126</v>
      </c>
      <c r="B68" s="1679"/>
      <c r="C68" s="1679"/>
      <c r="D68" s="1679"/>
      <c r="E68" s="1679"/>
      <c r="F68" s="1679"/>
      <c r="G68" s="1679"/>
      <c r="H68" s="1679"/>
      <c r="I68" s="1679"/>
      <c r="J68" s="1679"/>
      <c r="K68" s="1679"/>
      <c r="L68" s="1679"/>
      <c r="M68" s="1679"/>
      <c r="N68" s="1679"/>
      <c r="O68" s="1679"/>
    </row>
    <row r="69" spans="1:15" s="617" customFormat="1" x14ac:dyDescent="0.2">
      <c r="A69" s="1680" t="s">
        <v>127</v>
      </c>
      <c r="B69" s="1679"/>
      <c r="C69" s="1679"/>
      <c r="D69" s="1679"/>
      <c r="E69" s="1679"/>
      <c r="F69" s="1679"/>
      <c r="G69" s="1679"/>
      <c r="H69" s="1679"/>
      <c r="I69" s="1679"/>
      <c r="J69" s="1679"/>
      <c r="K69" s="1679"/>
      <c r="L69" s="1679"/>
      <c r="M69" s="1679"/>
      <c r="N69" s="1679"/>
      <c r="O69" s="1679"/>
    </row>
    <row r="70" spans="1:15" s="617" customFormat="1" ht="15.75" customHeight="1" x14ac:dyDescent="0.2">
      <c r="A70" s="1557"/>
      <c r="B70" s="1557"/>
      <c r="C70" s="1557"/>
      <c r="D70" s="1557"/>
      <c r="E70" s="1557"/>
      <c r="F70" s="1557"/>
      <c r="G70" s="1557"/>
      <c r="H70" s="1557"/>
      <c r="I70" s="1557"/>
      <c r="J70" s="1557"/>
      <c r="K70" s="1557"/>
      <c r="L70" s="1557"/>
      <c r="M70" s="1557"/>
      <c r="N70" s="1557"/>
      <c r="O70" s="1557"/>
    </row>
    <row r="71" spans="1:15" s="617" customFormat="1" ht="13.5" customHeight="1" x14ac:dyDescent="0.2">
      <c r="A71" s="1681" t="s">
        <v>2101</v>
      </c>
      <c r="B71" s="1679"/>
      <c r="C71" s="1557"/>
      <c r="D71" s="1557"/>
      <c r="E71" s="1557"/>
      <c r="F71" s="1557"/>
      <c r="G71" s="1557"/>
      <c r="H71" s="1557"/>
      <c r="I71" s="1557"/>
      <c r="J71" s="1557"/>
      <c r="K71" s="1557"/>
      <c r="L71" s="1557"/>
      <c r="M71" s="1557"/>
      <c r="N71" s="1557"/>
      <c r="O71" s="1557"/>
    </row>
    <row r="72" spans="1:15" s="617" customFormat="1" ht="8.25" customHeight="1" x14ac:dyDescent="0.2">
      <c r="A72" s="1681" t="s">
        <v>128</v>
      </c>
      <c r="B72" s="1679"/>
      <c r="C72" s="1557"/>
      <c r="D72" s="1557"/>
      <c r="E72" s="1557"/>
      <c r="F72" s="1557"/>
      <c r="G72" s="1557"/>
      <c r="H72" s="1557"/>
      <c r="I72" s="1557"/>
      <c r="J72" s="1557"/>
      <c r="K72" s="1557"/>
      <c r="L72" s="1557"/>
      <c r="M72" s="1557"/>
      <c r="N72" s="1557"/>
      <c r="O72" s="1557"/>
    </row>
    <row r="73" spans="1:15" ht="10.5" customHeight="1" x14ac:dyDescent="0.2">
      <c r="A73" s="1557"/>
      <c r="B73" s="1557"/>
      <c r="C73" s="1557"/>
      <c r="D73" s="1557"/>
      <c r="E73" s="1557"/>
      <c r="F73" s="1557"/>
      <c r="G73" s="1557"/>
      <c r="H73" s="1557"/>
      <c r="I73" s="1557"/>
      <c r="J73" s="1557"/>
      <c r="K73" s="1557"/>
      <c r="L73" s="1557"/>
      <c r="M73" s="1557"/>
      <c r="N73" s="1557"/>
      <c r="O73" s="1557"/>
    </row>
    <row r="74" spans="1:15" x14ac:dyDescent="0.2">
      <c r="A74" s="1680" t="s">
        <v>129</v>
      </c>
      <c r="B74" s="1679"/>
      <c r="C74" s="1557"/>
      <c r="D74" s="1557"/>
      <c r="E74" s="1557"/>
      <c r="F74" s="1557"/>
      <c r="G74" s="1557"/>
      <c r="H74" s="1557"/>
      <c r="I74" s="1557"/>
      <c r="J74" s="1557"/>
      <c r="K74" s="1557"/>
      <c r="L74" s="1557"/>
      <c r="M74" s="1557"/>
      <c r="N74" s="1557"/>
      <c r="O74" s="1557"/>
    </row>
    <row r="75" spans="1:15" ht="10.5" customHeight="1" x14ac:dyDescent="0.2">
      <c r="A75" s="1680" t="s">
        <v>130</v>
      </c>
      <c r="B75" s="1679"/>
      <c r="C75" s="1557"/>
      <c r="D75" s="1557"/>
      <c r="E75" s="1557"/>
      <c r="F75" s="1557"/>
      <c r="G75" s="1557"/>
      <c r="H75" s="1557"/>
      <c r="I75" s="1557"/>
      <c r="J75" s="1557"/>
      <c r="K75" s="1557"/>
      <c r="L75" s="1557"/>
      <c r="M75" s="1557"/>
      <c r="N75" s="1557"/>
      <c r="O75" s="1557"/>
    </row>
    <row r="76" spans="1:15" ht="10.5" customHeight="1" x14ac:dyDescent="0.2">
      <c r="A76" s="1680" t="s">
        <v>131</v>
      </c>
      <c r="B76" s="1679"/>
      <c r="C76" s="1557"/>
      <c r="D76" s="1557"/>
      <c r="E76" s="1557"/>
      <c r="F76" s="1557"/>
      <c r="G76" s="1557"/>
      <c r="H76" s="1557"/>
      <c r="I76" s="1557"/>
      <c r="J76" s="1557"/>
      <c r="K76" s="1557"/>
      <c r="L76" s="1557"/>
      <c r="M76" s="1557"/>
      <c r="N76" s="1557"/>
      <c r="O76" s="1557"/>
    </row>
    <row r="77" spans="1:15" ht="10.5" customHeight="1" x14ac:dyDescent="0.2">
      <c r="A77" s="1680" t="s">
        <v>132</v>
      </c>
      <c r="B77" s="1679"/>
      <c r="C77" s="1557"/>
      <c r="D77" s="1557"/>
      <c r="E77" s="1557"/>
      <c r="F77" s="1557"/>
      <c r="G77" s="1557"/>
      <c r="H77" s="1557"/>
      <c r="I77" s="1557"/>
      <c r="J77" s="1557"/>
      <c r="K77" s="1557"/>
      <c r="L77" s="1557"/>
      <c r="M77" s="1557"/>
      <c r="N77" s="1557"/>
      <c r="O77" s="1557"/>
    </row>
    <row r="78" spans="1:15" x14ac:dyDescent="0.2">
      <c r="A78" s="1680" t="s">
        <v>133</v>
      </c>
      <c r="B78" s="1679"/>
      <c r="C78" s="1557"/>
      <c r="D78" s="1557"/>
      <c r="E78" s="1557"/>
      <c r="F78" s="1557"/>
      <c r="G78" s="1557"/>
      <c r="H78" s="1557"/>
      <c r="I78" s="1557"/>
      <c r="J78" s="1557"/>
      <c r="K78" s="1557"/>
      <c r="L78" s="1557"/>
      <c r="M78" s="1557"/>
      <c r="N78" s="1557"/>
      <c r="O78" s="1557"/>
    </row>
    <row r="79" spans="1:15" x14ac:dyDescent="0.2">
      <c r="A79"/>
      <c r="B79"/>
      <c r="C79"/>
      <c r="D79"/>
      <c r="E79"/>
      <c r="F79"/>
      <c r="G79"/>
      <c r="H79"/>
      <c r="I79"/>
      <c r="J79"/>
      <c r="K79"/>
      <c r="L79"/>
      <c r="M79"/>
      <c r="N79"/>
      <c r="O79"/>
    </row>
    <row r="80" spans="1:15" ht="21.75" x14ac:dyDescent="0.2">
      <c r="A80" s="1683"/>
      <c r="B80" s="1680" t="s">
        <v>2102</v>
      </c>
      <c r="C80" s="1670"/>
      <c r="D80" s="24"/>
      <c r="E80" s="1670"/>
      <c r="F80" s="24"/>
      <c r="G80" s="1670"/>
      <c r="H80" s="1670"/>
      <c r="I80" s="1670"/>
      <c r="J80" s="24"/>
      <c r="K80" s="1670"/>
      <c r="L80" s="1671"/>
      <c r="M80" s="1671"/>
      <c r="N80" s="14"/>
      <c r="O80" s="208"/>
    </row>
    <row r="81" spans="1:15" ht="18" x14ac:dyDescent="0.25">
      <c r="A81" s="1672"/>
      <c r="B81" s="23"/>
      <c r="C81" s="1672"/>
      <c r="D81" s="23"/>
      <c r="E81" s="1672"/>
      <c r="F81" s="23"/>
      <c r="G81" s="1672"/>
      <c r="H81" s="1672"/>
      <c r="I81" s="1672"/>
      <c r="J81" s="23"/>
      <c r="K81" s="1672"/>
      <c r="L81" s="1671"/>
      <c r="M81" s="1671"/>
      <c r="N81" s="14" t="s">
        <v>420</v>
      </c>
      <c r="O81" s="209">
        <v>1</v>
      </c>
    </row>
    <row r="82" spans="1:15" ht="18" x14ac:dyDescent="0.25">
      <c r="A82" s="2255"/>
      <c r="B82" s="2255"/>
      <c r="C82" s="2255"/>
      <c r="D82" s="2255"/>
      <c r="E82" s="2255"/>
      <c r="F82" s="2255"/>
      <c r="G82" s="2255"/>
      <c r="H82" s="2255"/>
      <c r="I82" s="2255"/>
      <c r="J82" s="2255"/>
      <c r="K82" s="2255"/>
      <c r="L82" s="1671"/>
      <c r="M82" s="1671"/>
      <c r="N82" s="14" t="s">
        <v>421</v>
      </c>
      <c r="O82" s="209">
        <v>2</v>
      </c>
    </row>
    <row r="83" spans="1:15" ht="18" x14ac:dyDescent="0.25">
      <c r="A83" s="1672"/>
      <c r="B83" s="23"/>
      <c r="C83" s="1672"/>
      <c r="D83" s="23"/>
      <c r="E83" s="1672"/>
      <c r="F83" s="23"/>
      <c r="G83" s="1672"/>
      <c r="H83" s="1672"/>
      <c r="I83" s="1673"/>
      <c r="J83" s="21"/>
      <c r="K83" s="1673"/>
      <c r="L83" s="1671"/>
      <c r="M83" s="1671"/>
      <c r="N83" s="14" t="s">
        <v>422</v>
      </c>
      <c r="O83" s="209">
        <v>2</v>
      </c>
    </row>
    <row r="84" spans="1:15" ht="15.75" x14ac:dyDescent="0.25">
      <c r="A84" s="1671"/>
      <c r="B84" s="20"/>
      <c r="C84" s="1674"/>
      <c r="D84" s="22"/>
      <c r="E84" s="1674"/>
      <c r="F84" s="20"/>
      <c r="G84" s="1671"/>
      <c r="H84" s="1671"/>
      <c r="I84" s="1671"/>
      <c r="J84" s="20"/>
      <c r="K84" s="1671"/>
      <c r="L84" s="1671"/>
      <c r="M84" s="1671"/>
      <c r="N84" s="14" t="s">
        <v>423</v>
      </c>
      <c r="O84" s="210"/>
    </row>
    <row r="85" spans="1:15" x14ac:dyDescent="0.2">
      <c r="A85" s="1671"/>
      <c r="B85" s="20"/>
      <c r="C85" s="1671"/>
      <c r="D85" s="20"/>
      <c r="E85" s="1671"/>
      <c r="F85" s="20"/>
      <c r="G85" s="1671"/>
      <c r="H85" s="1671"/>
      <c r="I85" s="1671"/>
      <c r="J85" s="20"/>
      <c r="K85" s="1671"/>
      <c r="L85" s="1671"/>
      <c r="M85" s="1671"/>
      <c r="N85" s="14"/>
      <c r="O85" s="208"/>
    </row>
    <row r="86" spans="1:15" x14ac:dyDescent="0.2">
      <c r="A86" s="1671"/>
      <c r="B86" s="20"/>
      <c r="C86" s="1671"/>
      <c r="D86" s="20"/>
      <c r="E86" s="1671"/>
      <c r="F86" s="20"/>
      <c r="G86" s="1671"/>
      <c r="H86" s="1671"/>
      <c r="I86" s="1671"/>
      <c r="J86" s="20"/>
      <c r="K86" s="1671"/>
      <c r="L86" s="1671"/>
      <c r="M86" s="1671"/>
      <c r="N86" s="14" t="s">
        <v>424</v>
      </c>
      <c r="O86" s="1466">
        <v>42119</v>
      </c>
    </row>
    <row r="87" spans="1:15" x14ac:dyDescent="0.2">
      <c r="A87" s="1671"/>
      <c r="B87" s="20"/>
      <c r="C87" s="1671"/>
      <c r="D87" s="20"/>
      <c r="E87" s="1671"/>
      <c r="F87" s="20"/>
      <c r="G87" s="1671"/>
      <c r="H87" s="1671"/>
      <c r="I87" s="1671"/>
      <c r="J87" s="20"/>
      <c r="K87" s="1671"/>
      <c r="L87" s="1671"/>
      <c r="M87" s="1671"/>
      <c r="N87" s="1557"/>
      <c r="O87" s="1312"/>
    </row>
    <row r="88" spans="1:15" x14ac:dyDescent="0.2">
      <c r="A88" s="1557"/>
      <c r="B88" s="1557"/>
      <c r="C88" s="1557"/>
      <c r="D88" s="1557"/>
      <c r="E88" s="1557"/>
      <c r="F88" s="1557"/>
      <c r="G88" s="1557"/>
      <c r="H88" s="1557"/>
      <c r="I88" s="1557"/>
      <c r="J88" s="1557"/>
      <c r="K88" s="1557"/>
      <c r="L88" s="1312"/>
      <c r="M88" s="1312"/>
      <c r="N88" s="1312"/>
      <c r="O88" s="1312"/>
    </row>
    <row r="89" spans="1:15" ht="18" x14ac:dyDescent="0.25">
      <c r="A89" s="1557"/>
      <c r="B89" s="2256" t="s">
        <v>646</v>
      </c>
      <c r="C89" s="2256"/>
      <c r="D89" s="2256"/>
      <c r="E89" s="2256"/>
      <c r="F89" s="2256"/>
      <c r="G89" s="2256"/>
      <c r="H89" s="2256"/>
      <c r="I89" s="2256"/>
      <c r="J89" s="2256"/>
      <c r="K89" s="2256"/>
      <c r="L89" s="2256"/>
      <c r="M89" s="2256"/>
      <c r="N89" s="2256"/>
      <c r="O89" s="2256"/>
    </row>
    <row r="90" spans="1:15" ht="18" x14ac:dyDescent="0.25">
      <c r="A90" s="1557"/>
      <c r="B90" s="2256" t="s">
        <v>61</v>
      </c>
      <c r="C90" s="2256"/>
      <c r="D90" s="2256"/>
      <c r="E90" s="2256"/>
      <c r="F90" s="2256"/>
      <c r="G90" s="2256"/>
      <c r="H90" s="2256"/>
      <c r="I90" s="2256"/>
      <c r="J90" s="2256"/>
      <c r="K90" s="2256"/>
      <c r="L90" s="2256"/>
      <c r="M90" s="2256"/>
      <c r="N90" s="2256"/>
      <c r="O90" s="2256"/>
    </row>
    <row r="91" spans="1:15" x14ac:dyDescent="0.2">
      <c r="A91" s="1557"/>
      <c r="B91" s="1557"/>
      <c r="C91" s="1557"/>
      <c r="D91" s="1557"/>
      <c r="E91" s="1557"/>
      <c r="F91" s="1557"/>
      <c r="G91" s="1557"/>
      <c r="H91" s="1557"/>
      <c r="I91" s="1557"/>
      <c r="J91" s="1557"/>
      <c r="K91" s="1557"/>
      <c r="L91" s="1312"/>
      <c r="M91" s="1312"/>
      <c r="N91" s="1312"/>
      <c r="O91" s="1312"/>
    </row>
    <row r="92" spans="1:15" x14ac:dyDescent="0.2">
      <c r="A92" s="1557"/>
      <c r="B92" s="1557"/>
      <c r="C92" s="1557"/>
      <c r="D92" s="1557"/>
      <c r="E92" s="1557"/>
      <c r="F92" s="1557"/>
      <c r="G92" s="1557"/>
      <c r="H92" s="1557"/>
      <c r="I92" s="1557"/>
      <c r="J92" s="1557"/>
      <c r="K92" s="1557"/>
      <c r="L92" s="1312"/>
      <c r="M92" s="1312"/>
      <c r="N92" s="1312"/>
      <c r="O92" s="1312"/>
    </row>
    <row r="93" spans="1:15" ht="15.75" x14ac:dyDescent="0.2">
      <c r="A93" s="1557"/>
      <c r="B93" s="26" t="s">
        <v>38</v>
      </c>
      <c r="C93" s="1557"/>
      <c r="D93" s="2248" t="s">
        <v>2098</v>
      </c>
      <c r="E93" s="2248"/>
      <c r="F93" s="2248"/>
      <c r="G93" s="2248"/>
      <c r="H93" s="2248"/>
      <c r="I93" s="2248"/>
      <c r="J93" s="2248"/>
      <c r="K93" s="2248"/>
      <c r="L93" s="2248"/>
      <c r="M93" s="2248"/>
      <c r="N93" s="2248"/>
      <c r="O93" s="2248"/>
    </row>
    <row r="94" spans="1:15" ht="15.75" x14ac:dyDescent="0.25">
      <c r="A94" s="1557"/>
      <c r="B94" s="1675"/>
      <c r="C94" s="1557"/>
      <c r="D94" s="1676"/>
      <c r="E94" s="1676"/>
      <c r="F94" s="1676"/>
      <c r="G94" s="1676"/>
      <c r="H94" s="1676"/>
      <c r="I94" s="1676"/>
      <c r="J94" s="1676"/>
      <c r="K94" s="1676"/>
      <c r="L94" s="1676"/>
      <c r="M94" s="1676"/>
      <c r="N94" s="1676"/>
      <c r="O94" s="1676"/>
    </row>
    <row r="95" spans="1:15" x14ac:dyDescent="0.2">
      <c r="A95" s="1557"/>
      <c r="B95" s="611"/>
      <c r="C95" s="1557"/>
      <c r="D95" s="5" t="s">
        <v>16</v>
      </c>
      <c r="E95" s="1677"/>
      <c r="F95" s="1678">
        <v>2000</v>
      </c>
      <c r="G95" s="1677" t="s">
        <v>17</v>
      </c>
      <c r="H95" s="1557"/>
      <c r="I95" s="1557"/>
      <c r="K95" s="1557"/>
      <c r="L95" s="1557"/>
      <c r="M95" s="1557"/>
      <c r="N95" s="1557"/>
      <c r="O95" s="1557"/>
    </row>
    <row r="96" spans="1:15" x14ac:dyDescent="0.2">
      <c r="A96" s="1557"/>
      <c r="B96" s="1558"/>
      <c r="C96" s="1557"/>
      <c r="D96" s="1557"/>
      <c r="E96" s="1557"/>
      <c r="F96" s="1557"/>
      <c r="G96" s="1557"/>
      <c r="H96" s="1557"/>
      <c r="I96" s="1557"/>
      <c r="J96" s="1557"/>
      <c r="K96" s="1557"/>
      <c r="L96" s="1557"/>
      <c r="M96" s="1557"/>
      <c r="N96" s="1557"/>
      <c r="O96" s="1557"/>
    </row>
    <row r="97" spans="1:15" x14ac:dyDescent="0.2">
      <c r="A97" s="1557"/>
      <c r="B97" s="1558"/>
      <c r="C97" s="1557"/>
      <c r="D97" s="1559"/>
      <c r="E97" s="1559"/>
      <c r="F97" s="2249" t="s">
        <v>18</v>
      </c>
      <c r="G97" s="2250"/>
      <c r="H97" s="2251"/>
      <c r="I97" s="1557"/>
      <c r="J97" s="2249" t="s">
        <v>19</v>
      </c>
      <c r="K97" s="2250"/>
      <c r="L97" s="2251"/>
      <c r="M97" s="1557"/>
      <c r="N97" s="2249" t="s">
        <v>20</v>
      </c>
      <c r="O97" s="2251"/>
    </row>
    <row r="98" spans="1:15" x14ac:dyDescent="0.2">
      <c r="A98" s="1557"/>
      <c r="B98" s="1558"/>
      <c r="C98" s="1557"/>
      <c r="D98" s="2252" t="s">
        <v>21</v>
      </c>
      <c r="E98" s="1560"/>
      <c r="F98" s="1561" t="s">
        <v>22</v>
      </c>
      <c r="G98" s="1561" t="s">
        <v>23</v>
      </c>
      <c r="H98" s="1562" t="s">
        <v>24</v>
      </c>
      <c r="I98" s="1557"/>
      <c r="J98" s="1561" t="s">
        <v>22</v>
      </c>
      <c r="K98" s="1563" t="s">
        <v>23</v>
      </c>
      <c r="L98" s="1562" t="s">
        <v>24</v>
      </c>
      <c r="M98" s="1557"/>
      <c r="N98" s="2253" t="s">
        <v>25</v>
      </c>
      <c r="O98" s="2253" t="s">
        <v>26</v>
      </c>
    </row>
    <row r="99" spans="1:15" x14ac:dyDescent="0.2">
      <c r="A99" s="1557"/>
      <c r="B99" s="1558"/>
      <c r="C99" s="1557"/>
      <c r="D99" s="2252"/>
      <c r="E99" s="1560"/>
      <c r="F99" s="1564" t="s">
        <v>427</v>
      </c>
      <c r="G99" s="1564"/>
      <c r="H99" s="1565" t="s">
        <v>427</v>
      </c>
      <c r="I99" s="1557"/>
      <c r="J99" s="1564" t="s">
        <v>427</v>
      </c>
      <c r="K99" s="1565"/>
      <c r="L99" s="1565" t="s">
        <v>427</v>
      </c>
      <c r="M99" s="1557"/>
      <c r="N99" s="2254"/>
      <c r="O99" s="2254"/>
    </row>
    <row r="100" spans="1:15" x14ac:dyDescent="0.2">
      <c r="A100" s="1557"/>
      <c r="B100" s="1566" t="s">
        <v>27</v>
      </c>
      <c r="C100" s="1566"/>
      <c r="D100" s="538" t="s">
        <v>2088</v>
      </c>
      <c r="E100" s="1566"/>
      <c r="F100" s="1567">
        <v>17.47</v>
      </c>
      <c r="G100" s="1568">
        <v>1</v>
      </c>
      <c r="H100" s="1569">
        <f>G100*F100</f>
        <v>17.47</v>
      </c>
      <c r="I100" s="1570"/>
      <c r="J100" s="1571">
        <v>24.61</v>
      </c>
      <c r="K100" s="1572">
        <v>1</v>
      </c>
      <c r="L100" s="1569">
        <f>K100*J100</f>
        <v>24.61</v>
      </c>
      <c r="M100" s="1570"/>
      <c r="N100" s="1573">
        <f>L100-H100</f>
        <v>7.1400000000000006</v>
      </c>
      <c r="O100" s="1574">
        <f>IF((H100)=0,"",(N100/H100))</f>
        <v>0.40870062965083004</v>
      </c>
    </row>
    <row r="101" spans="1:15" x14ac:dyDescent="0.2">
      <c r="A101" s="1557"/>
      <c r="B101" s="1566" t="s">
        <v>28</v>
      </c>
      <c r="C101" s="1566"/>
      <c r="D101" s="538"/>
      <c r="E101" s="1566"/>
      <c r="F101" s="1567"/>
      <c r="G101" s="1568">
        <v>1</v>
      </c>
      <c r="H101" s="1569">
        <f t="shared" ref="H101:H108" si="8">G101*F101</f>
        <v>0</v>
      </c>
      <c r="I101" s="1570"/>
      <c r="J101" s="1571"/>
      <c r="K101" s="1572">
        <v>1</v>
      </c>
      <c r="L101" s="1569">
        <f>K101*J101</f>
        <v>0</v>
      </c>
      <c r="M101" s="1570"/>
      <c r="N101" s="1573">
        <f>L101-H101</f>
        <v>0</v>
      </c>
      <c r="O101" s="1574" t="str">
        <f>IF((H101)=0,"",(N101/H101))</f>
        <v/>
      </c>
    </row>
    <row r="102" spans="1:15" x14ac:dyDescent="0.2">
      <c r="A102" s="1557"/>
      <c r="B102" s="1566" t="s">
        <v>29</v>
      </c>
      <c r="C102" s="1566"/>
      <c r="D102" s="538" t="s">
        <v>114</v>
      </c>
      <c r="E102" s="1566"/>
      <c r="F102" s="1567">
        <v>1.5100000000000001E-2</v>
      </c>
      <c r="G102" s="1568">
        <v>2000</v>
      </c>
      <c r="H102" s="1569">
        <f t="shared" si="8"/>
        <v>30.200000000000003</v>
      </c>
      <c r="I102" s="1570"/>
      <c r="J102" s="1571">
        <v>1.6799999999999999E-2</v>
      </c>
      <c r="K102" s="1568">
        <v>2000</v>
      </c>
      <c r="L102" s="1569">
        <f t="shared" ref="L102:L108" si="9">K102*J102</f>
        <v>33.6</v>
      </c>
      <c r="M102" s="1570"/>
      <c r="N102" s="1573">
        <f t="shared" ref="N102:N138" si="10">L102-H102</f>
        <v>3.3999999999999986</v>
      </c>
      <c r="O102" s="1574">
        <f t="shared" ref="O102:O109" si="11">IF((H102)=0,"",(N102/H102))</f>
        <v>0.11258278145695358</v>
      </c>
    </row>
    <row r="103" spans="1:15" x14ac:dyDescent="0.2">
      <c r="A103" s="1557"/>
      <c r="B103" s="1566" t="s">
        <v>2089</v>
      </c>
      <c r="C103" s="1566"/>
      <c r="D103" s="538" t="s">
        <v>2088</v>
      </c>
      <c r="E103" s="1566"/>
      <c r="F103" s="1567">
        <v>4.6500000000000004</v>
      </c>
      <c r="G103" s="1568">
        <v>1</v>
      </c>
      <c r="H103" s="1569">
        <f t="shared" si="8"/>
        <v>4.6500000000000004</v>
      </c>
      <c r="I103" s="1570"/>
      <c r="J103" s="1571">
        <v>0</v>
      </c>
      <c r="K103" s="1568">
        <v>1</v>
      </c>
      <c r="L103" s="1569">
        <f t="shared" si="9"/>
        <v>0</v>
      </c>
      <c r="M103" s="1570"/>
      <c r="N103" s="1573">
        <f t="shared" si="10"/>
        <v>-4.6500000000000004</v>
      </c>
      <c r="O103" s="1574">
        <f t="shared" si="11"/>
        <v>-1</v>
      </c>
    </row>
    <row r="104" spans="1:15" x14ac:dyDescent="0.2">
      <c r="A104" s="1557"/>
      <c r="B104" s="1566" t="s">
        <v>2090</v>
      </c>
      <c r="C104" s="1566"/>
      <c r="D104" s="538" t="s">
        <v>114</v>
      </c>
      <c r="E104" s="1566"/>
      <c r="F104" s="1567">
        <v>0</v>
      </c>
      <c r="G104" s="1568">
        <v>2000</v>
      </c>
      <c r="H104" s="1569">
        <f t="shared" si="8"/>
        <v>0</v>
      </c>
      <c r="I104" s="1570"/>
      <c r="J104" s="1571">
        <v>0</v>
      </c>
      <c r="K104" s="1568">
        <v>2000</v>
      </c>
      <c r="L104" s="1569">
        <f t="shared" si="9"/>
        <v>0</v>
      </c>
      <c r="M104" s="1570"/>
      <c r="N104" s="1573">
        <f t="shared" si="10"/>
        <v>0</v>
      </c>
      <c r="O104" s="1574" t="str">
        <f t="shared" si="11"/>
        <v/>
      </c>
    </row>
    <row r="105" spans="1:15" x14ac:dyDescent="0.2">
      <c r="A105" s="1557"/>
      <c r="B105" s="535" t="s">
        <v>2091</v>
      </c>
      <c r="C105" s="1566"/>
      <c r="D105" s="538" t="s">
        <v>114</v>
      </c>
      <c r="E105" s="1566"/>
      <c r="F105" s="1567">
        <v>0</v>
      </c>
      <c r="G105" s="1568">
        <v>2000</v>
      </c>
      <c r="H105" s="1569">
        <f t="shared" si="8"/>
        <v>0</v>
      </c>
      <c r="I105" s="1570"/>
      <c r="J105" s="1571">
        <v>0</v>
      </c>
      <c r="K105" s="1568">
        <v>2000</v>
      </c>
      <c r="L105" s="1569">
        <f t="shared" si="9"/>
        <v>0</v>
      </c>
      <c r="M105" s="1570"/>
      <c r="N105" s="1573">
        <f t="shared" si="10"/>
        <v>0</v>
      </c>
      <c r="O105" s="1574" t="str">
        <f t="shared" si="11"/>
        <v/>
      </c>
    </row>
    <row r="106" spans="1:15" x14ac:dyDescent="0.2">
      <c r="A106" s="1557"/>
      <c r="B106" s="535" t="s">
        <v>1751</v>
      </c>
      <c r="C106" s="1566"/>
      <c r="D106" s="538" t="s">
        <v>2088</v>
      </c>
      <c r="E106" s="1566"/>
      <c r="F106" s="1567">
        <v>0.79</v>
      </c>
      <c r="G106" s="1568">
        <v>1</v>
      </c>
      <c r="H106" s="1569">
        <f t="shared" si="8"/>
        <v>0.79</v>
      </c>
      <c r="I106" s="1570"/>
      <c r="J106" s="1571">
        <v>0.79</v>
      </c>
      <c r="K106" s="1568">
        <v>1</v>
      </c>
      <c r="L106" s="1569">
        <f t="shared" si="9"/>
        <v>0.79</v>
      </c>
      <c r="M106" s="1570"/>
      <c r="N106" s="1573">
        <f t="shared" si="10"/>
        <v>0</v>
      </c>
      <c r="O106" s="1574">
        <f t="shared" si="11"/>
        <v>0</v>
      </c>
    </row>
    <row r="107" spans="1:15" x14ac:dyDescent="0.2">
      <c r="A107" s="1557"/>
      <c r="B107" s="535" t="s">
        <v>2092</v>
      </c>
      <c r="C107" s="1566"/>
      <c r="D107" s="538" t="s">
        <v>114</v>
      </c>
      <c r="E107" s="1566"/>
      <c r="F107" s="1567">
        <v>-1E-4</v>
      </c>
      <c r="G107" s="1568">
        <v>2000</v>
      </c>
      <c r="H107" s="1569">
        <f t="shared" si="8"/>
        <v>-0.2</v>
      </c>
      <c r="I107" s="1570"/>
      <c r="J107" s="1571">
        <v>-1E-4</v>
      </c>
      <c r="K107" s="1568">
        <v>2000</v>
      </c>
      <c r="L107" s="1569">
        <f t="shared" si="9"/>
        <v>-0.2</v>
      </c>
      <c r="M107" s="1570"/>
      <c r="N107" s="1573">
        <f t="shared" si="10"/>
        <v>0</v>
      </c>
      <c r="O107" s="1574">
        <f t="shared" si="11"/>
        <v>0</v>
      </c>
    </row>
    <row r="108" spans="1:15" x14ac:dyDescent="0.2">
      <c r="A108" s="1557"/>
      <c r="B108" s="535" t="s">
        <v>2093</v>
      </c>
      <c r="C108" s="1566"/>
      <c r="D108" s="538" t="s">
        <v>2088</v>
      </c>
      <c r="E108" s="1566"/>
      <c r="F108" s="1567">
        <v>0</v>
      </c>
      <c r="G108" s="1568">
        <v>1</v>
      </c>
      <c r="H108" s="1569">
        <f t="shared" si="8"/>
        <v>0</v>
      </c>
      <c r="I108" s="1570"/>
      <c r="J108" s="1571">
        <v>0.42</v>
      </c>
      <c r="K108" s="1568">
        <v>1</v>
      </c>
      <c r="L108" s="1569">
        <f t="shared" si="9"/>
        <v>0.42</v>
      </c>
      <c r="M108" s="1570"/>
      <c r="N108" s="1573">
        <f t="shared" si="10"/>
        <v>0.42</v>
      </c>
      <c r="O108" s="1574" t="str">
        <f t="shared" si="11"/>
        <v/>
      </c>
    </row>
    <row r="109" spans="1:15" x14ac:dyDescent="0.2">
      <c r="A109" s="1557"/>
      <c r="B109" s="1575" t="s">
        <v>2094</v>
      </c>
      <c r="C109" s="1576"/>
      <c r="D109" s="1577"/>
      <c r="E109" s="1576"/>
      <c r="F109" s="1578"/>
      <c r="G109" s="1579"/>
      <c r="H109" s="1580">
        <f>SUM(H100:H108)</f>
        <v>52.91</v>
      </c>
      <c r="I109" s="1581"/>
      <c r="J109" s="1582"/>
      <c r="K109" s="1583"/>
      <c r="L109" s="1580">
        <f>SUM(L100:L108)</f>
        <v>59.22</v>
      </c>
      <c r="M109" s="1581"/>
      <c r="N109" s="1584">
        <f t="shared" si="10"/>
        <v>6.3100000000000023</v>
      </c>
      <c r="O109" s="1585">
        <f t="shared" si="11"/>
        <v>0.11925911925911931</v>
      </c>
    </row>
    <row r="110" spans="1:15" ht="51" x14ac:dyDescent="0.2">
      <c r="A110" s="1557"/>
      <c r="B110" s="662" t="s">
        <v>2095</v>
      </c>
      <c r="C110" s="1566"/>
      <c r="D110" s="538" t="s">
        <v>114</v>
      </c>
      <c r="E110" s="1566"/>
      <c r="F110" s="1567">
        <v>-6.3E-3</v>
      </c>
      <c r="G110" s="1568">
        <v>2000</v>
      </c>
      <c r="H110" s="1569">
        <f>G110*F110</f>
        <v>-12.6</v>
      </c>
      <c r="I110" s="1570"/>
      <c r="J110" s="1571">
        <v>-6.3E-3</v>
      </c>
      <c r="K110" s="1568">
        <v>2000</v>
      </c>
      <c r="L110" s="1569">
        <f t="shared" ref="L110:L113" si="12">K110*J110</f>
        <v>-12.6</v>
      </c>
      <c r="M110" s="1570"/>
      <c r="N110" s="1573">
        <f t="shared" si="10"/>
        <v>0</v>
      </c>
      <c r="O110" s="1574">
        <f>IF((H110)=0,"",(N110/H110))</f>
        <v>0</v>
      </c>
    </row>
    <row r="111" spans="1:15" ht="51" x14ac:dyDescent="0.2">
      <c r="A111" s="1557"/>
      <c r="B111" s="662" t="s">
        <v>2096</v>
      </c>
      <c r="C111" s="1566"/>
      <c r="D111" s="538" t="s">
        <v>114</v>
      </c>
      <c r="E111" s="1566"/>
      <c r="F111" s="1567">
        <v>0</v>
      </c>
      <c r="G111" s="1568">
        <v>2000</v>
      </c>
      <c r="H111" s="1569">
        <f>G111*F111</f>
        <v>0</v>
      </c>
      <c r="I111" s="1570"/>
      <c r="J111" s="1571">
        <v>0</v>
      </c>
      <c r="K111" s="1568">
        <v>2000</v>
      </c>
      <c r="L111" s="1569">
        <f t="shared" si="12"/>
        <v>0</v>
      </c>
      <c r="M111" s="1570"/>
      <c r="N111" s="1573">
        <f t="shared" si="10"/>
        <v>0</v>
      </c>
      <c r="O111" s="1574" t="str">
        <f>IF((H111)=0,"",(N111/H111))</f>
        <v/>
      </c>
    </row>
    <row r="112" spans="1:15" x14ac:dyDescent="0.2">
      <c r="A112" s="1557"/>
      <c r="B112" s="1586" t="s">
        <v>705</v>
      </c>
      <c r="C112" s="1566"/>
      <c r="D112" s="538" t="s">
        <v>114</v>
      </c>
      <c r="E112" s="1566"/>
      <c r="F112" s="1567">
        <v>0</v>
      </c>
      <c r="G112" s="1568">
        <v>2000</v>
      </c>
      <c r="H112" s="1569">
        <f>G112*F112</f>
        <v>0</v>
      </c>
      <c r="I112" s="1570"/>
      <c r="J112" s="1571">
        <v>0</v>
      </c>
      <c r="K112" s="1568">
        <v>2000</v>
      </c>
      <c r="L112" s="1569">
        <f t="shared" si="12"/>
        <v>0</v>
      </c>
      <c r="M112" s="1570"/>
      <c r="N112" s="1573">
        <f t="shared" si="10"/>
        <v>0</v>
      </c>
      <c r="O112" s="1574" t="str">
        <f>IF((H112)=0,"",(N112/H112))</f>
        <v/>
      </c>
    </row>
    <row r="113" spans="1:15" x14ac:dyDescent="0.2">
      <c r="A113" s="1557"/>
      <c r="B113" s="1586" t="s">
        <v>649</v>
      </c>
      <c r="C113" s="1566"/>
      <c r="D113" s="538"/>
      <c r="E113" s="1566"/>
      <c r="F113" s="1587"/>
      <c r="G113" s="1588"/>
      <c r="H113" s="1589"/>
      <c r="I113" s="1570"/>
      <c r="J113" s="1571"/>
      <c r="K113" s="1568">
        <v>2000</v>
      </c>
      <c r="L113" s="1569">
        <f t="shared" si="12"/>
        <v>0</v>
      </c>
      <c r="M113" s="1570"/>
      <c r="N113" s="1573">
        <f t="shared" si="10"/>
        <v>0</v>
      </c>
      <c r="O113" s="1574"/>
    </row>
    <row r="114" spans="1:15" ht="25.5" x14ac:dyDescent="0.2">
      <c r="A114" s="1557"/>
      <c r="B114" s="1590" t="s">
        <v>647</v>
      </c>
      <c r="C114" s="1591"/>
      <c r="D114" s="1591"/>
      <c r="E114" s="1591"/>
      <c r="F114" s="1592"/>
      <c r="G114" s="1593"/>
      <c r="H114" s="1594">
        <f>SUM(H109:H113)</f>
        <v>40.309999999999995</v>
      </c>
      <c r="I114" s="1581"/>
      <c r="J114" s="1593"/>
      <c r="K114" s="1595"/>
      <c r="L114" s="1594">
        <f>SUM(L109:L113)</f>
        <v>46.62</v>
      </c>
      <c r="M114" s="1581"/>
      <c r="N114" s="1584">
        <f t="shared" si="10"/>
        <v>6.3100000000000023</v>
      </c>
      <c r="O114" s="1585">
        <f t="shared" ref="O114:O138" si="13">IF((H114)=0,"",(N114/H114))</f>
        <v>0.15653683949392219</v>
      </c>
    </row>
    <row r="115" spans="1:15" x14ac:dyDescent="0.2">
      <c r="A115" s="1557"/>
      <c r="B115" s="1570" t="s">
        <v>30</v>
      </c>
      <c r="C115" s="1570"/>
      <c r="D115" s="539" t="s">
        <v>114</v>
      </c>
      <c r="E115" s="1570"/>
      <c r="F115" s="1571">
        <v>6.8999999999999999E-3</v>
      </c>
      <c r="G115" s="1596">
        <v>2070</v>
      </c>
      <c r="H115" s="1569">
        <f>G115*F115</f>
        <v>14.282999999999999</v>
      </c>
      <c r="I115" s="1570"/>
      <c r="J115" s="1571">
        <v>7.0000000000000001E-3</v>
      </c>
      <c r="K115" s="1597">
        <v>2073.3205662613004</v>
      </c>
      <c r="L115" s="1569">
        <f>K115*J115</f>
        <v>14.513243963829103</v>
      </c>
      <c r="M115" s="1570"/>
      <c r="N115" s="1573">
        <f t="shared" si="10"/>
        <v>0.23024396382910339</v>
      </c>
      <c r="O115" s="1574">
        <f t="shared" si="13"/>
        <v>1.612014029469323E-2</v>
      </c>
    </row>
    <row r="116" spans="1:15" ht="25.5" x14ac:dyDescent="0.2">
      <c r="A116" s="1557"/>
      <c r="B116" s="1598" t="s">
        <v>31</v>
      </c>
      <c r="C116" s="1570"/>
      <c r="D116" s="539" t="s">
        <v>114</v>
      </c>
      <c r="E116" s="1570"/>
      <c r="F116" s="1571">
        <v>4.7999999999999996E-3</v>
      </c>
      <c r="G116" s="1596">
        <v>2070</v>
      </c>
      <c r="H116" s="1569">
        <f>G116*F116</f>
        <v>9.9359999999999999</v>
      </c>
      <c r="I116" s="1570"/>
      <c r="J116" s="1571">
        <v>5.0000000000000001E-3</v>
      </c>
      <c r="K116" s="1597">
        <v>2073.3205662613004</v>
      </c>
      <c r="L116" s="1569">
        <f>K116*J116</f>
        <v>10.366602831306503</v>
      </c>
      <c r="M116" s="1570"/>
      <c r="N116" s="1573">
        <f t="shared" si="10"/>
        <v>0.43060283130650312</v>
      </c>
      <c r="O116" s="1574">
        <f t="shared" si="13"/>
        <v>4.3337644052586867E-2</v>
      </c>
    </row>
    <row r="117" spans="1:15" ht="25.5" x14ac:dyDescent="0.2">
      <c r="A117" s="1557"/>
      <c r="B117" s="1590" t="s">
        <v>648</v>
      </c>
      <c r="C117" s="1576"/>
      <c r="D117" s="1576"/>
      <c r="E117" s="1576"/>
      <c r="F117" s="1599"/>
      <c r="G117" s="1593"/>
      <c r="H117" s="1594">
        <f>SUM(H114:H116)</f>
        <v>64.528999999999996</v>
      </c>
      <c r="I117" s="1600"/>
      <c r="J117" s="1601"/>
      <c r="K117" s="1602"/>
      <c r="L117" s="1594">
        <f>SUM(L114:L116)</f>
        <v>71.49984679513561</v>
      </c>
      <c r="M117" s="1600"/>
      <c r="N117" s="1584">
        <f t="shared" si="10"/>
        <v>6.9708467951356141</v>
      </c>
      <c r="O117" s="1585">
        <f t="shared" si="13"/>
        <v>0.10802657402308442</v>
      </c>
    </row>
    <row r="118" spans="1:15" ht="25.5" x14ac:dyDescent="0.2">
      <c r="A118" s="1557"/>
      <c r="B118" s="1603" t="s">
        <v>32</v>
      </c>
      <c r="C118" s="1566"/>
      <c r="D118" s="538" t="s">
        <v>114</v>
      </c>
      <c r="E118" s="1566"/>
      <c r="F118" s="536">
        <v>5.1999999999999998E-3</v>
      </c>
      <c r="G118" s="1596">
        <v>2070</v>
      </c>
      <c r="H118" s="1604">
        <f t="shared" ref="H118:H126" si="14">G118*F118</f>
        <v>10.763999999999999</v>
      </c>
      <c r="I118" s="1570"/>
      <c r="J118" s="540">
        <v>5.1999999999999998E-3</v>
      </c>
      <c r="K118" s="1597">
        <v>2073.3205662613004</v>
      </c>
      <c r="L118" s="1604">
        <f t="shared" ref="L118:L126" si="15">K118*J118</f>
        <v>10.781266944558762</v>
      </c>
      <c r="M118" s="1570"/>
      <c r="N118" s="1573">
        <f t="shared" si="10"/>
        <v>1.7266944558762987E-2</v>
      </c>
      <c r="O118" s="1605">
        <f t="shared" si="13"/>
        <v>1.6041382904833693E-3</v>
      </c>
    </row>
    <row r="119" spans="1:15" ht="25.5" x14ac:dyDescent="0.2">
      <c r="A119" s="1557"/>
      <c r="B119" s="1603" t="s">
        <v>33</v>
      </c>
      <c r="C119" s="1566"/>
      <c r="D119" s="538" t="s">
        <v>114</v>
      </c>
      <c r="E119" s="1566"/>
      <c r="F119" s="536">
        <v>1.2999999999999999E-3</v>
      </c>
      <c r="G119" s="1596">
        <v>2070</v>
      </c>
      <c r="H119" s="1604">
        <f t="shared" si="14"/>
        <v>2.6909999999999998</v>
      </c>
      <c r="I119" s="1570"/>
      <c r="J119" s="540">
        <v>1.2999999999999999E-3</v>
      </c>
      <c r="K119" s="1597">
        <v>2073.3205662613004</v>
      </c>
      <c r="L119" s="1604">
        <f t="shared" si="15"/>
        <v>2.6953167361396906</v>
      </c>
      <c r="M119" s="1570"/>
      <c r="N119" s="1573">
        <f t="shared" si="10"/>
        <v>4.3167361396907467E-3</v>
      </c>
      <c r="O119" s="1605">
        <f t="shared" si="13"/>
        <v>1.6041382904833693E-3</v>
      </c>
    </row>
    <row r="120" spans="1:15" x14ac:dyDescent="0.2">
      <c r="A120" s="1557"/>
      <c r="B120" s="1566" t="s">
        <v>34</v>
      </c>
      <c r="C120" s="1566"/>
      <c r="D120" s="538"/>
      <c r="E120" s="1566"/>
      <c r="F120" s="536"/>
      <c r="G120" s="1568">
        <v>1</v>
      </c>
      <c r="H120" s="1604">
        <f t="shared" si="14"/>
        <v>0</v>
      </c>
      <c r="I120" s="1570"/>
      <c r="J120" s="540"/>
      <c r="K120" s="1572">
        <v>1</v>
      </c>
      <c r="L120" s="1604">
        <f t="shared" si="15"/>
        <v>0</v>
      </c>
      <c r="M120" s="1570"/>
      <c r="N120" s="1573">
        <f t="shared" si="10"/>
        <v>0</v>
      </c>
      <c r="O120" s="1605" t="str">
        <f t="shared" si="13"/>
        <v/>
      </c>
    </row>
    <row r="121" spans="1:15" x14ac:dyDescent="0.2">
      <c r="A121" s="1557"/>
      <c r="B121" s="1566" t="s">
        <v>35</v>
      </c>
      <c r="C121" s="1566"/>
      <c r="D121" s="538" t="s">
        <v>114</v>
      </c>
      <c r="E121" s="1566"/>
      <c r="F121" s="536">
        <v>7.0000000000000001E-3</v>
      </c>
      <c r="G121" s="1596">
        <v>2000</v>
      </c>
      <c r="H121" s="1604">
        <f t="shared" si="14"/>
        <v>14</v>
      </c>
      <c r="I121" s="1570"/>
      <c r="J121" s="540">
        <v>7.0000000000000001E-3</v>
      </c>
      <c r="K121" s="1597">
        <v>2000</v>
      </c>
      <c r="L121" s="1604">
        <f t="shared" si="15"/>
        <v>14</v>
      </c>
      <c r="M121" s="1570"/>
      <c r="N121" s="1573">
        <f t="shared" si="10"/>
        <v>0</v>
      </c>
      <c r="O121" s="1605">
        <f t="shared" si="13"/>
        <v>0</v>
      </c>
    </row>
    <row r="122" spans="1:15" x14ac:dyDescent="0.2">
      <c r="A122" s="1557"/>
      <c r="B122" s="1586" t="s">
        <v>679</v>
      </c>
      <c r="C122" s="1566"/>
      <c r="D122" s="538" t="s">
        <v>114</v>
      </c>
      <c r="E122" s="1566"/>
      <c r="F122" s="1606">
        <v>7.4999999999999997E-2</v>
      </c>
      <c r="G122" s="1596">
        <f>IF($G$116&gt;=750,750,$G$116)</f>
        <v>750</v>
      </c>
      <c r="H122" s="1604">
        <f>G122*F122</f>
        <v>56.25</v>
      </c>
      <c r="I122" s="1570"/>
      <c r="J122" s="536">
        <v>7.4999999999999997E-2</v>
      </c>
      <c r="K122" s="1596">
        <f>IF($K$116&gt;=750,750,$K$116)</f>
        <v>750</v>
      </c>
      <c r="L122" s="1604">
        <f>K122*J122</f>
        <v>56.25</v>
      </c>
      <c r="M122" s="1570"/>
      <c r="N122" s="1573">
        <f t="shared" si="10"/>
        <v>0</v>
      </c>
      <c r="O122" s="1605">
        <f t="shared" si="13"/>
        <v>0</v>
      </c>
    </row>
    <row r="123" spans="1:15" x14ac:dyDescent="0.2">
      <c r="A123" s="1557"/>
      <c r="B123" s="1586" t="s">
        <v>680</v>
      </c>
      <c r="C123" s="1566"/>
      <c r="D123" s="538" t="s">
        <v>114</v>
      </c>
      <c r="E123" s="1566"/>
      <c r="F123" s="1606">
        <v>8.7999999999999995E-2</v>
      </c>
      <c r="G123" s="1596">
        <f>IF($G$116&gt;=750,$G$116-750,0)</f>
        <v>1320</v>
      </c>
      <c r="H123" s="1604">
        <f>G123*F123</f>
        <v>116.16</v>
      </c>
      <c r="I123" s="1570"/>
      <c r="J123" s="536">
        <v>8.7999999999999995E-2</v>
      </c>
      <c r="K123" s="1596">
        <f>IF($K$116&gt;=750,$K$116-750,0)</f>
        <v>1323.3205662613004</v>
      </c>
      <c r="L123" s="1604">
        <f>K123*J123</f>
        <v>116.45220983099443</v>
      </c>
      <c r="M123" s="1570"/>
      <c r="N123" s="1573">
        <f t="shared" si="10"/>
        <v>0.29220983099443743</v>
      </c>
      <c r="O123" s="1605">
        <f t="shared" si="13"/>
        <v>2.5155805009851708E-3</v>
      </c>
    </row>
    <row r="124" spans="1:15" x14ac:dyDescent="0.2">
      <c r="A124" s="1557"/>
      <c r="B124" s="1586" t="s">
        <v>681</v>
      </c>
      <c r="C124" s="1566"/>
      <c r="D124" s="538" t="s">
        <v>114</v>
      </c>
      <c r="E124" s="1566"/>
      <c r="F124" s="1606">
        <v>6.5000000000000002E-2</v>
      </c>
      <c r="G124" s="1138">
        <v>1324.8</v>
      </c>
      <c r="H124" s="1604">
        <f t="shared" si="14"/>
        <v>86.111999999999995</v>
      </c>
      <c r="I124" s="1570"/>
      <c r="J124" s="536">
        <v>6.5000000000000002E-2</v>
      </c>
      <c r="K124" s="1138">
        <v>1326.9251624072324</v>
      </c>
      <c r="L124" s="1604">
        <f t="shared" si="15"/>
        <v>86.250135556470113</v>
      </c>
      <c r="M124" s="1570"/>
      <c r="N124" s="1573">
        <f t="shared" si="10"/>
        <v>0.1381355564701181</v>
      </c>
      <c r="O124" s="1605">
        <f t="shared" si="13"/>
        <v>1.6041382904835343E-3</v>
      </c>
    </row>
    <row r="125" spans="1:15" x14ac:dyDescent="0.2">
      <c r="A125" s="1557"/>
      <c r="B125" s="1586" t="s">
        <v>682</v>
      </c>
      <c r="C125" s="1566"/>
      <c r="D125" s="538" t="s">
        <v>114</v>
      </c>
      <c r="E125" s="1566"/>
      <c r="F125" s="1606">
        <v>0.1</v>
      </c>
      <c r="G125" s="1138">
        <v>372.59999999999997</v>
      </c>
      <c r="H125" s="1604">
        <f t="shared" si="14"/>
        <v>37.26</v>
      </c>
      <c r="I125" s="1570"/>
      <c r="J125" s="536">
        <v>0.1</v>
      </c>
      <c r="K125" s="1138">
        <v>373.19770192703407</v>
      </c>
      <c r="L125" s="1604">
        <f t="shared" si="15"/>
        <v>37.319770192703409</v>
      </c>
      <c r="M125" s="1570"/>
      <c r="N125" s="1573">
        <f t="shared" si="10"/>
        <v>5.9770192703410885E-2</v>
      </c>
      <c r="O125" s="1605">
        <f t="shared" si="13"/>
        <v>1.6041382904833841E-3</v>
      </c>
    </row>
    <row r="126" spans="1:15" ht="13.5" thickBot="1" x14ac:dyDescent="0.25">
      <c r="A126" s="1557"/>
      <c r="B126" s="1558" t="s">
        <v>683</v>
      </c>
      <c r="C126" s="1566"/>
      <c r="D126" s="538" t="s">
        <v>114</v>
      </c>
      <c r="E126" s="1566"/>
      <c r="F126" s="1606">
        <v>0.11700000000000001</v>
      </c>
      <c r="G126" s="1138">
        <v>372.59999999999997</v>
      </c>
      <c r="H126" s="1604">
        <f t="shared" si="14"/>
        <v>43.594200000000001</v>
      </c>
      <c r="I126" s="1570"/>
      <c r="J126" s="536">
        <v>0.11700000000000001</v>
      </c>
      <c r="K126" s="1138">
        <v>373.19770192703407</v>
      </c>
      <c r="L126" s="1604">
        <f t="shared" si="15"/>
        <v>43.664131125462987</v>
      </c>
      <c r="M126" s="1570"/>
      <c r="N126" s="1573">
        <f t="shared" si="10"/>
        <v>6.9931125462986188E-2</v>
      </c>
      <c r="O126" s="1605">
        <f t="shared" si="13"/>
        <v>1.6041382904832795E-3</v>
      </c>
    </row>
    <row r="127" spans="1:15" ht="13.5" thickBot="1" x14ac:dyDescent="0.25">
      <c r="A127" s="1557"/>
      <c r="B127" s="1607"/>
      <c r="C127" s="1608"/>
      <c r="D127" s="1609"/>
      <c r="E127" s="1608"/>
      <c r="F127" s="1610"/>
      <c r="G127" s="1611"/>
      <c r="H127" s="1612"/>
      <c r="I127" s="1613"/>
      <c r="J127" s="1610"/>
      <c r="K127" s="1614"/>
      <c r="L127" s="1612"/>
      <c r="M127" s="1613"/>
      <c r="N127" s="1615"/>
      <c r="O127" s="1616"/>
    </row>
    <row r="128" spans="1:15" x14ac:dyDescent="0.2">
      <c r="A128" s="1557"/>
      <c r="B128" s="1617" t="s">
        <v>684</v>
      </c>
      <c r="C128" s="1566"/>
      <c r="D128" s="1566"/>
      <c r="E128" s="1566"/>
      <c r="F128" s="1618"/>
      <c r="G128" s="1619"/>
      <c r="H128" s="1620">
        <f>SUM(H117:H123)</f>
        <v>264.39400000000001</v>
      </c>
      <c r="I128" s="1621"/>
      <c r="J128" s="1622"/>
      <c r="K128" s="1622"/>
      <c r="L128" s="1623">
        <f>SUM(L117:L123)</f>
        <v>271.67864030682847</v>
      </c>
      <c r="M128" s="1624"/>
      <c r="N128" s="1625">
        <f t="shared" si="10"/>
        <v>7.2846403068284644</v>
      </c>
      <c r="O128" s="1626">
        <f t="shared" si="13"/>
        <v>2.7552214902109972E-2</v>
      </c>
    </row>
    <row r="129" spans="1:15" x14ac:dyDescent="0.2">
      <c r="A129" s="1557"/>
      <c r="B129" s="1627" t="s">
        <v>36</v>
      </c>
      <c r="C129" s="1566"/>
      <c r="D129" s="1566"/>
      <c r="E129" s="1566"/>
      <c r="F129" s="1628">
        <v>0.13</v>
      </c>
      <c r="G129" s="1619"/>
      <c r="H129" s="1629">
        <f>H128*F129</f>
        <v>34.371220000000001</v>
      </c>
      <c r="I129" s="1630"/>
      <c r="J129" s="1631">
        <v>0.13</v>
      </c>
      <c r="K129" s="1632"/>
      <c r="L129" s="1633">
        <f>L128*J129</f>
        <v>35.318223239887701</v>
      </c>
      <c r="M129" s="1634"/>
      <c r="N129" s="1635">
        <f t="shared" si="10"/>
        <v>0.94700323988769952</v>
      </c>
      <c r="O129" s="1636">
        <f t="shared" si="13"/>
        <v>2.7552214902109948E-2</v>
      </c>
    </row>
    <row r="130" spans="1:15" x14ac:dyDescent="0.2">
      <c r="A130" s="1557"/>
      <c r="B130" s="1637" t="s">
        <v>1369</v>
      </c>
      <c r="C130" s="1566"/>
      <c r="D130" s="1566"/>
      <c r="E130" s="1566"/>
      <c r="F130" s="1638"/>
      <c r="G130" s="1639"/>
      <c r="H130" s="1629">
        <f>H128+H129</f>
        <v>298.76522</v>
      </c>
      <c r="I130" s="1630"/>
      <c r="J130" s="1630"/>
      <c r="K130" s="1630"/>
      <c r="L130" s="1633">
        <f>L128+L129</f>
        <v>306.99686354671616</v>
      </c>
      <c r="M130" s="1634"/>
      <c r="N130" s="1635">
        <f t="shared" si="10"/>
        <v>8.2316435467161568</v>
      </c>
      <c r="O130" s="1636">
        <f t="shared" si="13"/>
        <v>2.7552214902109948E-2</v>
      </c>
    </row>
    <row r="131" spans="1:15" x14ac:dyDescent="0.2">
      <c r="A131" s="1557"/>
      <c r="B131" s="2246" t="s">
        <v>2097</v>
      </c>
      <c r="C131" s="2246"/>
      <c r="D131" s="2246"/>
      <c r="E131" s="1566"/>
      <c r="F131" s="1638"/>
      <c r="G131" s="1639"/>
      <c r="H131" s="1640">
        <f>ROUND(-H130*10%,2)</f>
        <v>-29.88</v>
      </c>
      <c r="I131" s="1630"/>
      <c r="J131" s="1630"/>
      <c r="K131" s="1630"/>
      <c r="L131" s="1641">
        <f>ROUND(-L130*10%,2)</f>
        <v>-30.7</v>
      </c>
      <c r="M131" s="1634"/>
      <c r="N131" s="1642">
        <f t="shared" si="10"/>
        <v>-0.82000000000000028</v>
      </c>
      <c r="O131" s="1643">
        <f t="shared" si="13"/>
        <v>2.744310575635878E-2</v>
      </c>
    </row>
    <row r="132" spans="1:15" ht="13.5" thickBot="1" x14ac:dyDescent="0.25">
      <c r="A132" s="1557"/>
      <c r="B132" s="2247" t="s">
        <v>687</v>
      </c>
      <c r="C132" s="2247"/>
      <c r="D132" s="2247"/>
      <c r="E132" s="1644"/>
      <c r="F132" s="1645"/>
      <c r="G132" s="1646"/>
      <c r="H132" s="1647">
        <f>SUM(H130:H131)</f>
        <v>268.88522</v>
      </c>
      <c r="I132" s="1648"/>
      <c r="J132" s="1648"/>
      <c r="K132" s="1648"/>
      <c r="L132" s="1649">
        <f>SUM(L130:L131)</f>
        <v>276.29686354671617</v>
      </c>
      <c r="M132" s="1650"/>
      <c r="N132" s="1651">
        <f t="shared" si="10"/>
        <v>7.4116435467161637</v>
      </c>
      <c r="O132" s="1652">
        <f t="shared" si="13"/>
        <v>2.756433970865399E-2</v>
      </c>
    </row>
    <row r="133" spans="1:15" ht="13.5" thickBot="1" x14ac:dyDescent="0.25">
      <c r="A133" s="1557"/>
      <c r="B133" s="1607"/>
      <c r="C133" s="1608"/>
      <c r="D133" s="1609"/>
      <c r="E133" s="1608"/>
      <c r="F133" s="1653"/>
      <c r="G133" s="1654"/>
      <c r="H133" s="1655"/>
      <c r="I133" s="1656"/>
      <c r="J133" s="1653"/>
      <c r="K133" s="1611"/>
      <c r="L133" s="1657"/>
      <c r="M133" s="1613"/>
      <c r="N133" s="1658"/>
      <c r="O133" s="1616"/>
    </row>
    <row r="134" spans="1:15" x14ac:dyDescent="0.2">
      <c r="A134" s="1557"/>
      <c r="B134" s="1617" t="s">
        <v>685</v>
      </c>
      <c r="C134" s="1566"/>
      <c r="D134" s="1566"/>
      <c r="E134" s="1566"/>
      <c r="F134" s="1618"/>
      <c r="G134" s="1619"/>
      <c r="H134" s="1620">
        <f>SUM(H117:H121,H124:H126)</f>
        <v>258.9502</v>
      </c>
      <c r="I134" s="1621"/>
      <c r="J134" s="1622"/>
      <c r="K134" s="1622"/>
      <c r="L134" s="1659">
        <f>SUM(L117:L121,L124:L126)</f>
        <v>266.21046735047054</v>
      </c>
      <c r="M134" s="1624"/>
      <c r="N134" s="1625">
        <f>L134-H134</f>
        <v>7.2602673504705422</v>
      </c>
      <c r="O134" s="1626">
        <f>IF((H134)=0,"",(N134/H134))</f>
        <v>2.8037311229999213E-2</v>
      </c>
    </row>
    <row r="135" spans="1:15" x14ac:dyDescent="0.2">
      <c r="A135" s="1557"/>
      <c r="B135" s="1627" t="s">
        <v>36</v>
      </c>
      <c r="C135" s="1566"/>
      <c r="D135" s="1566"/>
      <c r="E135" s="1566"/>
      <c r="F135" s="1628">
        <v>0.13</v>
      </c>
      <c r="G135" s="1639"/>
      <c r="H135" s="1629">
        <f>H134*F135</f>
        <v>33.663525999999997</v>
      </c>
      <c r="I135" s="1630"/>
      <c r="J135" s="1660">
        <v>0.13</v>
      </c>
      <c r="K135" s="1630"/>
      <c r="L135" s="1633">
        <f>L134*J135</f>
        <v>34.607360755561174</v>
      </c>
      <c r="M135" s="1634"/>
      <c r="N135" s="1635">
        <f t="shared" si="10"/>
        <v>0.94383475556117702</v>
      </c>
      <c r="O135" s="1636">
        <f t="shared" si="13"/>
        <v>2.8037311229999411E-2</v>
      </c>
    </row>
    <row r="136" spans="1:15" x14ac:dyDescent="0.2">
      <c r="A136" s="1557"/>
      <c r="B136" s="1637" t="s">
        <v>1369</v>
      </c>
      <c r="C136" s="1566"/>
      <c r="D136" s="1566"/>
      <c r="E136" s="1566"/>
      <c r="F136" s="1638"/>
      <c r="G136" s="1639"/>
      <c r="H136" s="1629">
        <f>H134+H135</f>
        <v>292.61372599999999</v>
      </c>
      <c r="I136" s="1630"/>
      <c r="J136" s="1630"/>
      <c r="K136" s="1630"/>
      <c r="L136" s="1633">
        <f>L134+L135</f>
        <v>300.8178281060317</v>
      </c>
      <c r="M136" s="1634"/>
      <c r="N136" s="1635">
        <f t="shared" si="10"/>
        <v>8.2041021060317121</v>
      </c>
      <c r="O136" s="1636">
        <f t="shared" si="13"/>
        <v>2.8037311229999213E-2</v>
      </c>
    </row>
    <row r="137" spans="1:15" x14ac:dyDescent="0.2">
      <c r="A137" s="1557"/>
      <c r="B137" s="2246" t="s">
        <v>2097</v>
      </c>
      <c r="C137" s="2246"/>
      <c r="D137" s="2246"/>
      <c r="E137" s="1566"/>
      <c r="F137" s="1638"/>
      <c r="G137" s="1639"/>
      <c r="H137" s="1640">
        <f>ROUND(-H136*10%,2)</f>
        <v>-29.26</v>
      </c>
      <c r="I137" s="1630"/>
      <c r="J137" s="1630"/>
      <c r="K137" s="1630"/>
      <c r="L137" s="1641">
        <f>ROUND(-L136*10%,2)</f>
        <v>-30.08</v>
      </c>
      <c r="M137" s="1634"/>
      <c r="N137" s="1642">
        <f t="shared" si="10"/>
        <v>-0.81999999999999673</v>
      </c>
      <c r="O137" s="1643">
        <f t="shared" si="13"/>
        <v>2.8024606971975279E-2</v>
      </c>
    </row>
    <row r="138" spans="1:15" ht="13.5" thickBot="1" x14ac:dyDescent="0.25">
      <c r="A138" s="1557"/>
      <c r="B138" s="2247" t="s">
        <v>686</v>
      </c>
      <c r="C138" s="2247"/>
      <c r="D138" s="2247"/>
      <c r="E138" s="1644"/>
      <c r="F138" s="1661"/>
      <c r="G138" s="1662"/>
      <c r="H138" s="1663">
        <f>H136+H137</f>
        <v>263.35372599999999</v>
      </c>
      <c r="I138" s="1664"/>
      <c r="J138" s="1664"/>
      <c r="K138" s="1664"/>
      <c r="L138" s="1665">
        <f>L136+L137</f>
        <v>270.73782810603171</v>
      </c>
      <c r="M138" s="1666"/>
      <c r="N138" s="1667">
        <f t="shared" si="10"/>
        <v>7.3841021060317189</v>
      </c>
      <c r="O138" s="1668">
        <f t="shared" si="13"/>
        <v>2.8038722740652316E-2</v>
      </c>
    </row>
    <row r="139" spans="1:15" ht="13.5" thickBot="1" x14ac:dyDescent="0.25">
      <c r="A139" s="1557"/>
      <c r="B139" s="1607"/>
      <c r="C139" s="1608"/>
      <c r="D139" s="1609"/>
      <c r="E139" s="1608"/>
      <c r="F139" s="1653"/>
      <c r="G139" s="1654"/>
      <c r="H139" s="1655"/>
      <c r="I139" s="1656"/>
      <c r="J139" s="1653"/>
      <c r="K139" s="1611"/>
      <c r="L139" s="1657"/>
      <c r="M139" s="1613"/>
      <c r="N139" s="1658"/>
      <c r="O139" s="1616"/>
    </row>
    <row r="140" spans="1:15" x14ac:dyDescent="0.2">
      <c r="A140" s="1557"/>
      <c r="B140" s="1557"/>
      <c r="C140" s="1557"/>
      <c r="D140" s="1557"/>
      <c r="E140" s="1557"/>
      <c r="F140" s="1557"/>
      <c r="G140" s="1557"/>
      <c r="H140" s="1557"/>
      <c r="I140" s="1557"/>
      <c r="J140" s="1557"/>
      <c r="K140" s="1557"/>
      <c r="L140" s="1669"/>
      <c r="M140" s="1557"/>
      <c r="N140" s="1557"/>
      <c r="O140" s="1557"/>
    </row>
    <row r="141" spans="1:15" x14ac:dyDescent="0.2">
      <c r="A141" s="1557"/>
      <c r="B141" s="5" t="s">
        <v>37</v>
      </c>
      <c r="C141" s="1557"/>
      <c r="E141" s="1557"/>
      <c r="F141" s="537">
        <v>3.499999999999992E-2</v>
      </c>
      <c r="G141" s="1557"/>
      <c r="H141" s="1557"/>
      <c r="I141" s="1557"/>
      <c r="J141" s="537">
        <v>3.6660283130650173E-2</v>
      </c>
      <c r="K141" s="1557"/>
      <c r="L141" s="1557"/>
      <c r="M141" s="1557"/>
      <c r="N141" s="1557"/>
      <c r="O141" s="1557"/>
    </row>
    <row r="142" spans="1:15" x14ac:dyDescent="0.2">
      <c r="A142" s="1557"/>
      <c r="B142" s="1557"/>
      <c r="C142" s="1557"/>
      <c r="D142" s="1557"/>
      <c r="E142" s="1557"/>
      <c r="F142" s="1557"/>
      <c r="G142" s="1557"/>
      <c r="H142" s="1557"/>
      <c r="I142" s="1557"/>
      <c r="J142" s="1557"/>
      <c r="K142" s="1557"/>
      <c r="L142" s="1557"/>
      <c r="M142" s="1557"/>
      <c r="N142" s="1557"/>
      <c r="O142" s="1557"/>
    </row>
    <row r="143" spans="1:15" ht="14.25" x14ac:dyDescent="0.2">
      <c r="A143" s="1687" t="s">
        <v>2100</v>
      </c>
      <c r="B143" s="1684"/>
      <c r="C143" s="1684"/>
      <c r="D143" s="1684"/>
      <c r="E143" s="1684"/>
      <c r="F143" s="1684"/>
      <c r="G143" s="1684"/>
      <c r="H143" s="1684"/>
      <c r="I143" s="1684"/>
      <c r="J143" s="1684"/>
      <c r="K143" s="1684"/>
      <c r="L143" s="1684"/>
      <c r="M143" s="1684"/>
      <c r="N143" s="1684"/>
      <c r="O143" s="1684"/>
    </row>
    <row r="144" spans="1:15" x14ac:dyDescent="0.2">
      <c r="A144" s="1684"/>
      <c r="B144" s="1684"/>
      <c r="C144" s="1684"/>
      <c r="D144" s="1684"/>
      <c r="E144" s="1684"/>
      <c r="F144" s="1684"/>
      <c r="G144" s="1684"/>
      <c r="H144" s="1684"/>
      <c r="I144" s="1684"/>
      <c r="J144" s="1684"/>
      <c r="K144" s="1684"/>
      <c r="L144" s="1684"/>
      <c r="M144" s="1684"/>
      <c r="N144" s="1684"/>
      <c r="O144" s="1684"/>
    </row>
    <row r="145" spans="1:15" x14ac:dyDescent="0.2">
      <c r="A145" s="1685" t="s">
        <v>126</v>
      </c>
      <c r="B145" s="1684"/>
      <c r="C145" s="1684"/>
      <c r="D145" s="1684"/>
      <c r="E145" s="1684"/>
      <c r="F145" s="1684"/>
      <c r="G145" s="1684"/>
      <c r="H145" s="1684"/>
      <c r="I145" s="1684"/>
      <c r="J145" s="1684"/>
      <c r="K145" s="1684"/>
      <c r="L145" s="1684"/>
      <c r="M145" s="1684"/>
      <c r="N145" s="1684"/>
      <c r="O145" s="1684"/>
    </row>
    <row r="146" spans="1:15" x14ac:dyDescent="0.2">
      <c r="A146" s="1685" t="s">
        <v>127</v>
      </c>
      <c r="B146" s="1684"/>
      <c r="C146" s="1684"/>
      <c r="D146" s="1684"/>
      <c r="E146" s="1684"/>
      <c r="F146" s="1684"/>
      <c r="G146" s="1684"/>
      <c r="H146" s="1684"/>
      <c r="I146" s="1684"/>
      <c r="J146" s="1684"/>
      <c r="K146" s="1684"/>
      <c r="L146" s="1684"/>
      <c r="M146" s="1684"/>
      <c r="N146" s="1684"/>
      <c r="O146" s="1684"/>
    </row>
    <row r="147" spans="1:15" x14ac:dyDescent="0.2">
      <c r="A147" s="1557"/>
      <c r="B147" s="1557"/>
      <c r="C147" s="1557"/>
      <c r="D147" s="1557"/>
      <c r="E147" s="1557"/>
      <c r="F147" s="1557"/>
      <c r="G147" s="1557"/>
      <c r="H147" s="1557"/>
      <c r="I147" s="1557"/>
      <c r="J147" s="1557"/>
      <c r="K147" s="1557"/>
      <c r="L147" s="1557"/>
      <c r="M147" s="1557"/>
      <c r="N147" s="1557"/>
      <c r="O147" s="1557"/>
    </row>
    <row r="148" spans="1:15" x14ac:dyDescent="0.2">
      <c r="A148" s="1686" t="s">
        <v>2101</v>
      </c>
      <c r="B148" s="1684"/>
      <c r="C148" s="1557"/>
      <c r="D148" s="1557"/>
      <c r="E148" s="1557"/>
      <c r="F148" s="1557"/>
      <c r="G148" s="1557"/>
      <c r="H148" s="1557"/>
      <c r="I148" s="1557"/>
      <c r="J148" s="1557"/>
      <c r="K148" s="1557"/>
      <c r="L148" s="1557"/>
      <c r="M148" s="1557"/>
      <c r="N148" s="1557"/>
      <c r="O148" s="1557"/>
    </row>
    <row r="149" spans="1:15" x14ac:dyDescent="0.2">
      <c r="A149" s="1686" t="s">
        <v>128</v>
      </c>
      <c r="B149" s="1684"/>
      <c r="C149" s="1557"/>
      <c r="D149" s="1557"/>
      <c r="E149" s="1557"/>
      <c r="F149" s="1557"/>
      <c r="G149" s="1557"/>
      <c r="H149" s="1557"/>
      <c r="I149" s="1557"/>
      <c r="J149" s="1557"/>
      <c r="K149" s="1557"/>
      <c r="L149" s="1557"/>
      <c r="M149" s="1557"/>
      <c r="N149" s="1557"/>
      <c r="O149" s="1557"/>
    </row>
    <row r="150" spans="1:15" x14ac:dyDescent="0.2">
      <c r="A150" s="1557"/>
      <c r="B150" s="1557"/>
      <c r="C150" s="1557"/>
      <c r="D150" s="1557"/>
      <c r="E150" s="1557"/>
      <c r="F150" s="1557"/>
      <c r="G150" s="1557"/>
      <c r="H150" s="1557"/>
      <c r="I150" s="1557"/>
      <c r="J150" s="1557"/>
      <c r="K150" s="1557"/>
      <c r="L150" s="1557"/>
      <c r="M150" s="1557"/>
      <c r="N150" s="1557"/>
      <c r="O150" s="1557"/>
    </row>
    <row r="151" spans="1:15" x14ac:dyDescent="0.2">
      <c r="A151" s="1685" t="s">
        <v>129</v>
      </c>
      <c r="B151" s="1684"/>
      <c r="C151" s="1557"/>
      <c r="D151" s="1557"/>
      <c r="E151" s="1557"/>
      <c r="F151" s="1557"/>
      <c r="G151" s="1557"/>
      <c r="H151" s="1557"/>
      <c r="I151" s="1557"/>
      <c r="J151" s="1557"/>
      <c r="K151" s="1557"/>
      <c r="L151" s="1557"/>
      <c r="M151" s="1557"/>
      <c r="N151" s="1557"/>
      <c r="O151" s="1557"/>
    </row>
    <row r="152" spans="1:15" x14ac:dyDescent="0.2">
      <c r="A152" s="1685" t="s">
        <v>130</v>
      </c>
      <c r="B152" s="1684"/>
      <c r="C152" s="1557"/>
      <c r="D152" s="1557"/>
      <c r="E152" s="1557"/>
      <c r="F152" s="1557"/>
      <c r="G152" s="1557"/>
      <c r="H152" s="1557"/>
      <c r="I152" s="1557"/>
      <c r="J152" s="1557"/>
      <c r="K152" s="1557"/>
      <c r="L152" s="1557"/>
      <c r="M152" s="1557"/>
      <c r="N152" s="1557"/>
      <c r="O152" s="1557"/>
    </row>
    <row r="153" spans="1:15" x14ac:dyDescent="0.2">
      <c r="A153" s="1685" t="s">
        <v>131</v>
      </c>
      <c r="B153" s="1684"/>
      <c r="C153" s="1557"/>
      <c r="D153" s="1557"/>
      <c r="E153" s="1557"/>
      <c r="F153" s="1557"/>
      <c r="G153" s="1557"/>
      <c r="H153" s="1557"/>
      <c r="I153" s="1557"/>
      <c r="J153" s="1557"/>
      <c r="K153" s="1557"/>
      <c r="L153" s="1557"/>
      <c r="M153" s="1557"/>
      <c r="N153" s="1557"/>
      <c r="O153" s="1557"/>
    </row>
    <row r="154" spans="1:15" x14ac:dyDescent="0.2">
      <c r="A154" s="1685" t="s">
        <v>132</v>
      </c>
      <c r="B154" s="1684"/>
      <c r="C154" s="1557"/>
      <c r="D154" s="1557"/>
      <c r="E154" s="1557"/>
      <c r="F154" s="1557"/>
      <c r="G154" s="1557"/>
      <c r="H154" s="1557"/>
      <c r="I154" s="1557"/>
      <c r="J154" s="1557"/>
      <c r="K154" s="1557"/>
      <c r="L154" s="1557"/>
      <c r="M154" s="1557"/>
      <c r="N154" s="1557"/>
      <c r="O154" s="1557"/>
    </row>
    <row r="155" spans="1:15" x14ac:dyDescent="0.2">
      <c r="A155" s="1685" t="s">
        <v>133</v>
      </c>
      <c r="B155" s="1684"/>
      <c r="C155" s="1557"/>
      <c r="D155" s="1557"/>
      <c r="E155" s="1557"/>
      <c r="F155" s="1557"/>
      <c r="G155" s="1557"/>
      <c r="H155" s="1557"/>
      <c r="I155" s="1557"/>
      <c r="J155" s="1557"/>
      <c r="K155" s="1557"/>
      <c r="L155" s="1557"/>
      <c r="M155" s="1557"/>
      <c r="N155" s="1557"/>
      <c r="O155" s="1557"/>
    </row>
    <row r="156" spans="1:15" x14ac:dyDescent="0.2">
      <c r="A156"/>
      <c r="B156"/>
      <c r="C156"/>
      <c r="D156"/>
      <c r="E156"/>
      <c r="F156"/>
      <c r="G156"/>
      <c r="H156"/>
      <c r="I156"/>
      <c r="J156"/>
      <c r="K156"/>
      <c r="L156"/>
      <c r="M156"/>
      <c r="N156"/>
      <c r="O156"/>
    </row>
    <row r="157" spans="1:15" ht="21.75" x14ac:dyDescent="0.2">
      <c r="A157" s="1688"/>
      <c r="B157" s="1685" t="s">
        <v>2102</v>
      </c>
      <c r="C157" s="1670"/>
      <c r="D157" s="24"/>
      <c r="E157" s="1670"/>
      <c r="F157" s="24"/>
      <c r="G157" s="1670"/>
      <c r="H157" s="1670"/>
      <c r="I157" s="1670"/>
      <c r="J157" s="24"/>
      <c r="K157" s="1670"/>
      <c r="L157" s="1671"/>
      <c r="M157" s="1671"/>
      <c r="N157" s="14"/>
      <c r="O157" s="208"/>
    </row>
    <row r="158" spans="1:15" ht="18" x14ac:dyDescent="0.25">
      <c r="A158" s="1672"/>
      <c r="B158" s="23"/>
      <c r="C158" s="1672"/>
      <c r="D158" s="23"/>
      <c r="E158" s="1672"/>
      <c r="F158" s="23"/>
      <c r="G158" s="1672"/>
      <c r="H158" s="1672"/>
      <c r="I158" s="1672"/>
      <c r="J158" s="23"/>
      <c r="K158" s="1672"/>
      <c r="L158" s="1671"/>
      <c r="M158" s="1671"/>
      <c r="N158" s="14" t="s">
        <v>420</v>
      </c>
      <c r="O158" s="209">
        <v>1</v>
      </c>
    </row>
    <row r="159" spans="1:15" ht="18" x14ac:dyDescent="0.25">
      <c r="A159" s="2255"/>
      <c r="B159" s="2255"/>
      <c r="C159" s="2255"/>
      <c r="D159" s="2255"/>
      <c r="E159" s="2255"/>
      <c r="F159" s="2255"/>
      <c r="G159" s="2255"/>
      <c r="H159" s="2255"/>
      <c r="I159" s="2255"/>
      <c r="J159" s="2255"/>
      <c r="K159" s="2255"/>
      <c r="L159" s="1671"/>
      <c r="M159" s="1671"/>
      <c r="N159" s="14" t="s">
        <v>421</v>
      </c>
      <c r="O159" s="209">
        <v>2</v>
      </c>
    </row>
    <row r="160" spans="1:15" ht="18" x14ac:dyDescent="0.25">
      <c r="A160" s="1672"/>
      <c r="B160" s="23"/>
      <c r="C160" s="1672"/>
      <c r="D160" s="23"/>
      <c r="E160" s="1672"/>
      <c r="F160" s="23"/>
      <c r="G160" s="1672"/>
      <c r="H160" s="1672"/>
      <c r="I160" s="1673"/>
      <c r="J160" s="21"/>
      <c r="K160" s="1673"/>
      <c r="L160" s="1671"/>
      <c r="M160" s="1671"/>
      <c r="N160" s="14" t="s">
        <v>422</v>
      </c>
      <c r="O160" s="209">
        <v>2</v>
      </c>
    </row>
    <row r="161" spans="1:15" ht="15.75" x14ac:dyDescent="0.25">
      <c r="A161" s="1671"/>
      <c r="B161" s="20"/>
      <c r="C161" s="1674"/>
      <c r="D161" s="22"/>
      <c r="E161" s="1674"/>
      <c r="F161" s="20"/>
      <c r="G161" s="1671"/>
      <c r="H161" s="1671"/>
      <c r="I161" s="1671"/>
      <c r="J161" s="20"/>
      <c r="K161" s="1671"/>
      <c r="L161" s="1671"/>
      <c r="M161" s="1671"/>
      <c r="N161" s="14" t="s">
        <v>423</v>
      </c>
      <c r="O161" s="210"/>
    </row>
    <row r="162" spans="1:15" x14ac:dyDescent="0.2">
      <c r="A162" s="1671"/>
      <c r="B162" s="20"/>
      <c r="C162" s="1671"/>
      <c r="D162" s="20"/>
      <c r="E162" s="1671"/>
      <c r="F162" s="20"/>
      <c r="G162" s="1671"/>
      <c r="H162" s="1671"/>
      <c r="I162" s="1671"/>
      <c r="J162" s="20"/>
      <c r="K162" s="1671"/>
      <c r="L162" s="1671"/>
      <c r="M162" s="1671"/>
      <c r="N162" s="14"/>
      <c r="O162" s="208"/>
    </row>
    <row r="163" spans="1:15" x14ac:dyDescent="0.2">
      <c r="A163" s="1671"/>
      <c r="B163" s="20"/>
      <c r="C163" s="1671"/>
      <c r="D163" s="20"/>
      <c r="E163" s="1671"/>
      <c r="F163" s="20"/>
      <c r="G163" s="1671"/>
      <c r="H163" s="1671"/>
      <c r="I163" s="1671"/>
      <c r="J163" s="20"/>
      <c r="K163" s="1671"/>
      <c r="L163" s="1671"/>
      <c r="M163" s="1671"/>
      <c r="N163" s="14" t="s">
        <v>424</v>
      </c>
      <c r="O163" s="1466">
        <v>42119</v>
      </c>
    </row>
    <row r="164" spans="1:15" x14ac:dyDescent="0.2">
      <c r="A164" s="1671"/>
      <c r="B164" s="20"/>
      <c r="C164" s="1671"/>
      <c r="D164" s="20"/>
      <c r="E164" s="1671"/>
      <c r="F164" s="20"/>
      <c r="G164" s="1671"/>
      <c r="H164" s="1671"/>
      <c r="I164" s="1671"/>
      <c r="J164" s="20"/>
      <c r="K164" s="1671"/>
      <c r="L164" s="1671"/>
      <c r="M164" s="1671"/>
      <c r="N164" s="1557"/>
      <c r="O164" s="1312"/>
    </row>
    <row r="165" spans="1:15" x14ac:dyDescent="0.2">
      <c r="A165" s="1557"/>
      <c r="B165" s="1557"/>
      <c r="C165" s="1557"/>
      <c r="D165" s="1557"/>
      <c r="E165" s="1557"/>
      <c r="F165" s="1557"/>
      <c r="G165" s="1557"/>
      <c r="H165" s="1557"/>
      <c r="I165" s="1557"/>
      <c r="J165" s="1557"/>
      <c r="K165" s="1557"/>
      <c r="L165" s="1312"/>
      <c r="M165" s="1312"/>
      <c r="N165" s="1312"/>
      <c r="O165" s="1312"/>
    </row>
    <row r="166" spans="1:15" ht="18" x14ac:dyDescent="0.25">
      <c r="A166" s="1557"/>
      <c r="B166" s="2256" t="s">
        <v>646</v>
      </c>
      <c r="C166" s="2256"/>
      <c r="D166" s="2256"/>
      <c r="E166" s="2256"/>
      <c r="F166" s="2256"/>
      <c r="G166" s="2256"/>
      <c r="H166" s="2256"/>
      <c r="I166" s="2256"/>
      <c r="J166" s="2256"/>
      <c r="K166" s="2256"/>
      <c r="L166" s="2256"/>
      <c r="M166" s="2256"/>
      <c r="N166" s="2256"/>
      <c r="O166" s="2256"/>
    </row>
    <row r="167" spans="1:15" ht="18" x14ac:dyDescent="0.25">
      <c r="A167" s="1557"/>
      <c r="B167" s="2256" t="s">
        <v>61</v>
      </c>
      <c r="C167" s="2256"/>
      <c r="D167" s="2256"/>
      <c r="E167" s="2256"/>
      <c r="F167" s="2256"/>
      <c r="G167" s="2256"/>
      <c r="H167" s="2256"/>
      <c r="I167" s="2256"/>
      <c r="J167" s="2256"/>
      <c r="K167" s="2256"/>
      <c r="L167" s="2256"/>
      <c r="M167" s="2256"/>
      <c r="N167" s="2256"/>
      <c r="O167" s="2256"/>
    </row>
    <row r="168" spans="1:15" x14ac:dyDescent="0.2">
      <c r="A168" s="1557"/>
      <c r="B168" s="1557"/>
      <c r="C168" s="1557"/>
      <c r="D168" s="1557"/>
      <c r="E168" s="1557"/>
      <c r="F168" s="1557"/>
      <c r="G168" s="1557"/>
      <c r="H168" s="1557"/>
      <c r="I168" s="1557"/>
      <c r="J168" s="1557"/>
      <c r="K168" s="1557"/>
      <c r="L168" s="1312"/>
      <c r="M168" s="1312"/>
      <c r="N168" s="1312"/>
      <c r="O168" s="1312"/>
    </row>
    <row r="169" spans="1:15" x14ac:dyDescent="0.2">
      <c r="A169" s="1557"/>
      <c r="B169" s="1557"/>
      <c r="C169" s="1557"/>
      <c r="D169" s="1557"/>
      <c r="E169" s="1557"/>
      <c r="F169" s="1557"/>
      <c r="G169" s="1557"/>
      <c r="H169" s="1557"/>
      <c r="I169" s="1557"/>
      <c r="J169" s="1557"/>
      <c r="K169" s="1557"/>
      <c r="L169" s="1312"/>
      <c r="M169" s="1312"/>
      <c r="N169" s="1312"/>
      <c r="O169" s="1312"/>
    </row>
    <row r="170" spans="1:15" ht="15.75" x14ac:dyDescent="0.2">
      <c r="A170" s="1557"/>
      <c r="B170" s="26" t="s">
        <v>38</v>
      </c>
      <c r="C170" s="1557"/>
      <c r="D170" s="2248" t="s">
        <v>2099</v>
      </c>
      <c r="E170" s="2248"/>
      <c r="F170" s="2248"/>
      <c r="G170" s="2248"/>
      <c r="H170" s="2248"/>
      <c r="I170" s="2248"/>
      <c r="J170" s="2248"/>
      <c r="K170" s="2248"/>
      <c r="L170" s="2248"/>
      <c r="M170" s="2248"/>
      <c r="N170" s="2248"/>
      <c r="O170" s="2248"/>
    </row>
    <row r="171" spans="1:15" ht="15.75" x14ac:dyDescent="0.25">
      <c r="A171" s="1557"/>
      <c r="B171" s="1675"/>
      <c r="C171" s="1557"/>
      <c r="D171" s="1676"/>
      <c r="E171" s="1676"/>
      <c r="F171" s="1676"/>
      <c r="G171" s="1676"/>
      <c r="H171" s="1676"/>
      <c r="I171" s="1676"/>
      <c r="J171" s="1676"/>
      <c r="K171" s="1676"/>
      <c r="L171" s="1676"/>
      <c r="M171" s="1676"/>
      <c r="N171" s="1676"/>
      <c r="O171" s="1676"/>
    </row>
    <row r="172" spans="1:15" x14ac:dyDescent="0.2">
      <c r="A172" s="1557"/>
      <c r="B172" s="611"/>
      <c r="C172" s="1557"/>
      <c r="D172" s="5" t="s">
        <v>16</v>
      </c>
      <c r="E172" s="1677"/>
      <c r="F172" s="1678">
        <v>40000</v>
      </c>
      <c r="G172" s="1677" t="s">
        <v>17</v>
      </c>
      <c r="H172" s="1557"/>
      <c r="I172" s="1557"/>
      <c r="K172" s="1557"/>
      <c r="L172" s="1557"/>
      <c r="M172" s="1557"/>
      <c r="N172" s="1557"/>
      <c r="O172" s="1557"/>
    </row>
    <row r="173" spans="1:15" x14ac:dyDescent="0.2">
      <c r="A173" s="1557"/>
      <c r="B173" s="1558"/>
      <c r="C173" s="1557"/>
      <c r="D173" s="1557"/>
      <c r="E173" s="1557"/>
      <c r="F173" s="1557"/>
      <c r="G173" s="1557"/>
      <c r="H173" s="1557"/>
      <c r="I173" s="1557"/>
      <c r="J173" s="1557"/>
      <c r="K173" s="1557"/>
      <c r="L173" s="1557"/>
      <c r="M173" s="1557"/>
      <c r="N173" s="1557"/>
      <c r="O173" s="1557"/>
    </row>
    <row r="174" spans="1:15" x14ac:dyDescent="0.2">
      <c r="A174" s="1557"/>
      <c r="B174" s="1558"/>
      <c r="C174" s="1557"/>
      <c r="D174" s="1559"/>
      <c r="E174" s="1559"/>
      <c r="F174" s="2249" t="s">
        <v>18</v>
      </c>
      <c r="G174" s="2250"/>
      <c r="H174" s="2251"/>
      <c r="I174" s="1557"/>
      <c r="J174" s="2249" t="s">
        <v>19</v>
      </c>
      <c r="K174" s="2250"/>
      <c r="L174" s="2251"/>
      <c r="M174" s="1557"/>
      <c r="N174" s="2249" t="s">
        <v>20</v>
      </c>
      <c r="O174" s="2251"/>
    </row>
    <row r="175" spans="1:15" x14ac:dyDescent="0.2">
      <c r="A175" s="1557"/>
      <c r="B175" s="1558"/>
      <c r="C175" s="1557"/>
      <c r="D175" s="2252" t="s">
        <v>21</v>
      </c>
      <c r="E175" s="1560"/>
      <c r="F175" s="1561" t="s">
        <v>22</v>
      </c>
      <c r="G175" s="1561" t="s">
        <v>23</v>
      </c>
      <c r="H175" s="1562" t="s">
        <v>24</v>
      </c>
      <c r="I175" s="1557"/>
      <c r="J175" s="1561" t="s">
        <v>22</v>
      </c>
      <c r="K175" s="1563" t="s">
        <v>23</v>
      </c>
      <c r="L175" s="1562" t="s">
        <v>24</v>
      </c>
      <c r="M175" s="1557"/>
      <c r="N175" s="2253" t="s">
        <v>25</v>
      </c>
      <c r="O175" s="2253" t="s">
        <v>26</v>
      </c>
    </row>
    <row r="176" spans="1:15" x14ac:dyDescent="0.2">
      <c r="A176" s="1557"/>
      <c r="B176" s="1558"/>
      <c r="C176" s="1557"/>
      <c r="D176" s="2252"/>
      <c r="E176" s="1560"/>
      <c r="F176" s="1564" t="s">
        <v>427</v>
      </c>
      <c r="G176" s="1564"/>
      <c r="H176" s="1565" t="s">
        <v>427</v>
      </c>
      <c r="I176" s="1557"/>
      <c r="J176" s="1564" t="s">
        <v>427</v>
      </c>
      <c r="K176" s="1565"/>
      <c r="L176" s="1565" t="s">
        <v>427</v>
      </c>
      <c r="M176" s="1557"/>
      <c r="N176" s="2254"/>
      <c r="O176" s="2254"/>
    </row>
    <row r="177" spans="1:15" x14ac:dyDescent="0.2">
      <c r="A177" s="1557"/>
      <c r="B177" s="1566" t="s">
        <v>27</v>
      </c>
      <c r="C177" s="1566"/>
      <c r="D177" s="538" t="s">
        <v>2088</v>
      </c>
      <c r="E177" s="1566"/>
      <c r="F177" s="1567">
        <v>72.31</v>
      </c>
      <c r="G177" s="1568">
        <v>1</v>
      </c>
      <c r="H177" s="1569">
        <f>G177*F177</f>
        <v>72.31</v>
      </c>
      <c r="I177" s="1570"/>
      <c r="J177" s="1571">
        <v>81.430000000000007</v>
      </c>
      <c r="K177" s="1572">
        <v>1</v>
      </c>
      <c r="L177" s="1569">
        <f>K177*J177</f>
        <v>81.430000000000007</v>
      </c>
      <c r="M177" s="1570"/>
      <c r="N177" s="1573">
        <f>L177-H177</f>
        <v>9.1200000000000045</v>
      </c>
      <c r="O177" s="1574">
        <f>IF((H177)=0,"",(N177/H177))</f>
        <v>0.1261236343520952</v>
      </c>
    </row>
    <row r="178" spans="1:15" x14ac:dyDescent="0.2">
      <c r="A178" s="1557"/>
      <c r="B178" s="1566" t="s">
        <v>28</v>
      </c>
      <c r="C178" s="1566"/>
      <c r="D178" s="538"/>
      <c r="E178" s="1566"/>
      <c r="F178" s="1567"/>
      <c r="G178" s="1568">
        <v>1</v>
      </c>
      <c r="H178" s="1569">
        <f t="shared" ref="H178:H185" si="16">G178*F178</f>
        <v>0</v>
      </c>
      <c r="I178" s="1570"/>
      <c r="J178" s="1571"/>
      <c r="K178" s="1572">
        <v>1</v>
      </c>
      <c r="L178" s="1569">
        <f>K178*J178</f>
        <v>0</v>
      </c>
      <c r="M178" s="1570"/>
      <c r="N178" s="1573">
        <f>L178-H178</f>
        <v>0</v>
      </c>
      <c r="O178" s="1574" t="str">
        <f>IF((H178)=0,"",(N178/H178))</f>
        <v/>
      </c>
    </row>
    <row r="179" spans="1:15" x14ac:dyDescent="0.2">
      <c r="A179" s="1557"/>
      <c r="B179" s="1566" t="s">
        <v>29</v>
      </c>
      <c r="C179" s="1566"/>
      <c r="D179" s="538" t="s">
        <v>115</v>
      </c>
      <c r="E179" s="1566"/>
      <c r="F179" s="1567">
        <v>3.2366000000000001</v>
      </c>
      <c r="G179" s="1568">
        <v>100</v>
      </c>
      <c r="H179" s="1569">
        <f t="shared" si="16"/>
        <v>323.66000000000003</v>
      </c>
      <c r="I179" s="1570"/>
      <c r="J179" s="1571">
        <v>3.6257999999999999</v>
      </c>
      <c r="K179" s="1568">
        <v>100</v>
      </c>
      <c r="L179" s="1569">
        <f t="shared" ref="L179:L185" si="17">K179*J179</f>
        <v>362.58</v>
      </c>
      <c r="M179" s="1570"/>
      <c r="N179" s="1573">
        <f t="shared" ref="N179:N215" si="18">L179-H179</f>
        <v>38.919999999999959</v>
      </c>
      <c r="O179" s="1574">
        <f t="shared" ref="O179:O186" si="19">IF((H179)=0,"",(N179/H179))</f>
        <v>0.12024964468887091</v>
      </c>
    </row>
    <row r="180" spans="1:15" x14ac:dyDescent="0.2">
      <c r="A180" s="1557"/>
      <c r="B180" s="1566" t="s">
        <v>2089</v>
      </c>
      <c r="C180" s="1566"/>
      <c r="D180" s="538" t="s">
        <v>2088</v>
      </c>
      <c r="E180" s="1566"/>
      <c r="F180" s="1567">
        <v>9.1199999999999992</v>
      </c>
      <c r="G180" s="1568">
        <v>1</v>
      </c>
      <c r="H180" s="1569">
        <f t="shared" si="16"/>
        <v>9.1199999999999992</v>
      </c>
      <c r="I180" s="1570"/>
      <c r="J180" s="1571">
        <v>0</v>
      </c>
      <c r="K180" s="1568">
        <v>1</v>
      </c>
      <c r="L180" s="1569">
        <f t="shared" si="17"/>
        <v>0</v>
      </c>
      <c r="M180" s="1570"/>
      <c r="N180" s="1573">
        <f t="shared" si="18"/>
        <v>-9.1199999999999992</v>
      </c>
      <c r="O180" s="1574">
        <f t="shared" si="19"/>
        <v>-1</v>
      </c>
    </row>
    <row r="181" spans="1:15" x14ac:dyDescent="0.2">
      <c r="A181" s="1557"/>
      <c r="B181" s="1566" t="s">
        <v>2090</v>
      </c>
      <c r="C181" s="1566"/>
      <c r="D181" s="538" t="s">
        <v>114</v>
      </c>
      <c r="E181" s="1566"/>
      <c r="F181" s="1567">
        <v>0</v>
      </c>
      <c r="G181" s="1568">
        <v>40000</v>
      </c>
      <c r="H181" s="1569">
        <f t="shared" si="16"/>
        <v>0</v>
      </c>
      <c r="I181" s="1570"/>
      <c r="J181" s="1571">
        <v>0</v>
      </c>
      <c r="K181" s="1568">
        <v>40000</v>
      </c>
      <c r="L181" s="1569">
        <f t="shared" si="17"/>
        <v>0</v>
      </c>
      <c r="M181" s="1570"/>
      <c r="N181" s="1573">
        <f t="shared" si="18"/>
        <v>0</v>
      </c>
      <c r="O181" s="1574" t="str">
        <f t="shared" si="19"/>
        <v/>
      </c>
    </row>
    <row r="182" spans="1:15" x14ac:dyDescent="0.2">
      <c r="A182" s="1557"/>
      <c r="B182" s="535" t="s">
        <v>2091</v>
      </c>
      <c r="C182" s="1566"/>
      <c r="D182" s="538" t="s">
        <v>114</v>
      </c>
      <c r="E182" s="1566"/>
      <c r="F182" s="1567">
        <v>0</v>
      </c>
      <c r="G182" s="1568">
        <v>40000</v>
      </c>
      <c r="H182" s="1569">
        <f t="shared" si="16"/>
        <v>0</v>
      </c>
      <c r="I182" s="1570"/>
      <c r="J182" s="1571">
        <v>0</v>
      </c>
      <c r="K182" s="1568">
        <v>40000</v>
      </c>
      <c r="L182" s="1569">
        <f t="shared" si="17"/>
        <v>0</v>
      </c>
      <c r="M182" s="1570"/>
      <c r="N182" s="1573">
        <f t="shared" si="18"/>
        <v>0</v>
      </c>
      <c r="O182" s="1574" t="str">
        <f t="shared" si="19"/>
        <v/>
      </c>
    </row>
    <row r="183" spans="1:15" x14ac:dyDescent="0.2">
      <c r="A183" s="1557"/>
      <c r="B183" s="535" t="s">
        <v>1751</v>
      </c>
      <c r="C183" s="1566"/>
      <c r="D183" s="538" t="s">
        <v>2088</v>
      </c>
      <c r="E183" s="1566"/>
      <c r="F183" s="1567">
        <v>0</v>
      </c>
      <c r="G183" s="1568">
        <v>1</v>
      </c>
      <c r="H183" s="1569">
        <f t="shared" si="16"/>
        <v>0</v>
      </c>
      <c r="I183" s="1570"/>
      <c r="J183" s="1571">
        <v>0</v>
      </c>
      <c r="K183" s="1568">
        <v>1</v>
      </c>
      <c r="L183" s="1569">
        <f t="shared" si="17"/>
        <v>0</v>
      </c>
      <c r="M183" s="1570"/>
      <c r="N183" s="1573">
        <f t="shared" si="18"/>
        <v>0</v>
      </c>
      <c r="O183" s="1574" t="str">
        <f t="shared" si="19"/>
        <v/>
      </c>
    </row>
    <row r="184" spans="1:15" x14ac:dyDescent="0.2">
      <c r="A184" s="1557"/>
      <c r="B184" s="535" t="s">
        <v>2092</v>
      </c>
      <c r="C184" s="1566"/>
      <c r="D184" s="538" t="s">
        <v>115</v>
      </c>
      <c r="E184" s="1566"/>
      <c r="F184" s="1567">
        <v>-9.2999999999999992E-3</v>
      </c>
      <c r="G184" s="1568">
        <v>100</v>
      </c>
      <c r="H184" s="1569">
        <f t="shared" si="16"/>
        <v>-0.92999999999999994</v>
      </c>
      <c r="I184" s="1570"/>
      <c r="J184" s="1571">
        <v>-9.2999999999999992E-3</v>
      </c>
      <c r="K184" s="1568">
        <v>100</v>
      </c>
      <c r="L184" s="1569">
        <f t="shared" si="17"/>
        <v>-0.92999999999999994</v>
      </c>
      <c r="M184" s="1570"/>
      <c r="N184" s="1573">
        <f t="shared" si="18"/>
        <v>0</v>
      </c>
      <c r="O184" s="1574">
        <f t="shared" si="19"/>
        <v>0</v>
      </c>
    </row>
    <row r="185" spans="1:15" x14ac:dyDescent="0.2">
      <c r="A185" s="1557"/>
      <c r="B185" s="535" t="s">
        <v>2093</v>
      </c>
      <c r="C185" s="1566"/>
      <c r="D185" s="538" t="s">
        <v>2088</v>
      </c>
      <c r="E185" s="1566"/>
      <c r="F185" s="1567">
        <v>0</v>
      </c>
      <c r="G185" s="1568">
        <v>1</v>
      </c>
      <c r="H185" s="1569">
        <f t="shared" si="16"/>
        <v>0</v>
      </c>
      <c r="I185" s="1570"/>
      <c r="J185" s="1571">
        <v>0</v>
      </c>
      <c r="K185" s="1568">
        <v>1</v>
      </c>
      <c r="L185" s="1569">
        <f t="shared" si="17"/>
        <v>0</v>
      </c>
      <c r="M185" s="1570"/>
      <c r="N185" s="1573">
        <f t="shared" si="18"/>
        <v>0</v>
      </c>
      <c r="O185" s="1574" t="str">
        <f t="shared" si="19"/>
        <v/>
      </c>
    </row>
    <row r="186" spans="1:15" x14ac:dyDescent="0.2">
      <c r="A186" s="1557"/>
      <c r="B186" s="1575" t="s">
        <v>2094</v>
      </c>
      <c r="C186" s="1576"/>
      <c r="D186" s="1577"/>
      <c r="E186" s="1576"/>
      <c r="F186" s="1578"/>
      <c r="G186" s="1579"/>
      <c r="H186" s="1580">
        <f>SUM(H177:H185)</f>
        <v>404.16</v>
      </c>
      <c r="I186" s="1581"/>
      <c r="J186" s="1582"/>
      <c r="K186" s="1583"/>
      <c r="L186" s="1580">
        <f>SUM(L177:L185)</f>
        <v>443.08</v>
      </c>
      <c r="M186" s="1581"/>
      <c r="N186" s="1584">
        <f t="shared" si="18"/>
        <v>38.919999999999959</v>
      </c>
      <c r="O186" s="1585">
        <f t="shared" si="19"/>
        <v>9.629849564528889E-2</v>
      </c>
    </row>
    <row r="187" spans="1:15" ht="51" x14ac:dyDescent="0.2">
      <c r="A187" s="1557"/>
      <c r="B187" s="662" t="s">
        <v>2095</v>
      </c>
      <c r="C187" s="1566"/>
      <c r="D187" s="538" t="s">
        <v>115</v>
      </c>
      <c r="E187" s="1566"/>
      <c r="F187" s="1567">
        <v>-2.3801999999999999</v>
      </c>
      <c r="G187" s="1568">
        <v>100</v>
      </c>
      <c r="H187" s="1569">
        <f>G187*F187</f>
        <v>-238.01999999999998</v>
      </c>
      <c r="I187" s="1570"/>
      <c r="J187" s="1571">
        <v>-2.3801999999999999</v>
      </c>
      <c r="K187" s="1568">
        <v>100</v>
      </c>
      <c r="L187" s="1569">
        <f t="shared" ref="L187:L190" si="20">K187*J187</f>
        <v>-238.01999999999998</v>
      </c>
      <c r="M187" s="1570"/>
      <c r="N187" s="1573">
        <f t="shared" si="18"/>
        <v>0</v>
      </c>
      <c r="O187" s="1574">
        <f>IF((H187)=0,"",(N187/H187))</f>
        <v>0</v>
      </c>
    </row>
    <row r="188" spans="1:15" ht="51" x14ac:dyDescent="0.2">
      <c r="A188" s="1557"/>
      <c r="B188" s="662" t="s">
        <v>2096</v>
      </c>
      <c r="C188" s="1566"/>
      <c r="D188" s="538" t="s">
        <v>115</v>
      </c>
      <c r="E188" s="1566"/>
      <c r="F188" s="1567">
        <v>0</v>
      </c>
      <c r="G188" s="1568">
        <v>100</v>
      </c>
      <c r="H188" s="1569">
        <f>G188*F188</f>
        <v>0</v>
      </c>
      <c r="I188" s="1570"/>
      <c r="J188" s="1571">
        <v>0</v>
      </c>
      <c r="K188" s="1568">
        <v>100</v>
      </c>
      <c r="L188" s="1569">
        <f t="shared" si="20"/>
        <v>0</v>
      </c>
      <c r="M188" s="1570"/>
      <c r="N188" s="1573">
        <f t="shared" si="18"/>
        <v>0</v>
      </c>
      <c r="O188" s="1574" t="str">
        <f>IF((H188)=0,"",(N188/H188))</f>
        <v/>
      </c>
    </row>
    <row r="189" spans="1:15" x14ac:dyDescent="0.2">
      <c r="A189" s="1557"/>
      <c r="B189" s="1586" t="s">
        <v>705</v>
      </c>
      <c r="C189" s="1566"/>
      <c r="D189" s="538" t="s">
        <v>114</v>
      </c>
      <c r="E189" s="1566"/>
      <c r="F189" s="1567">
        <v>0</v>
      </c>
      <c r="G189" s="1568">
        <v>40000</v>
      </c>
      <c r="H189" s="1569">
        <f>G189*F189</f>
        <v>0</v>
      </c>
      <c r="I189" s="1570"/>
      <c r="J189" s="1571">
        <v>0</v>
      </c>
      <c r="K189" s="1568">
        <v>40000</v>
      </c>
      <c r="L189" s="1569">
        <f t="shared" si="20"/>
        <v>0</v>
      </c>
      <c r="M189" s="1570"/>
      <c r="N189" s="1573">
        <f t="shared" si="18"/>
        <v>0</v>
      </c>
      <c r="O189" s="1574" t="str">
        <f>IF((H189)=0,"",(N189/H189))</f>
        <v/>
      </c>
    </row>
    <row r="190" spans="1:15" x14ac:dyDescent="0.2">
      <c r="A190" s="1557"/>
      <c r="B190" s="1586" t="s">
        <v>649</v>
      </c>
      <c r="C190" s="1566"/>
      <c r="D190" s="538"/>
      <c r="E190" s="1566"/>
      <c r="F190" s="1587"/>
      <c r="G190" s="1588"/>
      <c r="H190" s="1589"/>
      <c r="I190" s="1570"/>
      <c r="J190" s="1571"/>
      <c r="K190" s="1568">
        <v>40000</v>
      </c>
      <c r="L190" s="1569">
        <f t="shared" si="20"/>
        <v>0</v>
      </c>
      <c r="M190" s="1570"/>
      <c r="N190" s="1573">
        <f t="shared" si="18"/>
        <v>0</v>
      </c>
      <c r="O190" s="1574"/>
    </row>
    <row r="191" spans="1:15" ht="25.5" x14ac:dyDescent="0.2">
      <c r="A191" s="1557"/>
      <c r="B191" s="1590" t="s">
        <v>647</v>
      </c>
      <c r="C191" s="1591"/>
      <c r="D191" s="1591"/>
      <c r="E191" s="1591"/>
      <c r="F191" s="1592"/>
      <c r="G191" s="1593"/>
      <c r="H191" s="1594">
        <f>SUM(H186:H190)</f>
        <v>166.14000000000004</v>
      </c>
      <c r="I191" s="1581"/>
      <c r="J191" s="1593"/>
      <c r="K191" s="1595"/>
      <c r="L191" s="1594">
        <f>SUM(L186:L190)</f>
        <v>205.06</v>
      </c>
      <c r="M191" s="1581"/>
      <c r="N191" s="1584">
        <f t="shared" si="18"/>
        <v>38.919999999999959</v>
      </c>
      <c r="O191" s="1585">
        <f t="shared" ref="O191:O215" si="21">IF((H191)=0,"",(N191/H191))</f>
        <v>0.23426026242927619</v>
      </c>
    </row>
    <row r="192" spans="1:15" x14ac:dyDescent="0.2">
      <c r="A192" s="1557"/>
      <c r="B192" s="1570" t="s">
        <v>30</v>
      </c>
      <c r="C192" s="1570"/>
      <c r="D192" s="539" t="s">
        <v>115</v>
      </c>
      <c r="E192" s="1570"/>
      <c r="F192" s="1571">
        <v>2.7637999999999998</v>
      </c>
      <c r="G192" s="1596">
        <v>103.49999999999999</v>
      </c>
      <c r="H192" s="1569">
        <f>G192*F192</f>
        <v>286.05329999999992</v>
      </c>
      <c r="I192" s="1570"/>
      <c r="J192" s="1571">
        <v>2.8088000000000002</v>
      </c>
      <c r="K192" s="1597">
        <v>103.66602831306501</v>
      </c>
      <c r="L192" s="1569">
        <f>K192*J192</f>
        <v>291.17714032573701</v>
      </c>
      <c r="M192" s="1570"/>
      <c r="N192" s="1573">
        <f t="shared" si="18"/>
        <v>5.1238403257370919</v>
      </c>
      <c r="O192" s="1574">
        <f t="shared" si="21"/>
        <v>1.7912187434079917E-2</v>
      </c>
    </row>
    <row r="193" spans="1:15" ht="25.5" x14ac:dyDescent="0.2">
      <c r="A193" s="1557"/>
      <c r="B193" s="1598" t="s">
        <v>31</v>
      </c>
      <c r="C193" s="1570"/>
      <c r="D193" s="539" t="s">
        <v>115</v>
      </c>
      <c r="E193" s="1570"/>
      <c r="F193" s="1571">
        <v>1.9761</v>
      </c>
      <c r="G193" s="1596">
        <v>103.49999999999999</v>
      </c>
      <c r="H193" s="1569">
        <f>G193*F193</f>
        <v>204.52634999999998</v>
      </c>
      <c r="I193" s="1570"/>
      <c r="J193" s="1571">
        <v>2.0381</v>
      </c>
      <c r="K193" s="1597">
        <v>103.66602831306501</v>
      </c>
      <c r="L193" s="1569">
        <f>K193*J193</f>
        <v>211.2817323048578</v>
      </c>
      <c r="M193" s="1570"/>
      <c r="N193" s="1573">
        <f t="shared" si="18"/>
        <v>6.7553823048578181</v>
      </c>
      <c r="O193" s="1574">
        <f t="shared" si="21"/>
        <v>3.3029398436229949E-2</v>
      </c>
    </row>
    <row r="194" spans="1:15" ht="25.5" x14ac:dyDescent="0.2">
      <c r="A194" s="1557"/>
      <c r="B194" s="1590" t="s">
        <v>648</v>
      </c>
      <c r="C194" s="1576"/>
      <c r="D194" s="1576"/>
      <c r="E194" s="1576"/>
      <c r="F194" s="1599"/>
      <c r="G194" s="1593"/>
      <c r="H194" s="1594">
        <f>SUM(H191:H193)</f>
        <v>656.71965</v>
      </c>
      <c r="I194" s="1600"/>
      <c r="J194" s="1601"/>
      <c r="K194" s="1602"/>
      <c r="L194" s="1594">
        <f>SUM(L191:L193)</f>
        <v>707.51887263059484</v>
      </c>
      <c r="M194" s="1600"/>
      <c r="N194" s="1584">
        <f t="shared" si="18"/>
        <v>50.799222630594841</v>
      </c>
      <c r="O194" s="1585">
        <f t="shared" si="21"/>
        <v>7.7352981033222995E-2</v>
      </c>
    </row>
    <row r="195" spans="1:15" ht="25.5" x14ac:dyDescent="0.2">
      <c r="A195" s="1557"/>
      <c r="B195" s="1603" t="s">
        <v>32</v>
      </c>
      <c r="C195" s="1566"/>
      <c r="D195" s="538" t="s">
        <v>114</v>
      </c>
      <c r="E195" s="1566"/>
      <c r="F195" s="536">
        <v>5.1999999999999998E-3</v>
      </c>
      <c r="G195" s="1596">
        <v>41400</v>
      </c>
      <c r="H195" s="1604">
        <f t="shared" ref="H195:H203" si="22">G195*F195</f>
        <v>215.28</v>
      </c>
      <c r="I195" s="1570"/>
      <c r="J195" s="540">
        <v>5.1999999999999998E-3</v>
      </c>
      <c r="K195" s="1597">
        <v>41466.411325226007</v>
      </c>
      <c r="L195" s="1604">
        <f t="shared" ref="L195:L203" si="23">K195*J195</f>
        <v>215.62533889117523</v>
      </c>
      <c r="M195" s="1570"/>
      <c r="N195" s="1573">
        <f t="shared" si="18"/>
        <v>0.34533889117523131</v>
      </c>
      <c r="O195" s="1605">
        <f t="shared" si="21"/>
        <v>1.6041382904832373E-3</v>
      </c>
    </row>
    <row r="196" spans="1:15" ht="25.5" x14ac:dyDescent="0.2">
      <c r="A196" s="1557"/>
      <c r="B196" s="1603" t="s">
        <v>33</v>
      </c>
      <c r="C196" s="1566"/>
      <c r="D196" s="538" t="s">
        <v>114</v>
      </c>
      <c r="E196" s="1566"/>
      <c r="F196" s="536">
        <v>1.2999999999999999E-3</v>
      </c>
      <c r="G196" s="1596">
        <v>41400</v>
      </c>
      <c r="H196" s="1604">
        <f t="shared" si="22"/>
        <v>53.82</v>
      </c>
      <c r="I196" s="1570"/>
      <c r="J196" s="540">
        <v>1.2999999999999999E-3</v>
      </c>
      <c r="K196" s="1597">
        <v>41466.411325226007</v>
      </c>
      <c r="L196" s="1604">
        <f t="shared" si="23"/>
        <v>53.906334722793808</v>
      </c>
      <c r="M196" s="1570"/>
      <c r="N196" s="1573">
        <f t="shared" si="18"/>
        <v>8.6334722793807828E-2</v>
      </c>
      <c r="O196" s="1605">
        <f t="shared" si="21"/>
        <v>1.6041382904832373E-3</v>
      </c>
    </row>
    <row r="197" spans="1:15" x14ac:dyDescent="0.2">
      <c r="A197" s="1557"/>
      <c r="B197" s="1566" t="s">
        <v>34</v>
      </c>
      <c r="C197" s="1566"/>
      <c r="D197" s="538"/>
      <c r="E197" s="1566"/>
      <c r="F197" s="536"/>
      <c r="G197" s="1568">
        <v>1</v>
      </c>
      <c r="H197" s="1604">
        <f t="shared" si="22"/>
        <v>0</v>
      </c>
      <c r="I197" s="1570"/>
      <c r="J197" s="540"/>
      <c r="K197" s="1572">
        <v>1</v>
      </c>
      <c r="L197" s="1604">
        <f t="shared" si="23"/>
        <v>0</v>
      </c>
      <c r="M197" s="1570"/>
      <c r="N197" s="1573">
        <f t="shared" si="18"/>
        <v>0</v>
      </c>
      <c r="O197" s="1605" t="str">
        <f t="shared" si="21"/>
        <v/>
      </c>
    </row>
    <row r="198" spans="1:15" x14ac:dyDescent="0.2">
      <c r="A198" s="1557"/>
      <c r="B198" s="1566" t="s">
        <v>35</v>
      </c>
      <c r="C198" s="1566"/>
      <c r="D198" s="538" t="s">
        <v>114</v>
      </c>
      <c r="E198" s="1566"/>
      <c r="F198" s="536">
        <v>7.0000000000000001E-3</v>
      </c>
      <c r="G198" s="1596">
        <v>40000</v>
      </c>
      <c r="H198" s="1604">
        <f t="shared" si="22"/>
        <v>280</v>
      </c>
      <c r="I198" s="1570"/>
      <c r="J198" s="540">
        <v>7.0000000000000001E-3</v>
      </c>
      <c r="K198" s="1597">
        <v>40000</v>
      </c>
      <c r="L198" s="1604">
        <f t="shared" si="23"/>
        <v>280</v>
      </c>
      <c r="M198" s="1570"/>
      <c r="N198" s="1573">
        <f t="shared" si="18"/>
        <v>0</v>
      </c>
      <c r="O198" s="1605">
        <f t="shared" si="21"/>
        <v>0</v>
      </c>
    </row>
    <row r="199" spans="1:15" x14ac:dyDescent="0.2">
      <c r="A199" s="1557"/>
      <c r="B199" s="1586" t="s">
        <v>679</v>
      </c>
      <c r="C199" s="1566"/>
      <c r="D199" s="538" t="s">
        <v>114</v>
      </c>
      <c r="E199" s="1566"/>
      <c r="F199" s="1606">
        <v>7.4999999999999997E-2</v>
      </c>
      <c r="G199" s="1596">
        <f>IF($G$193&gt;=750,750,$G$193)</f>
        <v>103.49999999999999</v>
      </c>
      <c r="H199" s="1604">
        <f>G199*F199</f>
        <v>7.7624999999999984</v>
      </c>
      <c r="I199" s="1570"/>
      <c r="J199" s="536">
        <v>7.4999999999999997E-2</v>
      </c>
      <c r="K199" s="1596">
        <f>IF($K$193&gt;=750,750,$K$193)</f>
        <v>103.66602831306501</v>
      </c>
      <c r="L199" s="1604">
        <f>K199*J199</f>
        <v>7.774952123479876</v>
      </c>
      <c r="M199" s="1570"/>
      <c r="N199" s="1573">
        <f t="shared" si="18"/>
        <v>1.2452123479877564E-2</v>
      </c>
      <c r="O199" s="1605">
        <f t="shared" si="21"/>
        <v>1.6041382904834224E-3</v>
      </c>
    </row>
    <row r="200" spans="1:15" x14ac:dyDescent="0.2">
      <c r="A200" s="1557"/>
      <c r="B200" s="1586" t="s">
        <v>680</v>
      </c>
      <c r="C200" s="1566"/>
      <c r="D200" s="538" t="s">
        <v>114</v>
      </c>
      <c r="E200" s="1566"/>
      <c r="F200" s="1606">
        <v>8.7999999999999995E-2</v>
      </c>
      <c r="G200" s="1596">
        <f>IF($G$193&gt;=750,$G$193-750,0)</f>
        <v>0</v>
      </c>
      <c r="H200" s="1604">
        <f>G200*F200</f>
        <v>0</v>
      </c>
      <c r="I200" s="1570"/>
      <c r="J200" s="536">
        <v>8.7999999999999995E-2</v>
      </c>
      <c r="K200" s="1596">
        <f>IF($K$193&gt;=750,$K$193-750,0)</f>
        <v>0</v>
      </c>
      <c r="L200" s="1604">
        <f>K200*J200</f>
        <v>0</v>
      </c>
      <c r="M200" s="1570"/>
      <c r="N200" s="1573">
        <f t="shared" si="18"/>
        <v>0</v>
      </c>
      <c r="O200" s="1605" t="str">
        <f t="shared" si="21"/>
        <v/>
      </c>
    </row>
    <row r="201" spans="1:15" x14ac:dyDescent="0.2">
      <c r="A201" s="1557"/>
      <c r="B201" s="1586" t="s">
        <v>681</v>
      </c>
      <c r="C201" s="1566"/>
      <c r="D201" s="538" t="s">
        <v>114</v>
      </c>
      <c r="E201" s="1566"/>
      <c r="F201" s="1606">
        <v>6.5000000000000002E-2</v>
      </c>
      <c r="G201" s="1138">
        <v>26496</v>
      </c>
      <c r="H201" s="1604">
        <f t="shared" si="22"/>
        <v>1722.24</v>
      </c>
      <c r="I201" s="1570"/>
      <c r="J201" s="536">
        <v>6.5000000000000002E-2</v>
      </c>
      <c r="K201" s="1138">
        <v>26538.503248144643</v>
      </c>
      <c r="L201" s="1604">
        <f t="shared" si="23"/>
        <v>1725.0027111294019</v>
      </c>
      <c r="M201" s="1570"/>
      <c r="N201" s="1573">
        <f t="shared" si="18"/>
        <v>2.7627111294018505</v>
      </c>
      <c r="O201" s="1605">
        <f t="shared" si="21"/>
        <v>1.6041382904832373E-3</v>
      </c>
    </row>
    <row r="202" spans="1:15" x14ac:dyDescent="0.2">
      <c r="A202" s="1557"/>
      <c r="B202" s="1586" t="s">
        <v>682</v>
      </c>
      <c r="C202" s="1566"/>
      <c r="D202" s="538" t="s">
        <v>114</v>
      </c>
      <c r="E202" s="1566"/>
      <c r="F202" s="1606">
        <v>0.1</v>
      </c>
      <c r="G202" s="1138">
        <v>7452</v>
      </c>
      <c r="H202" s="1604">
        <f t="shared" si="22"/>
        <v>745.2</v>
      </c>
      <c r="I202" s="1570"/>
      <c r="J202" s="536">
        <v>0.1</v>
      </c>
      <c r="K202" s="1138">
        <v>7463.9540385406808</v>
      </c>
      <c r="L202" s="1604">
        <f t="shared" si="23"/>
        <v>746.39540385406815</v>
      </c>
      <c r="M202" s="1570"/>
      <c r="N202" s="1573">
        <f t="shared" si="18"/>
        <v>1.195403854068104</v>
      </c>
      <c r="O202" s="1605">
        <f t="shared" si="21"/>
        <v>1.6041382904832312E-3</v>
      </c>
    </row>
    <row r="203" spans="1:15" ht="13.5" thickBot="1" x14ac:dyDescent="0.25">
      <c r="A203" s="1557"/>
      <c r="B203" s="1558" t="s">
        <v>683</v>
      </c>
      <c r="C203" s="1566"/>
      <c r="D203" s="538" t="s">
        <v>114</v>
      </c>
      <c r="E203" s="1566"/>
      <c r="F203" s="1606">
        <v>0.11700000000000001</v>
      </c>
      <c r="G203" s="1138">
        <v>7452</v>
      </c>
      <c r="H203" s="1604">
        <f t="shared" si="22"/>
        <v>871.88400000000001</v>
      </c>
      <c r="I203" s="1570"/>
      <c r="J203" s="536">
        <v>0.11700000000000001</v>
      </c>
      <c r="K203" s="1138">
        <v>7463.9540385406808</v>
      </c>
      <c r="L203" s="1604">
        <f t="shared" si="23"/>
        <v>873.28262250925968</v>
      </c>
      <c r="M203" s="1570"/>
      <c r="N203" s="1573">
        <f t="shared" si="18"/>
        <v>1.3986225092596669</v>
      </c>
      <c r="O203" s="1605">
        <f t="shared" si="21"/>
        <v>1.6041382904832145E-3</v>
      </c>
    </row>
    <row r="204" spans="1:15" ht="13.5" thickBot="1" x14ac:dyDescent="0.25">
      <c r="A204" s="1557"/>
      <c r="B204" s="1607"/>
      <c r="C204" s="1608"/>
      <c r="D204" s="1609"/>
      <c r="E204" s="1608"/>
      <c r="F204" s="1610"/>
      <c r="G204" s="1611"/>
      <c r="H204" s="1612"/>
      <c r="I204" s="1613"/>
      <c r="J204" s="1610"/>
      <c r="K204" s="1614"/>
      <c r="L204" s="1612"/>
      <c r="M204" s="1613"/>
      <c r="N204" s="1615"/>
      <c r="O204" s="1616"/>
    </row>
    <row r="205" spans="1:15" x14ac:dyDescent="0.2">
      <c r="A205" s="1557"/>
      <c r="B205" s="1617" t="s">
        <v>684</v>
      </c>
      <c r="C205" s="1566"/>
      <c r="D205" s="1566"/>
      <c r="E205" s="1566"/>
      <c r="F205" s="1618"/>
      <c r="G205" s="1619"/>
      <c r="H205" s="1620">
        <f>SUM(H194:H200)</f>
        <v>1213.58215</v>
      </c>
      <c r="I205" s="1621"/>
      <c r="J205" s="1622"/>
      <c r="K205" s="1622"/>
      <c r="L205" s="1623">
        <f>SUM(L194:L200)</f>
        <v>1264.8254983680438</v>
      </c>
      <c r="M205" s="1624"/>
      <c r="N205" s="1625">
        <f t="shared" si="18"/>
        <v>51.243348368043826</v>
      </c>
      <c r="O205" s="1626">
        <f t="shared" si="21"/>
        <v>4.2224869876376997E-2</v>
      </c>
    </row>
    <row r="206" spans="1:15" x14ac:dyDescent="0.2">
      <c r="A206" s="1557"/>
      <c r="B206" s="1627" t="s">
        <v>36</v>
      </c>
      <c r="C206" s="1566"/>
      <c r="D206" s="1566"/>
      <c r="E206" s="1566"/>
      <c r="F206" s="1628">
        <v>0.13</v>
      </c>
      <c r="G206" s="1619"/>
      <c r="H206" s="1629">
        <f>H205*F206</f>
        <v>157.7656795</v>
      </c>
      <c r="I206" s="1630"/>
      <c r="J206" s="1631">
        <v>0.13</v>
      </c>
      <c r="K206" s="1632"/>
      <c r="L206" s="1633">
        <f>L205*J206</f>
        <v>164.42731478784569</v>
      </c>
      <c r="M206" s="1634"/>
      <c r="N206" s="1635">
        <f t="shared" si="18"/>
        <v>6.6616352878456837</v>
      </c>
      <c r="O206" s="1636">
        <f t="shared" si="21"/>
        <v>4.2224869876376907E-2</v>
      </c>
    </row>
    <row r="207" spans="1:15" x14ac:dyDescent="0.2">
      <c r="A207" s="1557"/>
      <c r="B207" s="1637" t="s">
        <v>1369</v>
      </c>
      <c r="C207" s="1566"/>
      <c r="D207" s="1566"/>
      <c r="E207" s="1566"/>
      <c r="F207" s="1638"/>
      <c r="G207" s="1639"/>
      <c r="H207" s="1629">
        <f>H205+H206</f>
        <v>1371.3478295</v>
      </c>
      <c r="I207" s="1630"/>
      <c r="J207" s="1630"/>
      <c r="K207" s="1630"/>
      <c r="L207" s="1633">
        <f>L205+L206</f>
        <v>1429.2528131558895</v>
      </c>
      <c r="M207" s="1634"/>
      <c r="N207" s="1635">
        <f t="shared" si="18"/>
        <v>57.904983655889509</v>
      </c>
      <c r="O207" s="1636">
        <f t="shared" si="21"/>
        <v>4.2224869876376983E-2</v>
      </c>
    </row>
    <row r="208" spans="1:15" x14ac:dyDescent="0.2">
      <c r="A208" s="1557"/>
      <c r="B208" s="2246" t="s">
        <v>2097</v>
      </c>
      <c r="C208" s="2246"/>
      <c r="D208" s="2246"/>
      <c r="E208" s="1566"/>
      <c r="F208" s="1638"/>
      <c r="G208" s="1639"/>
      <c r="H208" s="1640">
        <f>ROUND(-H207*10%,2)</f>
        <v>-137.13</v>
      </c>
      <c r="I208" s="1630"/>
      <c r="J208" s="1630"/>
      <c r="K208" s="1630"/>
      <c r="L208" s="1641">
        <f>ROUND(-L207*10%,2)</f>
        <v>-142.93</v>
      </c>
      <c r="M208" s="1634"/>
      <c r="N208" s="1642">
        <f t="shared" si="18"/>
        <v>-5.8000000000000114</v>
      </c>
      <c r="O208" s="1643">
        <f t="shared" si="21"/>
        <v>4.2295631882155703E-2</v>
      </c>
    </row>
    <row r="209" spans="1:15" ht="13.5" thickBot="1" x14ac:dyDescent="0.25">
      <c r="A209" s="1557"/>
      <c r="B209" s="2247" t="s">
        <v>687</v>
      </c>
      <c r="C209" s="2247"/>
      <c r="D209" s="2247"/>
      <c r="E209" s="1644"/>
      <c r="F209" s="1645"/>
      <c r="G209" s="1646"/>
      <c r="H209" s="1647">
        <f>SUM(H207:H208)</f>
        <v>1234.2178294999999</v>
      </c>
      <c r="I209" s="1648"/>
      <c r="J209" s="1648"/>
      <c r="K209" s="1648"/>
      <c r="L209" s="1649">
        <f>SUM(L207:L208)</f>
        <v>1286.3228131558894</v>
      </c>
      <c r="M209" s="1650"/>
      <c r="N209" s="1651">
        <f t="shared" si="18"/>
        <v>52.104983655889555</v>
      </c>
      <c r="O209" s="1652">
        <f t="shared" si="21"/>
        <v>4.2217007735982928E-2</v>
      </c>
    </row>
    <row r="210" spans="1:15" ht="13.5" thickBot="1" x14ac:dyDescent="0.25">
      <c r="A210" s="1557"/>
      <c r="B210" s="1607"/>
      <c r="C210" s="1608"/>
      <c r="D210" s="1609"/>
      <c r="E210" s="1608"/>
      <c r="F210" s="1653"/>
      <c r="G210" s="1654"/>
      <c r="H210" s="1655"/>
      <c r="I210" s="1656"/>
      <c r="J210" s="1653"/>
      <c r="K210" s="1611"/>
      <c r="L210" s="1657"/>
      <c r="M210" s="1613"/>
      <c r="N210" s="1658"/>
      <c r="O210" s="1616"/>
    </row>
    <row r="211" spans="1:15" x14ac:dyDescent="0.2">
      <c r="A211" s="1557"/>
      <c r="B211" s="1617" t="s">
        <v>685</v>
      </c>
      <c r="C211" s="1566"/>
      <c r="D211" s="1566"/>
      <c r="E211" s="1566"/>
      <c r="F211" s="1618"/>
      <c r="G211" s="1619"/>
      <c r="H211" s="1620">
        <f>SUM(H194:H198,H201:H203)</f>
        <v>4545.14365</v>
      </c>
      <c r="I211" s="1621"/>
      <c r="J211" s="1622"/>
      <c r="K211" s="1622"/>
      <c r="L211" s="1659">
        <f>SUM(L194:L198,L201:L203)</f>
        <v>4601.7312837372938</v>
      </c>
      <c r="M211" s="1624"/>
      <c r="N211" s="1625">
        <f>L211-H211</f>
        <v>56.5876337372938</v>
      </c>
      <c r="O211" s="1626">
        <f>IF((H211)=0,"",(N211/H211))</f>
        <v>1.2450130973812852E-2</v>
      </c>
    </row>
    <row r="212" spans="1:15" x14ac:dyDescent="0.2">
      <c r="A212" s="1557"/>
      <c r="B212" s="1627" t="s">
        <v>36</v>
      </c>
      <c r="C212" s="1566"/>
      <c r="D212" s="1566"/>
      <c r="E212" s="1566"/>
      <c r="F212" s="1628">
        <v>0.13</v>
      </c>
      <c r="G212" s="1639"/>
      <c r="H212" s="1629">
        <f>H211*F212</f>
        <v>590.8686745</v>
      </c>
      <c r="I212" s="1630"/>
      <c r="J212" s="1660">
        <v>0.13</v>
      </c>
      <c r="K212" s="1630"/>
      <c r="L212" s="1633">
        <f>L211*J212</f>
        <v>598.22506688584826</v>
      </c>
      <c r="M212" s="1634"/>
      <c r="N212" s="1635">
        <f t="shared" si="18"/>
        <v>7.3563923858482667</v>
      </c>
      <c r="O212" s="1636">
        <f t="shared" si="21"/>
        <v>1.2450130973812975E-2</v>
      </c>
    </row>
    <row r="213" spans="1:15" x14ac:dyDescent="0.2">
      <c r="A213" s="1557"/>
      <c r="B213" s="1637" t="s">
        <v>1369</v>
      </c>
      <c r="C213" s="1566"/>
      <c r="D213" s="1566"/>
      <c r="E213" s="1566"/>
      <c r="F213" s="1638"/>
      <c r="G213" s="1639"/>
      <c r="H213" s="1629">
        <f>H211+H212</f>
        <v>5136.0123244999995</v>
      </c>
      <c r="I213" s="1630"/>
      <c r="J213" s="1630"/>
      <c r="K213" s="1630"/>
      <c r="L213" s="1633">
        <f>L211+L212</f>
        <v>5199.9563506231425</v>
      </c>
      <c r="M213" s="1634"/>
      <c r="N213" s="1635">
        <f t="shared" si="18"/>
        <v>63.944026123142976</v>
      </c>
      <c r="O213" s="1636">
        <f t="shared" si="21"/>
        <v>1.2450130973813044E-2</v>
      </c>
    </row>
    <row r="214" spans="1:15" x14ac:dyDescent="0.2">
      <c r="A214" s="1557"/>
      <c r="B214" s="2246" t="s">
        <v>2097</v>
      </c>
      <c r="C214" s="2246"/>
      <c r="D214" s="2246"/>
      <c r="E214" s="1566"/>
      <c r="F214" s="1638"/>
      <c r="G214" s="1639"/>
      <c r="H214" s="1640">
        <f>ROUND(-H213*10%,2)</f>
        <v>-513.6</v>
      </c>
      <c r="I214" s="1630"/>
      <c r="J214" s="1630"/>
      <c r="K214" s="1630"/>
      <c r="L214" s="1641">
        <f>ROUND(-L213*10%,2)</f>
        <v>-520</v>
      </c>
      <c r="M214" s="1634"/>
      <c r="N214" s="1642">
        <f t="shared" si="18"/>
        <v>-6.3999999999999773</v>
      </c>
      <c r="O214" s="1643">
        <f t="shared" si="21"/>
        <v>1.2461059190031107E-2</v>
      </c>
    </row>
    <row r="215" spans="1:15" ht="13.5" thickBot="1" x14ac:dyDescent="0.25">
      <c r="A215" s="1557"/>
      <c r="B215" s="2247" t="s">
        <v>686</v>
      </c>
      <c r="C215" s="2247"/>
      <c r="D215" s="2247"/>
      <c r="E215" s="1644"/>
      <c r="F215" s="1661"/>
      <c r="G215" s="1662"/>
      <c r="H215" s="1663">
        <f>H213+H214</f>
        <v>4622.4123244999992</v>
      </c>
      <c r="I215" s="1664"/>
      <c r="J215" s="1664"/>
      <c r="K215" s="1664"/>
      <c r="L215" s="1665">
        <f>L213+L214</f>
        <v>4679.9563506231425</v>
      </c>
      <c r="M215" s="1666"/>
      <c r="N215" s="1667">
        <f t="shared" si="18"/>
        <v>57.54402612314334</v>
      </c>
      <c r="O215" s="1668">
        <f t="shared" si="21"/>
        <v>1.2448916730804149E-2</v>
      </c>
    </row>
    <row r="216" spans="1:15" ht="13.5" thickBot="1" x14ac:dyDescent="0.25">
      <c r="A216" s="1557"/>
      <c r="B216" s="1607"/>
      <c r="C216" s="1608"/>
      <c r="D216" s="1609"/>
      <c r="E216" s="1608"/>
      <c r="F216" s="1653"/>
      <c r="G216" s="1654"/>
      <c r="H216" s="1655"/>
      <c r="I216" s="1656"/>
      <c r="J216" s="1653"/>
      <c r="K216" s="1611"/>
      <c r="L216" s="1657"/>
      <c r="M216" s="1613"/>
      <c r="N216" s="1658"/>
      <c r="O216" s="1616"/>
    </row>
    <row r="217" spans="1:15" x14ac:dyDescent="0.2">
      <c r="A217" s="1557"/>
      <c r="B217" s="1557"/>
      <c r="C217" s="1557"/>
      <c r="D217" s="1557"/>
      <c r="E217" s="1557"/>
      <c r="F217" s="1557"/>
      <c r="G217" s="1557"/>
      <c r="H217" s="1557"/>
      <c r="I217" s="1557"/>
      <c r="J217" s="1557"/>
      <c r="K217" s="1557"/>
      <c r="L217" s="1669"/>
      <c r="M217" s="1557"/>
      <c r="N217" s="1557"/>
      <c r="O217" s="1557"/>
    </row>
    <row r="218" spans="1:15" x14ac:dyDescent="0.2">
      <c r="A218" s="1557"/>
      <c r="B218" s="5" t="s">
        <v>37</v>
      </c>
      <c r="C218" s="1557"/>
      <c r="E218" s="1557"/>
      <c r="F218" s="537">
        <v>3.499999999999992E-2</v>
      </c>
      <c r="G218" s="1557"/>
      <c r="H218" s="1557"/>
      <c r="I218" s="1557"/>
      <c r="J218" s="537">
        <v>3.6660283130650173E-2</v>
      </c>
      <c r="K218" s="1557"/>
      <c r="L218" s="1557"/>
      <c r="M218" s="1557"/>
      <c r="N218" s="1557"/>
      <c r="O218" s="1557"/>
    </row>
    <row r="219" spans="1:15" x14ac:dyDescent="0.2">
      <c r="A219" s="1557"/>
      <c r="B219" s="1557"/>
      <c r="C219" s="1557"/>
      <c r="D219" s="1557"/>
      <c r="E219" s="1557"/>
      <c r="F219" s="1557"/>
      <c r="G219" s="1557"/>
      <c r="H219" s="1557"/>
      <c r="I219" s="1557"/>
      <c r="J219" s="1557"/>
      <c r="K219" s="1557"/>
      <c r="L219" s="1557"/>
      <c r="M219" s="1557"/>
      <c r="N219" s="1557"/>
      <c r="O219" s="1557"/>
    </row>
    <row r="220" spans="1:15" ht="14.25" x14ac:dyDescent="0.2">
      <c r="A220" s="1692" t="s">
        <v>2100</v>
      </c>
      <c r="B220" s="1689"/>
      <c r="C220" s="1689"/>
      <c r="D220" s="1689"/>
      <c r="E220" s="1689"/>
      <c r="F220" s="1689"/>
      <c r="G220" s="1689"/>
      <c r="H220" s="1689"/>
      <c r="I220" s="1689"/>
      <c r="J220" s="1689"/>
      <c r="K220" s="1689"/>
      <c r="L220" s="1689"/>
      <c r="M220" s="1689"/>
      <c r="N220" s="1689"/>
      <c r="O220" s="1689"/>
    </row>
    <row r="221" spans="1:15" x14ac:dyDescent="0.2">
      <c r="A221" s="1689"/>
      <c r="B221" s="1689"/>
      <c r="C221" s="1689"/>
      <c r="D221" s="1689"/>
      <c r="E221" s="1689"/>
      <c r="F221" s="1689"/>
      <c r="G221" s="1689"/>
      <c r="H221" s="1689"/>
      <c r="I221" s="1689"/>
      <c r="J221" s="1689"/>
      <c r="K221" s="1689"/>
      <c r="L221" s="1689"/>
      <c r="M221" s="1689"/>
      <c r="N221" s="1689"/>
      <c r="O221" s="1689"/>
    </row>
    <row r="222" spans="1:15" x14ac:dyDescent="0.2">
      <c r="A222" s="1690" t="s">
        <v>126</v>
      </c>
      <c r="B222" s="1689"/>
      <c r="C222" s="1689"/>
      <c r="D222" s="1689"/>
      <c r="E222" s="1689"/>
      <c r="F222" s="1689"/>
      <c r="G222" s="1689"/>
      <c r="H222" s="1689"/>
      <c r="I222" s="1689"/>
      <c r="J222" s="1689"/>
      <c r="K222" s="1689"/>
      <c r="L222" s="1689"/>
      <c r="M222" s="1689"/>
      <c r="N222" s="1689"/>
      <c r="O222" s="1689"/>
    </row>
    <row r="223" spans="1:15" x14ac:dyDescent="0.2">
      <c r="A223" s="1690" t="s">
        <v>127</v>
      </c>
      <c r="B223" s="1689"/>
      <c r="C223" s="1689"/>
      <c r="D223" s="1689"/>
      <c r="E223" s="1689"/>
      <c r="F223" s="1689"/>
      <c r="G223" s="1689"/>
      <c r="H223" s="1689"/>
      <c r="I223" s="1689"/>
      <c r="J223" s="1689"/>
      <c r="K223" s="1689"/>
      <c r="L223" s="1689"/>
      <c r="M223" s="1689"/>
      <c r="N223" s="1689"/>
      <c r="O223" s="1689"/>
    </row>
    <row r="224" spans="1:15" x14ac:dyDescent="0.2">
      <c r="A224" s="1557"/>
      <c r="B224" s="1557"/>
      <c r="C224" s="1557"/>
      <c r="D224" s="1557"/>
      <c r="E224" s="1557"/>
      <c r="F224" s="1557"/>
      <c r="G224" s="1557"/>
      <c r="H224" s="1557"/>
      <c r="I224" s="1557"/>
      <c r="J224" s="1557"/>
      <c r="K224" s="1557"/>
      <c r="L224" s="1557"/>
      <c r="M224" s="1557"/>
      <c r="N224" s="1557"/>
      <c r="O224" s="1557"/>
    </row>
    <row r="225" spans="1:15" x14ac:dyDescent="0.2">
      <c r="A225" s="1691" t="s">
        <v>2101</v>
      </c>
      <c r="B225" s="1689"/>
      <c r="C225" s="1557"/>
      <c r="D225" s="1557"/>
      <c r="E225" s="1557"/>
      <c r="F225" s="1557"/>
      <c r="G225" s="1557"/>
      <c r="H225" s="1557"/>
      <c r="I225" s="1557"/>
      <c r="J225" s="1557"/>
      <c r="K225" s="1557"/>
      <c r="L225" s="1557"/>
      <c r="M225" s="1557"/>
      <c r="N225" s="1557"/>
      <c r="O225" s="1557"/>
    </row>
    <row r="226" spans="1:15" x14ac:dyDescent="0.2">
      <c r="A226" s="1691" t="s">
        <v>128</v>
      </c>
      <c r="B226" s="1689"/>
      <c r="C226" s="1557"/>
      <c r="D226" s="1557"/>
      <c r="E226" s="1557"/>
      <c r="F226" s="1557"/>
      <c r="G226" s="1557"/>
      <c r="H226" s="1557"/>
      <c r="I226" s="1557"/>
      <c r="J226" s="1557"/>
      <c r="K226" s="1557"/>
      <c r="L226" s="1557"/>
      <c r="M226" s="1557"/>
      <c r="N226" s="1557"/>
      <c r="O226" s="1557"/>
    </row>
    <row r="227" spans="1:15" x14ac:dyDescent="0.2">
      <c r="A227" s="1557"/>
      <c r="B227" s="1557"/>
      <c r="C227" s="1557"/>
      <c r="D227" s="1557"/>
      <c r="E227" s="1557"/>
      <c r="F227" s="1557"/>
      <c r="G227" s="1557"/>
      <c r="H227" s="1557"/>
      <c r="I227" s="1557"/>
      <c r="J227" s="1557"/>
      <c r="K227" s="1557"/>
      <c r="L227" s="1557"/>
      <c r="M227" s="1557"/>
      <c r="N227" s="1557"/>
      <c r="O227" s="1557"/>
    </row>
    <row r="228" spans="1:15" x14ac:dyDescent="0.2">
      <c r="A228" s="1690" t="s">
        <v>129</v>
      </c>
      <c r="B228" s="1689"/>
      <c r="C228" s="1557"/>
      <c r="D228" s="1557"/>
      <c r="E228" s="1557"/>
      <c r="F228" s="1557"/>
      <c r="G228" s="1557"/>
      <c r="H228" s="1557"/>
      <c r="I228" s="1557"/>
      <c r="J228" s="1557"/>
      <c r="K228" s="1557"/>
      <c r="L228" s="1557"/>
      <c r="M228" s="1557"/>
      <c r="N228" s="1557"/>
      <c r="O228" s="1557"/>
    </row>
    <row r="229" spans="1:15" x14ac:dyDescent="0.2">
      <c r="A229" s="1690" t="s">
        <v>130</v>
      </c>
      <c r="B229" s="1689"/>
      <c r="C229" s="1557"/>
      <c r="D229" s="1557"/>
      <c r="E229" s="1557"/>
      <c r="F229" s="1557"/>
      <c r="G229" s="1557"/>
      <c r="H229" s="1557"/>
      <c r="I229" s="1557"/>
      <c r="J229" s="1557"/>
      <c r="K229" s="1557"/>
      <c r="L229" s="1557"/>
      <c r="M229" s="1557"/>
      <c r="N229" s="1557"/>
      <c r="O229" s="1557"/>
    </row>
    <row r="230" spans="1:15" x14ac:dyDescent="0.2">
      <c r="A230" s="1690" t="s">
        <v>131</v>
      </c>
      <c r="B230" s="1689"/>
      <c r="C230" s="1557"/>
      <c r="D230" s="1557"/>
      <c r="E230" s="1557"/>
      <c r="F230" s="1557"/>
      <c r="G230" s="1557"/>
      <c r="H230" s="1557"/>
      <c r="I230" s="1557"/>
      <c r="J230" s="1557"/>
      <c r="K230" s="1557"/>
      <c r="L230" s="1557"/>
      <c r="M230" s="1557"/>
      <c r="N230" s="1557"/>
      <c r="O230" s="1557"/>
    </row>
    <row r="231" spans="1:15" x14ac:dyDescent="0.2">
      <c r="A231" s="1690" t="s">
        <v>132</v>
      </c>
      <c r="B231" s="1689"/>
      <c r="C231" s="1557"/>
      <c r="D231" s="1557"/>
      <c r="E231" s="1557"/>
      <c r="F231" s="1557"/>
      <c r="G231" s="1557"/>
      <c r="H231" s="1557"/>
      <c r="I231" s="1557"/>
      <c r="J231" s="1557"/>
      <c r="K231" s="1557"/>
      <c r="L231" s="1557"/>
      <c r="M231" s="1557"/>
      <c r="N231" s="1557"/>
      <c r="O231" s="1557"/>
    </row>
    <row r="232" spans="1:15" x14ac:dyDescent="0.2">
      <c r="A232" s="1690" t="s">
        <v>133</v>
      </c>
      <c r="B232" s="1689"/>
      <c r="C232" s="1557"/>
      <c r="D232" s="1557"/>
      <c r="E232" s="1557"/>
      <c r="F232" s="1557"/>
      <c r="G232" s="1557"/>
      <c r="H232" s="1557"/>
      <c r="I232" s="1557"/>
      <c r="J232" s="1557"/>
      <c r="K232" s="1557"/>
      <c r="L232" s="1557"/>
      <c r="M232" s="1557"/>
      <c r="N232" s="1557"/>
      <c r="O232" s="1557"/>
    </row>
    <row r="233" spans="1:15" x14ac:dyDescent="0.2">
      <c r="A233"/>
      <c r="B233"/>
      <c r="C233"/>
      <c r="D233"/>
      <c r="E233"/>
      <c r="F233"/>
      <c r="G233"/>
      <c r="H233"/>
      <c r="I233"/>
      <c r="J233"/>
      <c r="K233"/>
      <c r="L233"/>
      <c r="M233"/>
      <c r="N233"/>
      <c r="O233"/>
    </row>
    <row r="234" spans="1:15" ht="21.75" x14ac:dyDescent="0.2">
      <c r="A234" s="1693"/>
      <c r="B234" s="1690" t="s">
        <v>2102</v>
      </c>
      <c r="C234" s="1670"/>
      <c r="D234" s="24"/>
      <c r="E234" s="1670"/>
      <c r="F234" s="24"/>
      <c r="G234" s="1670"/>
      <c r="H234" s="1670"/>
      <c r="I234" s="1670"/>
      <c r="J234" s="24"/>
      <c r="K234" s="1670"/>
      <c r="L234" s="1671"/>
      <c r="M234" s="1671"/>
      <c r="N234" s="14"/>
      <c r="O234" s="208"/>
    </row>
    <row r="235" spans="1:15" ht="18" x14ac:dyDescent="0.25">
      <c r="A235" s="1672"/>
      <c r="B235" s="23"/>
      <c r="C235" s="1672"/>
      <c r="D235" s="23"/>
      <c r="E235" s="1672"/>
      <c r="F235" s="23"/>
      <c r="G235" s="1672"/>
      <c r="H235" s="1672"/>
      <c r="I235" s="1672"/>
      <c r="J235" s="23"/>
      <c r="K235" s="1672"/>
      <c r="L235" s="1671"/>
      <c r="M235" s="1671"/>
      <c r="N235" s="14" t="s">
        <v>420</v>
      </c>
      <c r="O235" s="209">
        <v>1</v>
      </c>
    </row>
    <row r="236" spans="1:15" ht="18" x14ac:dyDescent="0.25">
      <c r="A236" s="2255"/>
      <c r="B236" s="2255"/>
      <c r="C236" s="2255"/>
      <c r="D236" s="2255"/>
      <c r="E236" s="2255"/>
      <c r="F236" s="2255"/>
      <c r="G236" s="2255"/>
      <c r="H236" s="2255"/>
      <c r="I236" s="2255"/>
      <c r="J236" s="2255"/>
      <c r="K236" s="2255"/>
      <c r="L236" s="1671"/>
      <c r="M236" s="1671"/>
      <c r="N236" s="14" t="s">
        <v>421</v>
      </c>
      <c r="O236" s="209">
        <v>2</v>
      </c>
    </row>
    <row r="237" spans="1:15" ht="18" x14ac:dyDescent="0.25">
      <c r="A237" s="1672"/>
      <c r="B237" s="23"/>
      <c r="C237" s="1672"/>
      <c r="D237" s="23"/>
      <c r="E237" s="1672"/>
      <c r="F237" s="23"/>
      <c r="G237" s="1672"/>
      <c r="H237" s="1672"/>
      <c r="I237" s="1673"/>
      <c r="J237" s="21"/>
      <c r="K237" s="1673"/>
      <c r="L237" s="1671"/>
      <c r="M237" s="1671"/>
      <c r="N237" s="14" t="s">
        <v>422</v>
      </c>
      <c r="O237" s="209">
        <v>2</v>
      </c>
    </row>
    <row r="238" spans="1:15" ht="15.75" x14ac:dyDescent="0.25">
      <c r="A238" s="1671"/>
      <c r="B238" s="20"/>
      <c r="C238" s="1674"/>
      <c r="D238" s="22"/>
      <c r="E238" s="1674"/>
      <c r="F238" s="20"/>
      <c r="G238" s="1671"/>
      <c r="H238" s="1671"/>
      <c r="I238" s="1671"/>
      <c r="J238" s="20"/>
      <c r="K238" s="1671"/>
      <c r="L238" s="1671"/>
      <c r="M238" s="1671"/>
      <c r="N238" s="14" t="s">
        <v>423</v>
      </c>
      <c r="O238" s="210"/>
    </row>
    <row r="239" spans="1:15" x14ac:dyDescent="0.2">
      <c r="A239" s="1671"/>
      <c r="B239" s="20"/>
      <c r="C239" s="1671"/>
      <c r="D239" s="20"/>
      <c r="E239" s="1671"/>
      <c r="F239" s="20"/>
      <c r="G239" s="1671"/>
      <c r="H239" s="1671"/>
      <c r="I239" s="1671"/>
      <c r="J239" s="20"/>
      <c r="K239" s="1671"/>
      <c r="L239" s="1671"/>
      <c r="M239" s="1671"/>
      <c r="N239" s="14"/>
      <c r="O239" s="208"/>
    </row>
    <row r="240" spans="1:15" x14ac:dyDescent="0.2">
      <c r="A240" s="1671"/>
      <c r="B240" s="20"/>
      <c r="C240" s="1671"/>
      <c r="D240" s="20"/>
      <c r="E240" s="1671"/>
      <c r="F240" s="20"/>
      <c r="G240" s="1671"/>
      <c r="H240" s="1671"/>
      <c r="I240" s="1671"/>
      <c r="J240" s="20"/>
      <c r="K240" s="1671"/>
      <c r="L240" s="1671"/>
      <c r="M240" s="1671"/>
      <c r="N240" s="14" t="s">
        <v>424</v>
      </c>
      <c r="O240" s="1466">
        <v>42119</v>
      </c>
    </row>
    <row r="241" spans="1:15" x14ac:dyDescent="0.2">
      <c r="A241" s="1671"/>
      <c r="B241" s="20"/>
      <c r="C241" s="1671"/>
      <c r="D241" s="20"/>
      <c r="E241" s="1671"/>
      <c r="F241" s="20"/>
      <c r="G241" s="1671"/>
      <c r="H241" s="1671"/>
      <c r="I241" s="1671"/>
      <c r="J241" s="20"/>
      <c r="K241" s="1671"/>
      <c r="L241" s="1671"/>
      <c r="M241" s="1671"/>
      <c r="N241" s="1557"/>
      <c r="O241" s="1312"/>
    </row>
    <row r="242" spans="1:15" x14ac:dyDescent="0.2">
      <c r="A242" s="1557"/>
      <c r="B242" s="1557"/>
      <c r="C242" s="1557"/>
      <c r="D242" s="1557"/>
      <c r="E242" s="1557"/>
      <c r="F242" s="1557"/>
      <c r="G242" s="1557"/>
      <c r="H242" s="1557"/>
      <c r="I242" s="1557"/>
      <c r="J242" s="1557"/>
      <c r="K242" s="1557"/>
      <c r="L242" s="1312"/>
      <c r="M242" s="1312"/>
      <c r="N242" s="1312"/>
      <c r="O242" s="1312"/>
    </row>
    <row r="243" spans="1:15" ht="18" x14ac:dyDescent="0.25">
      <c r="A243" s="1557"/>
      <c r="B243" s="2256" t="s">
        <v>646</v>
      </c>
      <c r="C243" s="2256"/>
      <c r="D243" s="2256"/>
      <c r="E243" s="2256"/>
      <c r="F243" s="2256"/>
      <c r="G243" s="2256"/>
      <c r="H243" s="2256"/>
      <c r="I243" s="2256"/>
      <c r="J243" s="2256"/>
      <c r="K243" s="2256"/>
      <c r="L243" s="2256"/>
      <c r="M243" s="2256"/>
      <c r="N243" s="2256"/>
      <c r="O243" s="2256"/>
    </row>
    <row r="244" spans="1:15" ht="18" x14ac:dyDescent="0.25">
      <c r="A244" s="1557"/>
      <c r="B244" s="2256" t="s">
        <v>61</v>
      </c>
      <c r="C244" s="2256"/>
      <c r="D244" s="2256"/>
      <c r="E244" s="2256"/>
      <c r="F244" s="2256"/>
      <c r="G244" s="2256"/>
      <c r="H244" s="2256"/>
      <c r="I244" s="2256"/>
      <c r="J244" s="2256"/>
      <c r="K244" s="2256"/>
      <c r="L244" s="2256"/>
      <c r="M244" s="2256"/>
      <c r="N244" s="2256"/>
      <c r="O244" s="2256"/>
    </row>
    <row r="245" spans="1:15" x14ac:dyDescent="0.2">
      <c r="A245" s="1557"/>
      <c r="B245" s="1557"/>
      <c r="C245" s="1557"/>
      <c r="D245" s="1557"/>
      <c r="E245" s="1557"/>
      <c r="F245" s="1557"/>
      <c r="G245" s="1557"/>
      <c r="H245" s="1557"/>
      <c r="I245" s="1557"/>
      <c r="J245" s="1557"/>
      <c r="K245" s="1557"/>
      <c r="L245" s="1312"/>
      <c r="M245" s="1312"/>
      <c r="N245" s="1312"/>
      <c r="O245" s="1312"/>
    </row>
    <row r="246" spans="1:15" x14ac:dyDescent="0.2">
      <c r="A246" s="1557"/>
      <c r="B246" s="1557"/>
      <c r="C246" s="1557"/>
      <c r="D246" s="1557"/>
      <c r="E246" s="1557"/>
      <c r="F246" s="1557"/>
      <c r="G246" s="1557"/>
      <c r="H246" s="1557"/>
      <c r="I246" s="1557"/>
      <c r="J246" s="1557"/>
      <c r="K246" s="1557"/>
      <c r="L246" s="1312"/>
      <c r="M246" s="1312"/>
      <c r="N246" s="1312"/>
      <c r="O246" s="1312"/>
    </row>
    <row r="247" spans="1:15" ht="15.75" x14ac:dyDescent="0.2">
      <c r="A247" s="1557"/>
      <c r="B247" s="26" t="s">
        <v>38</v>
      </c>
      <c r="C247" s="1557"/>
      <c r="D247" s="2248" t="s">
        <v>121</v>
      </c>
      <c r="E247" s="2248"/>
      <c r="F247" s="2248"/>
      <c r="G247" s="2248"/>
      <c r="H247" s="2248"/>
      <c r="I247" s="2248"/>
      <c r="J247" s="2248"/>
      <c r="K247" s="2248"/>
      <c r="L247" s="2248"/>
      <c r="M247" s="2248"/>
      <c r="N247" s="2248"/>
      <c r="O247" s="2248"/>
    </row>
    <row r="248" spans="1:15" ht="15.75" x14ac:dyDescent="0.25">
      <c r="A248" s="1557"/>
      <c r="B248" s="1675"/>
      <c r="C248" s="1557"/>
      <c r="D248" s="1676"/>
      <c r="E248" s="1676"/>
      <c r="F248" s="1676"/>
      <c r="G248" s="1676"/>
      <c r="H248" s="1676"/>
      <c r="I248" s="1676"/>
      <c r="J248" s="1676"/>
      <c r="K248" s="1676"/>
      <c r="L248" s="1676"/>
      <c r="M248" s="1676"/>
      <c r="N248" s="1676"/>
      <c r="O248" s="1676"/>
    </row>
    <row r="249" spans="1:15" x14ac:dyDescent="0.2">
      <c r="A249" s="1557"/>
      <c r="B249" s="611"/>
      <c r="C249" s="1557"/>
      <c r="D249" s="5" t="s">
        <v>16</v>
      </c>
      <c r="E249" s="1677"/>
      <c r="F249" s="1678">
        <v>36.838141025641029</v>
      </c>
      <c r="G249" s="1677" t="s">
        <v>17</v>
      </c>
      <c r="H249" s="1557"/>
      <c r="I249" s="1557"/>
      <c r="K249" s="1557"/>
      <c r="L249" s="1557"/>
      <c r="M249" s="1557"/>
      <c r="N249" s="1557"/>
      <c r="O249" s="1557"/>
    </row>
    <row r="250" spans="1:15" x14ac:dyDescent="0.2">
      <c r="A250" s="1557"/>
      <c r="B250" s="1558"/>
      <c r="C250" s="1557"/>
      <c r="D250" s="1557"/>
      <c r="E250" s="1557"/>
      <c r="F250" s="1557"/>
      <c r="G250" s="1557"/>
      <c r="H250" s="1557"/>
      <c r="I250" s="1557"/>
      <c r="J250" s="1557"/>
      <c r="K250" s="1557"/>
      <c r="L250" s="1557"/>
      <c r="M250" s="1557"/>
      <c r="N250" s="1557"/>
      <c r="O250" s="1557"/>
    </row>
    <row r="251" spans="1:15" x14ac:dyDescent="0.2">
      <c r="A251" s="1557"/>
      <c r="B251" s="1558"/>
      <c r="C251" s="1557"/>
      <c r="D251" s="1559"/>
      <c r="E251" s="1559"/>
      <c r="F251" s="2249" t="s">
        <v>18</v>
      </c>
      <c r="G251" s="2250"/>
      <c r="H251" s="2251"/>
      <c r="I251" s="1557"/>
      <c r="J251" s="2249" t="s">
        <v>19</v>
      </c>
      <c r="K251" s="2250"/>
      <c r="L251" s="2251"/>
      <c r="M251" s="1557"/>
      <c r="N251" s="2249" t="s">
        <v>20</v>
      </c>
      <c r="O251" s="2251"/>
    </row>
    <row r="252" spans="1:15" x14ac:dyDescent="0.2">
      <c r="A252" s="1557"/>
      <c r="B252" s="1558"/>
      <c r="C252" s="1557"/>
      <c r="D252" s="2252" t="s">
        <v>21</v>
      </c>
      <c r="E252" s="1560"/>
      <c r="F252" s="1561" t="s">
        <v>22</v>
      </c>
      <c r="G252" s="1561" t="s">
        <v>23</v>
      </c>
      <c r="H252" s="1562" t="s">
        <v>24</v>
      </c>
      <c r="I252" s="1557"/>
      <c r="J252" s="1561" t="s">
        <v>22</v>
      </c>
      <c r="K252" s="1563" t="s">
        <v>23</v>
      </c>
      <c r="L252" s="1562" t="s">
        <v>24</v>
      </c>
      <c r="M252" s="1557"/>
      <c r="N252" s="2253" t="s">
        <v>25</v>
      </c>
      <c r="O252" s="2253" t="s">
        <v>26</v>
      </c>
    </row>
    <row r="253" spans="1:15" x14ac:dyDescent="0.2">
      <c r="A253" s="1557"/>
      <c r="B253" s="1558"/>
      <c r="C253" s="1557"/>
      <c r="D253" s="2252"/>
      <c r="E253" s="1560"/>
      <c r="F253" s="1564" t="s">
        <v>427</v>
      </c>
      <c r="G253" s="1564"/>
      <c r="H253" s="1565" t="s">
        <v>427</v>
      </c>
      <c r="I253" s="1557"/>
      <c r="J253" s="1564" t="s">
        <v>427</v>
      </c>
      <c r="K253" s="1565"/>
      <c r="L253" s="1565" t="s">
        <v>427</v>
      </c>
      <c r="M253" s="1557"/>
      <c r="N253" s="2254"/>
      <c r="O253" s="2254"/>
    </row>
    <row r="254" spans="1:15" x14ac:dyDescent="0.2">
      <c r="A254" s="1557"/>
      <c r="B254" s="1566" t="s">
        <v>27</v>
      </c>
      <c r="C254" s="1566"/>
      <c r="D254" s="538" t="s">
        <v>2088</v>
      </c>
      <c r="E254" s="1566"/>
      <c r="F254" s="1567">
        <v>5.77</v>
      </c>
      <c r="G254" s="1568">
        <v>1</v>
      </c>
      <c r="H254" s="1569">
        <f>G254*F254</f>
        <v>5.77</v>
      </c>
      <c r="I254" s="1570"/>
      <c r="J254" s="1571">
        <v>5</v>
      </c>
      <c r="K254" s="1572">
        <v>1</v>
      </c>
      <c r="L254" s="1569">
        <f>K254*J254</f>
        <v>5</v>
      </c>
      <c r="M254" s="1570"/>
      <c r="N254" s="1573">
        <f>L254-H254</f>
        <v>-0.76999999999999957</v>
      </c>
      <c r="O254" s="1574">
        <f>IF((H254)=0,"",(N254/H254))</f>
        <v>-0.13344887348353546</v>
      </c>
    </row>
    <row r="255" spans="1:15" x14ac:dyDescent="0.2">
      <c r="A255" s="1557"/>
      <c r="B255" s="1566" t="s">
        <v>28</v>
      </c>
      <c r="C255" s="1566"/>
      <c r="D255" s="538"/>
      <c r="E255" s="1566"/>
      <c r="F255" s="1567"/>
      <c r="G255" s="1568">
        <v>1</v>
      </c>
      <c r="H255" s="1569">
        <f t="shared" ref="H255:H262" si="24">G255*F255</f>
        <v>0</v>
      </c>
      <c r="I255" s="1570"/>
      <c r="J255" s="1571"/>
      <c r="K255" s="1572">
        <v>1</v>
      </c>
      <c r="L255" s="1569">
        <f>K255*J255</f>
        <v>0</v>
      </c>
      <c r="M255" s="1570"/>
      <c r="N255" s="1573">
        <f>L255-H255</f>
        <v>0</v>
      </c>
      <c r="O255" s="1574" t="str">
        <f>IF((H255)=0,"",(N255/H255))</f>
        <v/>
      </c>
    </row>
    <row r="256" spans="1:15" x14ac:dyDescent="0.2">
      <c r="A256" s="1557"/>
      <c r="B256" s="1566" t="s">
        <v>29</v>
      </c>
      <c r="C256" s="1566"/>
      <c r="D256" s="538" t="s">
        <v>115</v>
      </c>
      <c r="E256" s="1566"/>
      <c r="F256" s="1567">
        <v>6.9740000000000002</v>
      </c>
      <c r="G256" s="1568">
        <v>0.28205128205128205</v>
      </c>
      <c r="H256" s="1569">
        <f t="shared" si="24"/>
        <v>1.967025641025641</v>
      </c>
      <c r="I256" s="1570"/>
      <c r="J256" s="1571">
        <v>6.0410000000000004</v>
      </c>
      <c r="K256" s="1568">
        <v>0.28205128205128205</v>
      </c>
      <c r="L256" s="1569">
        <f t="shared" ref="L256:L262" si="25">K256*J256</f>
        <v>1.703871794871795</v>
      </c>
      <c r="M256" s="1570"/>
      <c r="N256" s="1573">
        <f t="shared" ref="N256:N292" si="26">L256-H256</f>
        <v>-0.26315384615384607</v>
      </c>
      <c r="O256" s="1574">
        <f t="shared" ref="O256:O263" si="27">IF((H256)=0,"",(N256/H256))</f>
        <v>-0.1337826211643246</v>
      </c>
    </row>
    <row r="257" spans="1:15" x14ac:dyDescent="0.2">
      <c r="A257" s="1557"/>
      <c r="B257" s="1566" t="s">
        <v>2089</v>
      </c>
      <c r="C257" s="1566"/>
      <c r="D257" s="538" t="s">
        <v>2088</v>
      </c>
      <c r="E257" s="1566"/>
      <c r="F257" s="1567">
        <v>0</v>
      </c>
      <c r="G257" s="1568">
        <v>1</v>
      </c>
      <c r="H257" s="1569">
        <f t="shared" si="24"/>
        <v>0</v>
      </c>
      <c r="I257" s="1570"/>
      <c r="J257" s="1571">
        <v>0</v>
      </c>
      <c r="K257" s="1568">
        <v>1</v>
      </c>
      <c r="L257" s="1569">
        <f t="shared" si="25"/>
        <v>0</v>
      </c>
      <c r="M257" s="1570"/>
      <c r="N257" s="1573">
        <f t="shared" si="26"/>
        <v>0</v>
      </c>
      <c r="O257" s="1574" t="str">
        <f t="shared" si="27"/>
        <v/>
      </c>
    </row>
    <row r="258" spans="1:15" x14ac:dyDescent="0.2">
      <c r="A258" s="1557"/>
      <c r="B258" s="1566" t="s">
        <v>2090</v>
      </c>
      <c r="C258" s="1566"/>
      <c r="D258" s="538" t="s">
        <v>114</v>
      </c>
      <c r="E258" s="1566"/>
      <c r="F258" s="1567">
        <v>0</v>
      </c>
      <c r="G258" s="1568">
        <v>36.838141025641029</v>
      </c>
      <c r="H258" s="1569">
        <f t="shared" si="24"/>
        <v>0</v>
      </c>
      <c r="I258" s="1570"/>
      <c r="J258" s="1571">
        <v>0</v>
      </c>
      <c r="K258" s="1568">
        <v>36.838141025641029</v>
      </c>
      <c r="L258" s="1569">
        <f t="shared" si="25"/>
        <v>0</v>
      </c>
      <c r="M258" s="1570"/>
      <c r="N258" s="1573">
        <f t="shared" si="26"/>
        <v>0</v>
      </c>
      <c r="O258" s="1574" t="str">
        <f t="shared" si="27"/>
        <v/>
      </c>
    </row>
    <row r="259" spans="1:15" x14ac:dyDescent="0.2">
      <c r="A259" s="1557"/>
      <c r="B259" s="535" t="s">
        <v>2091</v>
      </c>
      <c r="C259" s="1566"/>
      <c r="D259" s="538" t="s">
        <v>114</v>
      </c>
      <c r="E259" s="1566"/>
      <c r="F259" s="1567">
        <v>0</v>
      </c>
      <c r="G259" s="1568">
        <v>36.838141025641029</v>
      </c>
      <c r="H259" s="1569">
        <f t="shared" si="24"/>
        <v>0</v>
      </c>
      <c r="I259" s="1570"/>
      <c r="J259" s="1571">
        <v>0</v>
      </c>
      <c r="K259" s="1568">
        <v>36.838141025641029</v>
      </c>
      <c r="L259" s="1569">
        <f t="shared" si="25"/>
        <v>0</v>
      </c>
      <c r="M259" s="1570"/>
      <c r="N259" s="1573">
        <f t="shared" si="26"/>
        <v>0</v>
      </c>
      <c r="O259" s="1574" t="str">
        <f t="shared" si="27"/>
        <v/>
      </c>
    </row>
    <row r="260" spans="1:15" x14ac:dyDescent="0.2">
      <c r="A260" s="1557"/>
      <c r="B260" s="535" t="s">
        <v>1751</v>
      </c>
      <c r="C260" s="1566"/>
      <c r="D260" s="538" t="s">
        <v>2088</v>
      </c>
      <c r="E260" s="1566"/>
      <c r="F260" s="1567">
        <v>0</v>
      </c>
      <c r="G260" s="1568">
        <v>1</v>
      </c>
      <c r="H260" s="1569">
        <f t="shared" si="24"/>
        <v>0</v>
      </c>
      <c r="I260" s="1570"/>
      <c r="J260" s="1571">
        <v>0</v>
      </c>
      <c r="K260" s="1568">
        <v>1</v>
      </c>
      <c r="L260" s="1569">
        <f t="shared" si="25"/>
        <v>0</v>
      </c>
      <c r="M260" s="1570"/>
      <c r="N260" s="1573">
        <f t="shared" si="26"/>
        <v>0</v>
      </c>
      <c r="O260" s="1574" t="str">
        <f t="shared" si="27"/>
        <v/>
      </c>
    </row>
    <row r="261" spans="1:15" x14ac:dyDescent="0.2">
      <c r="A261" s="1557"/>
      <c r="B261" s="535" t="s">
        <v>2092</v>
      </c>
      <c r="C261" s="1566"/>
      <c r="D261" s="538" t="s">
        <v>115</v>
      </c>
      <c r="E261" s="1566"/>
      <c r="F261" s="1567">
        <v>-7.2700000000000001E-2</v>
      </c>
      <c r="G261" s="1568">
        <v>0.28205128205128205</v>
      </c>
      <c r="H261" s="1569">
        <f t="shared" si="24"/>
        <v>-2.0505128205128204E-2</v>
      </c>
      <c r="I261" s="1570"/>
      <c r="J261" s="1571">
        <v>-7.2700000000000001E-2</v>
      </c>
      <c r="K261" s="1568">
        <v>0.28205128205128205</v>
      </c>
      <c r="L261" s="1569">
        <f t="shared" si="25"/>
        <v>-2.0505128205128204E-2</v>
      </c>
      <c r="M261" s="1570"/>
      <c r="N261" s="1573">
        <f t="shared" si="26"/>
        <v>0</v>
      </c>
      <c r="O261" s="1574">
        <f t="shared" si="27"/>
        <v>0</v>
      </c>
    </row>
    <row r="262" spans="1:15" x14ac:dyDescent="0.2">
      <c r="A262" s="1557"/>
      <c r="B262" s="535" t="s">
        <v>2093</v>
      </c>
      <c r="C262" s="1566"/>
      <c r="D262" s="538" t="s">
        <v>2088</v>
      </c>
      <c r="E262" s="1566"/>
      <c r="F262" s="1567">
        <v>0</v>
      </c>
      <c r="G262" s="1568">
        <v>1</v>
      </c>
      <c r="H262" s="1569">
        <f t="shared" si="24"/>
        <v>0</v>
      </c>
      <c r="I262" s="1570"/>
      <c r="J262" s="1571">
        <v>0</v>
      </c>
      <c r="K262" s="1568">
        <v>1</v>
      </c>
      <c r="L262" s="1569">
        <f t="shared" si="25"/>
        <v>0</v>
      </c>
      <c r="M262" s="1570"/>
      <c r="N262" s="1573">
        <f t="shared" si="26"/>
        <v>0</v>
      </c>
      <c r="O262" s="1574" t="str">
        <f t="shared" si="27"/>
        <v/>
      </c>
    </row>
    <row r="263" spans="1:15" x14ac:dyDescent="0.2">
      <c r="A263" s="1557"/>
      <c r="B263" s="1575" t="s">
        <v>2094</v>
      </c>
      <c r="C263" s="1576"/>
      <c r="D263" s="1577"/>
      <c r="E263" s="1576"/>
      <c r="F263" s="1578"/>
      <c r="G263" s="1579"/>
      <c r="H263" s="1580">
        <f>SUM(H254:H262)</f>
        <v>7.7165205128205123</v>
      </c>
      <c r="I263" s="1581"/>
      <c r="J263" s="1582"/>
      <c r="K263" s="1583"/>
      <c r="L263" s="1580">
        <f>SUM(L254:L262)</f>
        <v>6.6833666666666662</v>
      </c>
      <c r="M263" s="1581"/>
      <c r="N263" s="1584">
        <f t="shared" si="26"/>
        <v>-1.0331538461538461</v>
      </c>
      <c r="O263" s="1585">
        <f t="shared" si="27"/>
        <v>-0.13388856343183772</v>
      </c>
    </row>
    <row r="264" spans="1:15" ht="51" x14ac:dyDescent="0.2">
      <c r="A264" s="1557"/>
      <c r="B264" s="662" t="s">
        <v>2095</v>
      </c>
      <c r="C264" s="1566"/>
      <c r="D264" s="538" t="s">
        <v>115</v>
      </c>
      <c r="E264" s="1566"/>
      <c r="F264" s="1567">
        <v>-2.5325000000000002</v>
      </c>
      <c r="G264" s="1568">
        <v>0.28205128205128205</v>
      </c>
      <c r="H264" s="1569">
        <f>G264*F264</f>
        <v>-0.71429487179487183</v>
      </c>
      <c r="I264" s="1570"/>
      <c r="J264" s="1571">
        <v>-2.5325000000000002</v>
      </c>
      <c r="K264" s="1568">
        <v>0.28205128205128205</v>
      </c>
      <c r="L264" s="1569">
        <f t="shared" ref="L264:L267" si="28">K264*J264</f>
        <v>-0.71429487179487183</v>
      </c>
      <c r="M264" s="1570"/>
      <c r="N264" s="1573">
        <f t="shared" si="26"/>
        <v>0</v>
      </c>
      <c r="O264" s="1574">
        <f>IF((H264)=0,"",(N264/H264))</f>
        <v>0</v>
      </c>
    </row>
    <row r="265" spans="1:15" ht="51" x14ac:dyDescent="0.2">
      <c r="A265" s="1557"/>
      <c r="B265" s="662" t="s">
        <v>2096</v>
      </c>
      <c r="C265" s="1566"/>
      <c r="D265" s="538" t="s">
        <v>115</v>
      </c>
      <c r="E265" s="1566"/>
      <c r="F265" s="1567">
        <v>0</v>
      </c>
      <c r="G265" s="1568">
        <v>0.28205128205128205</v>
      </c>
      <c r="H265" s="1569">
        <f>G265*F265</f>
        <v>0</v>
      </c>
      <c r="I265" s="1570"/>
      <c r="J265" s="1571">
        <v>0</v>
      </c>
      <c r="K265" s="1568">
        <v>0.28205128205128205</v>
      </c>
      <c r="L265" s="1569">
        <f t="shared" si="28"/>
        <v>0</v>
      </c>
      <c r="M265" s="1570"/>
      <c r="N265" s="1573">
        <f t="shared" si="26"/>
        <v>0</v>
      </c>
      <c r="O265" s="1574" t="str">
        <f>IF((H265)=0,"",(N265/H265))</f>
        <v/>
      </c>
    </row>
    <row r="266" spans="1:15" x14ac:dyDescent="0.2">
      <c r="A266" s="1557"/>
      <c r="B266" s="1586" t="s">
        <v>705</v>
      </c>
      <c r="C266" s="1566"/>
      <c r="D266" s="538" t="s">
        <v>114</v>
      </c>
      <c r="E266" s="1566"/>
      <c r="F266" s="1567">
        <v>0</v>
      </c>
      <c r="G266" s="1568">
        <v>36.838141025641029</v>
      </c>
      <c r="H266" s="1569">
        <f>G266*F266</f>
        <v>0</v>
      </c>
      <c r="I266" s="1570"/>
      <c r="J266" s="1571">
        <v>0</v>
      </c>
      <c r="K266" s="1568">
        <v>36.838141025641029</v>
      </c>
      <c r="L266" s="1569">
        <f t="shared" si="28"/>
        <v>0</v>
      </c>
      <c r="M266" s="1570"/>
      <c r="N266" s="1573">
        <f t="shared" si="26"/>
        <v>0</v>
      </c>
      <c r="O266" s="1574" t="str">
        <f>IF((H266)=0,"",(N266/H266))</f>
        <v/>
      </c>
    </row>
    <row r="267" spans="1:15" x14ac:dyDescent="0.2">
      <c r="A267" s="1557"/>
      <c r="B267" s="1586" t="s">
        <v>649</v>
      </c>
      <c r="C267" s="1566"/>
      <c r="D267" s="538"/>
      <c r="E267" s="1566"/>
      <c r="F267" s="1587"/>
      <c r="G267" s="1588"/>
      <c r="H267" s="1589"/>
      <c r="I267" s="1570"/>
      <c r="J267" s="1571"/>
      <c r="K267" s="1568">
        <v>36.838141025641029</v>
      </c>
      <c r="L267" s="1569">
        <f t="shared" si="28"/>
        <v>0</v>
      </c>
      <c r="M267" s="1570"/>
      <c r="N267" s="1573">
        <f t="shared" si="26"/>
        <v>0</v>
      </c>
      <c r="O267" s="1574"/>
    </row>
    <row r="268" spans="1:15" ht="25.5" x14ac:dyDescent="0.2">
      <c r="A268" s="1557"/>
      <c r="B268" s="1590" t="s">
        <v>647</v>
      </c>
      <c r="C268" s="1591"/>
      <c r="D268" s="1591"/>
      <c r="E268" s="1591"/>
      <c r="F268" s="1592"/>
      <c r="G268" s="1593"/>
      <c r="H268" s="1594">
        <f>SUM(H263:H267)</f>
        <v>7.0022256410256407</v>
      </c>
      <c r="I268" s="1581"/>
      <c r="J268" s="1593"/>
      <c r="K268" s="1595"/>
      <c r="L268" s="1594">
        <f>SUM(L263:L267)</f>
        <v>5.9690717948717946</v>
      </c>
      <c r="M268" s="1581"/>
      <c r="N268" s="1584">
        <f t="shared" si="26"/>
        <v>-1.0331538461538461</v>
      </c>
      <c r="O268" s="1585">
        <f t="shared" ref="O268:O292" si="29">IF((H268)=0,"",(N268/H268))</f>
        <v>-0.14754649437468234</v>
      </c>
    </row>
    <row r="269" spans="1:15" x14ac:dyDescent="0.2">
      <c r="A269" s="1557"/>
      <c r="B269" s="1570" t="s">
        <v>30</v>
      </c>
      <c r="C269" s="1570"/>
      <c r="D269" s="539" t="s">
        <v>115</v>
      </c>
      <c r="E269" s="1570"/>
      <c r="F269" s="1571">
        <v>1.7373000000000001</v>
      </c>
      <c r="G269" s="1596">
        <v>0.2919230769230769</v>
      </c>
      <c r="H269" s="1569">
        <f>G269*F269</f>
        <v>0.50715796153846149</v>
      </c>
      <c r="I269" s="1570"/>
      <c r="J269" s="1571">
        <v>1.7656000000000001</v>
      </c>
      <c r="K269" s="1597">
        <v>0.2923913619086449</v>
      </c>
      <c r="L269" s="1569">
        <f>K269*J269</f>
        <v>0.51624618858590343</v>
      </c>
      <c r="M269" s="1570"/>
      <c r="N269" s="1573">
        <f t="shared" si="26"/>
        <v>9.0882270474419435E-3</v>
      </c>
      <c r="O269" s="1574">
        <f t="shared" si="29"/>
        <v>1.7919913984733367E-2</v>
      </c>
    </row>
    <row r="270" spans="1:15" ht="25.5" x14ac:dyDescent="0.2">
      <c r="A270" s="1557"/>
      <c r="B270" s="1598" t="s">
        <v>31</v>
      </c>
      <c r="C270" s="1570"/>
      <c r="D270" s="539" t="s">
        <v>115</v>
      </c>
      <c r="E270" s="1570"/>
      <c r="F270" s="1571">
        <v>1.2413000000000001</v>
      </c>
      <c r="G270" s="1596">
        <v>0.2919230769230769</v>
      </c>
      <c r="H270" s="1569">
        <f>G270*F270</f>
        <v>0.36236411538461538</v>
      </c>
      <c r="I270" s="1570"/>
      <c r="J270" s="1571">
        <v>1.2803</v>
      </c>
      <c r="K270" s="1597">
        <v>0.2923913619086449</v>
      </c>
      <c r="L270" s="1569">
        <f>K270*J270</f>
        <v>0.37434866065163808</v>
      </c>
      <c r="M270" s="1570"/>
      <c r="N270" s="1573">
        <f t="shared" si="26"/>
        <v>1.1984545267022695E-2</v>
      </c>
      <c r="O270" s="1574">
        <f t="shared" si="29"/>
        <v>3.3073212159273079E-2</v>
      </c>
    </row>
    <row r="271" spans="1:15" ht="25.5" x14ac:dyDescent="0.2">
      <c r="A271" s="1557"/>
      <c r="B271" s="1590" t="s">
        <v>648</v>
      </c>
      <c r="C271" s="1576"/>
      <c r="D271" s="1576"/>
      <c r="E271" s="1576"/>
      <c r="F271" s="1599"/>
      <c r="G271" s="1593"/>
      <c r="H271" s="1594">
        <f>SUM(H268:H270)</f>
        <v>7.8717477179487174</v>
      </c>
      <c r="I271" s="1600"/>
      <c r="J271" s="1601"/>
      <c r="K271" s="1602"/>
      <c r="L271" s="1594">
        <f>SUM(L268:L270)</f>
        <v>6.8596666441093355</v>
      </c>
      <c r="M271" s="1600"/>
      <c r="N271" s="1584">
        <f t="shared" si="26"/>
        <v>-1.012081073839382</v>
      </c>
      <c r="O271" s="1585">
        <f t="shared" si="29"/>
        <v>-0.12857133004042945</v>
      </c>
    </row>
    <row r="272" spans="1:15" ht="25.5" x14ac:dyDescent="0.2">
      <c r="A272" s="1557"/>
      <c r="B272" s="1603" t="s">
        <v>32</v>
      </c>
      <c r="C272" s="1566"/>
      <c r="D272" s="538" t="s">
        <v>114</v>
      </c>
      <c r="E272" s="1566"/>
      <c r="F272" s="536">
        <v>5.1999999999999998E-3</v>
      </c>
      <c r="G272" s="1596">
        <v>38.127475961538465</v>
      </c>
      <c r="H272" s="1604">
        <f t="shared" ref="H272:H280" si="30">G272*F272</f>
        <v>0.19826287500000001</v>
      </c>
      <c r="I272" s="1570"/>
      <c r="J272" s="540">
        <v>5.1999999999999998E-3</v>
      </c>
      <c r="K272" s="1597">
        <v>38.188637705647849</v>
      </c>
      <c r="L272" s="1604">
        <f t="shared" ref="L272:L280" si="31">K272*J272</f>
        <v>0.19858091606936881</v>
      </c>
      <c r="M272" s="1570"/>
      <c r="N272" s="1573">
        <f t="shared" si="26"/>
        <v>3.1804106936880738E-4</v>
      </c>
      <c r="O272" s="1605">
        <f t="shared" si="29"/>
        <v>1.604138290483316E-3</v>
      </c>
    </row>
    <row r="273" spans="1:15" ht="25.5" x14ac:dyDescent="0.2">
      <c r="A273" s="1557"/>
      <c r="B273" s="1603" t="s">
        <v>33</v>
      </c>
      <c r="C273" s="1566"/>
      <c r="D273" s="538" t="s">
        <v>114</v>
      </c>
      <c r="E273" s="1566"/>
      <c r="F273" s="536">
        <v>1.2999999999999999E-3</v>
      </c>
      <c r="G273" s="1596">
        <v>38.127475961538465</v>
      </c>
      <c r="H273" s="1604">
        <f t="shared" si="30"/>
        <v>4.9565718750000001E-2</v>
      </c>
      <c r="I273" s="1570"/>
      <c r="J273" s="540">
        <v>1.2999999999999999E-3</v>
      </c>
      <c r="K273" s="1597">
        <v>38.188637705647849</v>
      </c>
      <c r="L273" s="1604">
        <f t="shared" si="31"/>
        <v>4.9645229017342203E-2</v>
      </c>
      <c r="M273" s="1570"/>
      <c r="N273" s="1573">
        <f t="shared" si="26"/>
        <v>7.9510267342201846E-5</v>
      </c>
      <c r="O273" s="1605">
        <f t="shared" si="29"/>
        <v>1.604138290483316E-3</v>
      </c>
    </row>
    <row r="274" spans="1:15" x14ac:dyDescent="0.2">
      <c r="A274" s="1557"/>
      <c r="B274" s="1566" t="s">
        <v>34</v>
      </c>
      <c r="C274" s="1566"/>
      <c r="D274" s="538"/>
      <c r="E274" s="1566"/>
      <c r="F274" s="536"/>
      <c r="G274" s="1568">
        <v>1</v>
      </c>
      <c r="H274" s="1604">
        <f t="shared" si="30"/>
        <v>0</v>
      </c>
      <c r="I274" s="1570"/>
      <c r="J274" s="540"/>
      <c r="K274" s="1572">
        <v>1</v>
      </c>
      <c r="L274" s="1604">
        <f t="shared" si="31"/>
        <v>0</v>
      </c>
      <c r="M274" s="1570"/>
      <c r="N274" s="1573">
        <f t="shared" si="26"/>
        <v>0</v>
      </c>
      <c r="O274" s="1605" t="str">
        <f t="shared" si="29"/>
        <v/>
      </c>
    </row>
    <row r="275" spans="1:15" x14ac:dyDescent="0.2">
      <c r="A275" s="1557"/>
      <c r="B275" s="1566" t="s">
        <v>35</v>
      </c>
      <c r="C275" s="1566"/>
      <c r="D275" s="538" t="s">
        <v>114</v>
      </c>
      <c r="E275" s="1566"/>
      <c r="F275" s="536">
        <v>7.0000000000000001E-3</v>
      </c>
      <c r="G275" s="1596">
        <v>36.838141025641029</v>
      </c>
      <c r="H275" s="1604">
        <f t="shared" si="30"/>
        <v>0.25786698717948719</v>
      </c>
      <c r="I275" s="1570"/>
      <c r="J275" s="540">
        <v>7.0000000000000001E-3</v>
      </c>
      <c r="K275" s="1597">
        <v>36.838141025641029</v>
      </c>
      <c r="L275" s="1604">
        <f t="shared" si="31"/>
        <v>0.25786698717948719</v>
      </c>
      <c r="M275" s="1570"/>
      <c r="N275" s="1573">
        <f t="shared" si="26"/>
        <v>0</v>
      </c>
      <c r="O275" s="1605">
        <f t="shared" si="29"/>
        <v>0</v>
      </c>
    </row>
    <row r="276" spans="1:15" x14ac:dyDescent="0.2">
      <c r="A276" s="1557"/>
      <c r="B276" s="1586" t="s">
        <v>679</v>
      </c>
      <c r="C276" s="1566"/>
      <c r="D276" s="538" t="s">
        <v>114</v>
      </c>
      <c r="E276" s="1566"/>
      <c r="F276" s="1606">
        <v>7.4999999999999997E-2</v>
      </c>
      <c r="G276" s="1596">
        <f>IF($G$270&gt;=750,750,$G$270)</f>
        <v>0.2919230769230769</v>
      </c>
      <c r="H276" s="1604">
        <f>G276*F276</f>
        <v>2.1894230769230767E-2</v>
      </c>
      <c r="I276" s="1570"/>
      <c r="J276" s="536">
        <v>7.4999999999999997E-2</v>
      </c>
      <c r="K276" s="1596">
        <f>IF($K$270&gt;=750,750,$K$270)</f>
        <v>0.2923913619086449</v>
      </c>
      <c r="L276" s="1604">
        <f>K276*J276</f>
        <v>2.1929352143148367E-2</v>
      </c>
      <c r="M276" s="1570"/>
      <c r="N276" s="1573">
        <f t="shared" si="26"/>
        <v>3.5121373917600812E-5</v>
      </c>
      <c r="O276" s="1605">
        <f t="shared" si="29"/>
        <v>1.6041382904833047E-3</v>
      </c>
    </row>
    <row r="277" spans="1:15" x14ac:dyDescent="0.2">
      <c r="A277" s="1557"/>
      <c r="B277" s="1586" t="s">
        <v>680</v>
      </c>
      <c r="C277" s="1566"/>
      <c r="D277" s="538" t="s">
        <v>114</v>
      </c>
      <c r="E277" s="1566"/>
      <c r="F277" s="1606">
        <v>8.7999999999999995E-2</v>
      </c>
      <c r="G277" s="1596">
        <f>IF($G$270&gt;=750,$G$270-750,0)</f>
        <v>0</v>
      </c>
      <c r="H277" s="1604">
        <f>G277*F277</f>
        <v>0</v>
      </c>
      <c r="I277" s="1570"/>
      <c r="J277" s="536">
        <v>8.7999999999999995E-2</v>
      </c>
      <c r="K277" s="1596">
        <f>IF($K$270&gt;=750,$K$270-750,0)</f>
        <v>0</v>
      </c>
      <c r="L277" s="1604">
        <f>K277*J277</f>
        <v>0</v>
      </c>
      <c r="M277" s="1570"/>
      <c r="N277" s="1573">
        <f t="shared" si="26"/>
        <v>0</v>
      </c>
      <c r="O277" s="1605" t="str">
        <f t="shared" si="29"/>
        <v/>
      </c>
    </row>
    <row r="278" spans="1:15" x14ac:dyDescent="0.2">
      <c r="A278" s="1557"/>
      <c r="B278" s="1586" t="s">
        <v>681</v>
      </c>
      <c r="C278" s="1566"/>
      <c r="D278" s="538" t="s">
        <v>114</v>
      </c>
      <c r="E278" s="1566"/>
      <c r="F278" s="1606">
        <v>6.5000000000000002E-2</v>
      </c>
      <c r="G278" s="1138">
        <v>24.401584615384618</v>
      </c>
      <c r="H278" s="1604">
        <f t="shared" si="30"/>
        <v>1.5861030000000003</v>
      </c>
      <c r="I278" s="1570"/>
      <c r="J278" s="536">
        <v>6.5000000000000002E-2</v>
      </c>
      <c r="K278" s="1138">
        <v>24.440728131614623</v>
      </c>
      <c r="L278" s="1604">
        <f t="shared" si="31"/>
        <v>1.5886473285549505</v>
      </c>
      <c r="M278" s="1570"/>
      <c r="N278" s="1573">
        <f t="shared" si="26"/>
        <v>2.544328554950237E-3</v>
      </c>
      <c r="O278" s="1605">
        <f t="shared" si="29"/>
        <v>1.6041382904831759E-3</v>
      </c>
    </row>
    <row r="279" spans="1:15" x14ac:dyDescent="0.2">
      <c r="A279" s="1557"/>
      <c r="B279" s="1586" t="s">
        <v>682</v>
      </c>
      <c r="C279" s="1566"/>
      <c r="D279" s="538" t="s">
        <v>114</v>
      </c>
      <c r="E279" s="1566"/>
      <c r="F279" s="1606">
        <v>0.1</v>
      </c>
      <c r="G279" s="1138">
        <v>6.8629456730769238</v>
      </c>
      <c r="H279" s="1604">
        <f t="shared" si="30"/>
        <v>0.68629456730769245</v>
      </c>
      <c r="I279" s="1570"/>
      <c r="J279" s="536">
        <v>0.1</v>
      </c>
      <c r="K279" s="1138">
        <v>6.8739547870166122</v>
      </c>
      <c r="L279" s="1604">
        <f t="shared" si="31"/>
        <v>0.68739547870166129</v>
      </c>
      <c r="M279" s="1570"/>
      <c r="N279" s="1573">
        <f t="shared" si="26"/>
        <v>1.1009113939688397E-3</v>
      </c>
      <c r="O279" s="1605">
        <f t="shared" si="29"/>
        <v>1.604138290483157E-3</v>
      </c>
    </row>
    <row r="280" spans="1:15" ht="13.5" thickBot="1" x14ac:dyDescent="0.25">
      <c r="A280" s="1557"/>
      <c r="B280" s="1558" t="s">
        <v>683</v>
      </c>
      <c r="C280" s="1566"/>
      <c r="D280" s="538" t="s">
        <v>114</v>
      </c>
      <c r="E280" s="1566"/>
      <c r="F280" s="1606">
        <v>0.11700000000000001</v>
      </c>
      <c r="G280" s="1138">
        <v>6.8629456730769238</v>
      </c>
      <c r="H280" s="1604">
        <f t="shared" si="30"/>
        <v>0.8029646437500001</v>
      </c>
      <c r="I280" s="1570"/>
      <c r="J280" s="536">
        <v>0.11700000000000001</v>
      </c>
      <c r="K280" s="1138">
        <v>6.8739547870166122</v>
      </c>
      <c r="L280" s="1604">
        <f t="shared" si="31"/>
        <v>0.80425271008094368</v>
      </c>
      <c r="M280" s="1570"/>
      <c r="N280" s="1573">
        <f t="shared" si="26"/>
        <v>1.2880663309435825E-3</v>
      </c>
      <c r="O280" s="1605">
        <f t="shared" si="29"/>
        <v>1.6041382904832069E-3</v>
      </c>
    </row>
    <row r="281" spans="1:15" ht="13.5" thickBot="1" x14ac:dyDescent="0.25">
      <c r="A281" s="1557"/>
      <c r="B281" s="1607"/>
      <c r="C281" s="1608"/>
      <c r="D281" s="1609"/>
      <c r="E281" s="1608"/>
      <c r="F281" s="1610"/>
      <c r="G281" s="1611"/>
      <c r="H281" s="1612"/>
      <c r="I281" s="1613"/>
      <c r="J281" s="1610"/>
      <c r="K281" s="1614"/>
      <c r="L281" s="1612"/>
      <c r="M281" s="1613"/>
      <c r="N281" s="1615"/>
      <c r="O281" s="1616"/>
    </row>
    <row r="282" spans="1:15" x14ac:dyDescent="0.2">
      <c r="A282" s="1557"/>
      <c r="B282" s="1617" t="s">
        <v>684</v>
      </c>
      <c r="C282" s="1566"/>
      <c r="D282" s="1566"/>
      <c r="E282" s="1566"/>
      <c r="F282" s="1618"/>
      <c r="G282" s="1619"/>
      <c r="H282" s="1620">
        <f>SUM(H271:H277)</f>
        <v>8.3993375296474344</v>
      </c>
      <c r="I282" s="1621"/>
      <c r="J282" s="1622"/>
      <c r="K282" s="1622"/>
      <c r="L282" s="1623">
        <f>SUM(L271:L277)</f>
        <v>7.3876891285186819</v>
      </c>
      <c r="M282" s="1624"/>
      <c r="N282" s="1625">
        <f t="shared" si="26"/>
        <v>-1.0116484011287525</v>
      </c>
      <c r="O282" s="1626">
        <f t="shared" si="29"/>
        <v>-0.12044383233295505</v>
      </c>
    </row>
    <row r="283" spans="1:15" x14ac:dyDescent="0.2">
      <c r="A283" s="1557"/>
      <c r="B283" s="1627" t="s">
        <v>36</v>
      </c>
      <c r="C283" s="1566"/>
      <c r="D283" s="1566"/>
      <c r="E283" s="1566"/>
      <c r="F283" s="1628">
        <v>0.13</v>
      </c>
      <c r="G283" s="1619"/>
      <c r="H283" s="1629">
        <f>H282*F283</f>
        <v>1.0919138788541665</v>
      </c>
      <c r="I283" s="1630"/>
      <c r="J283" s="1631">
        <v>0.13</v>
      </c>
      <c r="K283" s="1632"/>
      <c r="L283" s="1633">
        <f>L282*J283</f>
        <v>0.96039958670742864</v>
      </c>
      <c r="M283" s="1634"/>
      <c r="N283" s="1635">
        <f t="shared" si="26"/>
        <v>-0.13151429214673782</v>
      </c>
      <c r="O283" s="1636">
        <f t="shared" si="29"/>
        <v>-0.12044383233295505</v>
      </c>
    </row>
    <row r="284" spans="1:15" x14ac:dyDescent="0.2">
      <c r="A284" s="1557"/>
      <c r="B284" s="1637" t="s">
        <v>1369</v>
      </c>
      <c r="C284" s="1566"/>
      <c r="D284" s="1566"/>
      <c r="E284" s="1566"/>
      <c r="F284" s="1638"/>
      <c r="G284" s="1639"/>
      <c r="H284" s="1629">
        <f>H282+H283</f>
        <v>9.4912514085016007</v>
      </c>
      <c r="I284" s="1630"/>
      <c r="J284" s="1630"/>
      <c r="K284" s="1630"/>
      <c r="L284" s="1633">
        <f>L282+L283</f>
        <v>8.3480887152261101</v>
      </c>
      <c r="M284" s="1634"/>
      <c r="N284" s="1635">
        <f t="shared" si="26"/>
        <v>-1.1431626932754906</v>
      </c>
      <c r="O284" s="1636">
        <f t="shared" si="29"/>
        <v>-0.12044383233295508</v>
      </c>
    </row>
    <row r="285" spans="1:15" x14ac:dyDescent="0.2">
      <c r="A285" s="1557"/>
      <c r="B285" s="2246" t="s">
        <v>2097</v>
      </c>
      <c r="C285" s="2246"/>
      <c r="D285" s="2246"/>
      <c r="E285" s="1566"/>
      <c r="F285" s="1638"/>
      <c r="G285" s="1639"/>
      <c r="H285" s="1640">
        <f>ROUND(-H284*10%,2)</f>
        <v>-0.95</v>
      </c>
      <c r="I285" s="1630"/>
      <c r="J285" s="1630"/>
      <c r="K285" s="1630"/>
      <c r="L285" s="1641">
        <f>ROUND(-L284*10%,2)</f>
        <v>-0.83</v>
      </c>
      <c r="M285" s="1634"/>
      <c r="N285" s="1642">
        <f t="shared" si="26"/>
        <v>0.12</v>
      </c>
      <c r="O285" s="1643">
        <f t="shared" si="29"/>
        <v>-0.12631578947368421</v>
      </c>
    </row>
    <row r="286" spans="1:15" ht="13.5" thickBot="1" x14ac:dyDescent="0.25">
      <c r="A286" s="1557"/>
      <c r="B286" s="2247" t="s">
        <v>687</v>
      </c>
      <c r="C286" s="2247"/>
      <c r="D286" s="2247"/>
      <c r="E286" s="1644"/>
      <c r="F286" s="1645"/>
      <c r="G286" s="1646"/>
      <c r="H286" s="1647">
        <f>SUM(H284:H285)</f>
        <v>8.5412514085016014</v>
      </c>
      <c r="I286" s="1648"/>
      <c r="J286" s="1648"/>
      <c r="K286" s="1648"/>
      <c r="L286" s="1649">
        <f>SUM(L284:L285)</f>
        <v>7.51808871522611</v>
      </c>
      <c r="M286" s="1650"/>
      <c r="N286" s="1651">
        <f t="shared" si="26"/>
        <v>-1.0231626932754914</v>
      </c>
      <c r="O286" s="1652">
        <f t="shared" si="29"/>
        <v>-0.11979072437290376</v>
      </c>
    </row>
    <row r="287" spans="1:15" ht="13.5" thickBot="1" x14ac:dyDescent="0.25">
      <c r="A287" s="1557"/>
      <c r="B287" s="1607"/>
      <c r="C287" s="1608"/>
      <c r="D287" s="1609"/>
      <c r="E287" s="1608"/>
      <c r="F287" s="1653"/>
      <c r="G287" s="1654"/>
      <c r="H287" s="1655"/>
      <c r="I287" s="1656"/>
      <c r="J287" s="1653"/>
      <c r="K287" s="1611"/>
      <c r="L287" s="1657"/>
      <c r="M287" s="1613"/>
      <c r="N287" s="1658"/>
      <c r="O287" s="1616"/>
    </row>
    <row r="288" spans="1:15" x14ac:dyDescent="0.2">
      <c r="A288" s="1557"/>
      <c r="B288" s="1617" t="s">
        <v>685</v>
      </c>
      <c r="C288" s="1566"/>
      <c r="D288" s="1566"/>
      <c r="E288" s="1566"/>
      <c r="F288" s="1618"/>
      <c r="G288" s="1619"/>
      <c r="H288" s="1620">
        <f>SUM(H271:H275,H278:H280)</f>
        <v>11.452805509935896</v>
      </c>
      <c r="I288" s="1621"/>
      <c r="J288" s="1622"/>
      <c r="K288" s="1622"/>
      <c r="L288" s="1659">
        <f>SUM(L271:L275,L278:L280)</f>
        <v>10.446055293713089</v>
      </c>
      <c r="M288" s="1624"/>
      <c r="N288" s="1625">
        <f>L288-H288</f>
        <v>-1.006750216222807</v>
      </c>
      <c r="O288" s="1626">
        <f>IF((H288)=0,"",(N288/H288))</f>
        <v>-8.7904244540728441E-2</v>
      </c>
    </row>
    <row r="289" spans="1:15" x14ac:dyDescent="0.2">
      <c r="A289" s="1557"/>
      <c r="B289" s="1627" t="s">
        <v>36</v>
      </c>
      <c r="C289" s="1566"/>
      <c r="D289" s="1566"/>
      <c r="E289" s="1566"/>
      <c r="F289" s="1628">
        <v>0.13</v>
      </c>
      <c r="G289" s="1639"/>
      <c r="H289" s="1629">
        <f>H288*F289</f>
        <v>1.4888647162916666</v>
      </c>
      <c r="I289" s="1630"/>
      <c r="J289" s="1660">
        <v>0.13</v>
      </c>
      <c r="K289" s="1630"/>
      <c r="L289" s="1633">
        <f>L288*J289</f>
        <v>1.3579871881827017</v>
      </c>
      <c r="M289" s="1634"/>
      <c r="N289" s="1635">
        <f t="shared" si="26"/>
        <v>-0.13087752810896491</v>
      </c>
      <c r="O289" s="1636">
        <f t="shared" si="29"/>
        <v>-8.7904244540728427E-2</v>
      </c>
    </row>
    <row r="290" spans="1:15" x14ac:dyDescent="0.2">
      <c r="A290" s="1557"/>
      <c r="B290" s="1637" t="s">
        <v>1369</v>
      </c>
      <c r="C290" s="1566"/>
      <c r="D290" s="1566"/>
      <c r="E290" s="1566"/>
      <c r="F290" s="1638"/>
      <c r="G290" s="1639"/>
      <c r="H290" s="1629">
        <f>H288+H289</f>
        <v>12.941670226227563</v>
      </c>
      <c r="I290" s="1630"/>
      <c r="J290" s="1630"/>
      <c r="K290" s="1630"/>
      <c r="L290" s="1633">
        <f>L288+L289</f>
        <v>11.80404248189579</v>
      </c>
      <c r="M290" s="1634"/>
      <c r="N290" s="1635">
        <f t="shared" si="26"/>
        <v>-1.1376277443317733</v>
      </c>
      <c r="O290" s="1636">
        <f t="shared" si="29"/>
        <v>-8.7904244540728538E-2</v>
      </c>
    </row>
    <row r="291" spans="1:15" x14ac:dyDescent="0.2">
      <c r="A291" s="1557"/>
      <c r="B291" s="2246" t="s">
        <v>2097</v>
      </c>
      <c r="C291" s="2246"/>
      <c r="D291" s="2246"/>
      <c r="E291" s="1566"/>
      <c r="F291" s="1638"/>
      <c r="G291" s="1639"/>
      <c r="H291" s="1640">
        <f>ROUND(-H290*10%,2)</f>
        <v>-1.29</v>
      </c>
      <c r="I291" s="1630"/>
      <c r="J291" s="1630"/>
      <c r="K291" s="1630"/>
      <c r="L291" s="1641">
        <f>ROUND(-L290*10%,2)</f>
        <v>-1.18</v>
      </c>
      <c r="M291" s="1634"/>
      <c r="N291" s="1642">
        <f t="shared" si="26"/>
        <v>0.1100000000000001</v>
      </c>
      <c r="O291" s="1643">
        <f t="shared" si="29"/>
        <v>-8.5271317829457433E-2</v>
      </c>
    </row>
    <row r="292" spans="1:15" ht="13.5" thickBot="1" x14ac:dyDescent="0.25">
      <c r="A292" s="1557"/>
      <c r="B292" s="2247" t="s">
        <v>686</v>
      </c>
      <c r="C292" s="2247"/>
      <c r="D292" s="2247"/>
      <c r="E292" s="1644"/>
      <c r="F292" s="1661"/>
      <c r="G292" s="1662"/>
      <c r="H292" s="1663">
        <f>H290+H291</f>
        <v>11.651670226227562</v>
      </c>
      <c r="I292" s="1664"/>
      <c r="J292" s="1664"/>
      <c r="K292" s="1664"/>
      <c r="L292" s="1665">
        <f>L290+L291</f>
        <v>10.62404248189579</v>
      </c>
      <c r="M292" s="1666"/>
      <c r="N292" s="1667">
        <f t="shared" si="26"/>
        <v>-1.0276277443317721</v>
      </c>
      <c r="O292" s="1668">
        <f t="shared" si="29"/>
        <v>-8.8195745706792547E-2</v>
      </c>
    </row>
    <row r="293" spans="1:15" ht="13.5" thickBot="1" x14ac:dyDescent="0.25">
      <c r="A293" s="1557"/>
      <c r="B293" s="1607"/>
      <c r="C293" s="1608"/>
      <c r="D293" s="1609"/>
      <c r="E293" s="1608"/>
      <c r="F293" s="1653"/>
      <c r="G293" s="1654"/>
      <c r="H293" s="1655"/>
      <c r="I293" s="1656"/>
      <c r="J293" s="1653"/>
      <c r="K293" s="1611"/>
      <c r="L293" s="1657"/>
      <c r="M293" s="1613"/>
      <c r="N293" s="1658"/>
      <c r="O293" s="1616"/>
    </row>
    <row r="294" spans="1:15" x14ac:dyDescent="0.2">
      <c r="A294" s="1557"/>
      <c r="B294" s="1557"/>
      <c r="C294" s="1557"/>
      <c r="D294" s="1557"/>
      <c r="E294" s="1557"/>
      <c r="F294" s="1557"/>
      <c r="G294" s="1557"/>
      <c r="H294" s="1557"/>
      <c r="I294" s="1557"/>
      <c r="J294" s="1557"/>
      <c r="K294" s="1557"/>
      <c r="L294" s="1669"/>
      <c r="M294" s="1557"/>
      <c r="N294" s="1557"/>
      <c r="O294" s="1557"/>
    </row>
    <row r="295" spans="1:15" x14ac:dyDescent="0.2">
      <c r="A295" s="1557"/>
      <c r="B295" s="5" t="s">
        <v>37</v>
      </c>
      <c r="C295" s="1557"/>
      <c r="E295" s="1557"/>
      <c r="F295" s="537">
        <v>3.499999999999992E-2</v>
      </c>
      <c r="G295" s="1557"/>
      <c r="H295" s="1557"/>
      <c r="I295" s="1557"/>
      <c r="J295" s="537">
        <v>3.6660283130650173E-2</v>
      </c>
      <c r="K295" s="1557"/>
      <c r="L295" s="1557"/>
      <c r="M295" s="1557"/>
      <c r="N295" s="1557"/>
      <c r="O295" s="1557"/>
    </row>
    <row r="296" spans="1:15" x14ac:dyDescent="0.2">
      <c r="A296" s="1557"/>
      <c r="B296" s="1557"/>
      <c r="C296" s="1557"/>
      <c r="D296" s="1557"/>
      <c r="E296" s="1557"/>
      <c r="F296" s="1557"/>
      <c r="G296" s="1557"/>
      <c r="H296" s="1557"/>
      <c r="I296" s="1557"/>
      <c r="J296" s="1557"/>
      <c r="K296" s="1557"/>
      <c r="L296" s="1557"/>
      <c r="M296" s="1557"/>
      <c r="N296" s="1557"/>
      <c r="O296" s="1557"/>
    </row>
    <row r="297" spans="1:15" ht="14.25" x14ac:dyDescent="0.2">
      <c r="A297" s="1697" t="s">
        <v>2100</v>
      </c>
      <c r="B297" s="1694"/>
      <c r="C297" s="1694"/>
      <c r="D297" s="1694"/>
      <c r="E297" s="1694"/>
      <c r="F297" s="1694"/>
      <c r="G297" s="1694"/>
      <c r="H297" s="1694"/>
      <c r="I297" s="1694"/>
      <c r="J297" s="1694"/>
      <c r="K297" s="1694"/>
      <c r="L297" s="1694"/>
      <c r="M297" s="1694"/>
      <c r="N297" s="1694"/>
      <c r="O297" s="1694"/>
    </row>
    <row r="298" spans="1:15" x14ac:dyDescent="0.2">
      <c r="A298" s="1694"/>
      <c r="B298" s="1694"/>
      <c r="C298" s="1694"/>
      <c r="D298" s="1694"/>
      <c r="E298" s="1694"/>
      <c r="F298" s="1694"/>
      <c r="G298" s="1694"/>
      <c r="H298" s="1694"/>
      <c r="I298" s="1694"/>
      <c r="J298" s="1694"/>
      <c r="K298" s="1694"/>
      <c r="L298" s="1694"/>
      <c r="M298" s="1694"/>
      <c r="N298" s="1694"/>
      <c r="O298" s="1694"/>
    </row>
    <row r="299" spans="1:15" x14ac:dyDescent="0.2">
      <c r="A299" s="1695" t="s">
        <v>126</v>
      </c>
      <c r="B299" s="1694"/>
      <c r="C299" s="1694"/>
      <c r="D299" s="1694"/>
      <c r="E299" s="1694"/>
      <c r="F299" s="1694"/>
      <c r="G299" s="1694"/>
      <c r="H299" s="1694"/>
      <c r="I299" s="1694"/>
      <c r="J299" s="1694"/>
      <c r="K299" s="1694"/>
      <c r="L299" s="1694"/>
      <c r="M299" s="1694"/>
      <c r="N299" s="1694"/>
      <c r="O299" s="1694"/>
    </row>
    <row r="300" spans="1:15" x14ac:dyDescent="0.2">
      <c r="A300" s="1695" t="s">
        <v>127</v>
      </c>
      <c r="B300" s="1694"/>
      <c r="C300" s="1694"/>
      <c r="D300" s="1694"/>
      <c r="E300" s="1694"/>
      <c r="F300" s="1694"/>
      <c r="G300" s="1694"/>
      <c r="H300" s="1694"/>
      <c r="I300" s="1694"/>
      <c r="J300" s="1694"/>
      <c r="K300" s="1694"/>
      <c r="L300" s="1694"/>
      <c r="M300" s="1694"/>
      <c r="N300" s="1694"/>
      <c r="O300" s="1694"/>
    </row>
    <row r="301" spans="1:15" x14ac:dyDescent="0.2">
      <c r="A301" s="1557"/>
      <c r="B301" s="1557"/>
      <c r="C301" s="1557"/>
      <c r="D301" s="1557"/>
      <c r="E301" s="1557"/>
      <c r="F301" s="1557"/>
      <c r="G301" s="1557"/>
      <c r="H301" s="1557"/>
      <c r="I301" s="1557"/>
      <c r="J301" s="1557"/>
      <c r="K301" s="1557"/>
      <c r="L301" s="1557"/>
      <c r="M301" s="1557"/>
      <c r="N301" s="1557"/>
      <c r="O301" s="1557"/>
    </row>
    <row r="302" spans="1:15" x14ac:dyDescent="0.2">
      <c r="A302" s="1696" t="s">
        <v>2101</v>
      </c>
      <c r="B302" s="1694"/>
      <c r="C302" s="1557"/>
      <c r="D302" s="1557"/>
      <c r="E302" s="1557"/>
      <c r="F302" s="1557"/>
      <c r="G302" s="1557"/>
      <c r="H302" s="1557"/>
      <c r="I302" s="1557"/>
      <c r="J302" s="1557"/>
      <c r="K302" s="1557"/>
      <c r="L302" s="1557"/>
      <c r="M302" s="1557"/>
      <c r="N302" s="1557"/>
      <c r="O302" s="1557"/>
    </row>
    <row r="303" spans="1:15" x14ac:dyDescent="0.2">
      <c r="A303" s="1696" t="s">
        <v>128</v>
      </c>
      <c r="B303" s="1694"/>
      <c r="C303" s="1557"/>
      <c r="D303" s="1557"/>
      <c r="E303" s="1557"/>
      <c r="F303" s="1557"/>
      <c r="G303" s="1557"/>
      <c r="H303" s="1557"/>
      <c r="I303" s="1557"/>
      <c r="J303" s="1557"/>
      <c r="K303" s="1557"/>
      <c r="L303" s="1557"/>
      <c r="M303" s="1557"/>
      <c r="N303" s="1557"/>
      <c r="O303" s="1557"/>
    </row>
    <row r="304" spans="1:15" x14ac:dyDescent="0.2">
      <c r="A304" s="1557"/>
      <c r="B304" s="1557"/>
      <c r="C304" s="1557"/>
      <c r="D304" s="1557"/>
      <c r="E304" s="1557"/>
      <c r="F304" s="1557"/>
      <c r="G304" s="1557"/>
      <c r="H304" s="1557"/>
      <c r="I304" s="1557"/>
      <c r="J304" s="1557"/>
      <c r="K304" s="1557"/>
      <c r="L304" s="1557"/>
      <c r="M304" s="1557"/>
      <c r="N304" s="1557"/>
      <c r="O304" s="1557"/>
    </row>
    <row r="305" spans="1:15" x14ac:dyDescent="0.2">
      <c r="A305" s="1695" t="s">
        <v>129</v>
      </c>
      <c r="B305" s="1694"/>
      <c r="C305" s="1557"/>
      <c r="D305" s="1557"/>
      <c r="E305" s="1557"/>
      <c r="F305" s="1557"/>
      <c r="G305" s="1557"/>
      <c r="H305" s="1557"/>
      <c r="I305" s="1557"/>
      <c r="J305" s="1557"/>
      <c r="K305" s="1557"/>
      <c r="L305" s="1557"/>
      <c r="M305" s="1557"/>
      <c r="N305" s="1557"/>
      <c r="O305" s="1557"/>
    </row>
    <row r="306" spans="1:15" x14ac:dyDescent="0.2">
      <c r="A306" s="1695" t="s">
        <v>130</v>
      </c>
      <c r="B306" s="1694"/>
      <c r="C306" s="1557"/>
      <c r="D306" s="1557"/>
      <c r="E306" s="1557"/>
      <c r="F306" s="1557"/>
      <c r="G306" s="1557"/>
      <c r="H306" s="1557"/>
      <c r="I306" s="1557"/>
      <c r="J306" s="1557"/>
      <c r="K306" s="1557"/>
      <c r="L306" s="1557"/>
      <c r="M306" s="1557"/>
      <c r="N306" s="1557"/>
      <c r="O306" s="1557"/>
    </row>
    <row r="307" spans="1:15" x14ac:dyDescent="0.2">
      <c r="A307" s="1695" t="s">
        <v>131</v>
      </c>
      <c r="B307" s="1694"/>
      <c r="C307" s="1557"/>
      <c r="D307" s="1557"/>
      <c r="E307" s="1557"/>
      <c r="F307" s="1557"/>
      <c r="G307" s="1557"/>
      <c r="H307" s="1557"/>
      <c r="I307" s="1557"/>
      <c r="J307" s="1557"/>
      <c r="K307" s="1557"/>
      <c r="L307" s="1557"/>
      <c r="M307" s="1557"/>
      <c r="N307" s="1557"/>
      <c r="O307" s="1557"/>
    </row>
    <row r="308" spans="1:15" x14ac:dyDescent="0.2">
      <c r="A308" s="1695" t="s">
        <v>132</v>
      </c>
      <c r="B308" s="1694"/>
      <c r="C308" s="1557"/>
      <c r="D308" s="1557"/>
      <c r="E308" s="1557"/>
      <c r="F308" s="1557"/>
      <c r="G308" s="1557"/>
      <c r="H308" s="1557"/>
      <c r="I308" s="1557"/>
      <c r="J308" s="1557"/>
      <c r="K308" s="1557"/>
      <c r="L308" s="1557"/>
      <c r="M308" s="1557"/>
      <c r="N308" s="1557"/>
      <c r="O308" s="1557"/>
    </row>
    <row r="309" spans="1:15" x14ac:dyDescent="0.2">
      <c r="A309" s="1695" t="s">
        <v>133</v>
      </c>
      <c r="B309" s="1694"/>
      <c r="C309" s="1557"/>
      <c r="D309" s="1557"/>
      <c r="E309" s="1557"/>
      <c r="F309" s="1557"/>
      <c r="G309" s="1557"/>
      <c r="H309" s="1557"/>
      <c r="I309" s="1557"/>
      <c r="J309" s="1557"/>
      <c r="K309" s="1557"/>
      <c r="L309" s="1557"/>
      <c r="M309" s="1557"/>
      <c r="N309" s="1557"/>
      <c r="O309" s="1557"/>
    </row>
    <row r="310" spans="1:15" x14ac:dyDescent="0.2">
      <c r="A310"/>
      <c r="B310"/>
      <c r="C310"/>
      <c r="D310"/>
      <c r="E310"/>
      <c r="F310"/>
      <c r="G310"/>
      <c r="H310"/>
      <c r="I310"/>
      <c r="J310"/>
      <c r="K310"/>
      <c r="L310"/>
      <c r="M310"/>
      <c r="N310"/>
      <c r="O310"/>
    </row>
    <row r="311" spans="1:15" ht="21.75" x14ac:dyDescent="0.2">
      <c r="A311" s="1698"/>
      <c r="B311" s="1695" t="s">
        <v>2102</v>
      </c>
      <c r="C311" s="1670"/>
      <c r="D311" s="24"/>
      <c r="E311" s="1670"/>
      <c r="F311" s="24"/>
      <c r="G311" s="1670"/>
      <c r="H311" s="1670"/>
      <c r="I311" s="1670"/>
      <c r="J311" s="24"/>
      <c r="K311" s="1670"/>
      <c r="L311" s="1671"/>
      <c r="M311" s="1671"/>
      <c r="N311" s="14"/>
      <c r="O311" s="208"/>
    </row>
    <row r="312" spans="1:15" ht="18" x14ac:dyDescent="0.25">
      <c r="A312" s="1672"/>
      <c r="B312" s="23"/>
      <c r="C312" s="1672"/>
      <c r="D312" s="23"/>
      <c r="E312" s="1672"/>
      <c r="F312" s="23"/>
      <c r="G312" s="1672"/>
      <c r="H312" s="1672"/>
      <c r="I312" s="1672"/>
      <c r="J312" s="23"/>
      <c r="K312" s="1672"/>
      <c r="L312" s="1671"/>
      <c r="M312" s="1671"/>
      <c r="N312" s="14" t="s">
        <v>420</v>
      </c>
      <c r="O312" s="209">
        <v>1</v>
      </c>
    </row>
    <row r="313" spans="1:15" ht="18" x14ac:dyDescent="0.25">
      <c r="A313" s="2255"/>
      <c r="B313" s="2255"/>
      <c r="C313" s="2255"/>
      <c r="D313" s="2255"/>
      <c r="E313" s="2255"/>
      <c r="F313" s="2255"/>
      <c r="G313" s="2255"/>
      <c r="H313" s="2255"/>
      <c r="I313" s="2255"/>
      <c r="J313" s="2255"/>
      <c r="K313" s="2255"/>
      <c r="L313" s="1671"/>
      <c r="M313" s="1671"/>
      <c r="N313" s="14" t="s">
        <v>421</v>
      </c>
      <c r="O313" s="209">
        <v>2</v>
      </c>
    </row>
    <row r="314" spans="1:15" ht="18" x14ac:dyDescent="0.25">
      <c r="A314" s="1672"/>
      <c r="B314" s="23"/>
      <c r="C314" s="1672"/>
      <c r="D314" s="23"/>
      <c r="E314" s="1672"/>
      <c r="F314" s="23"/>
      <c r="G314" s="1672"/>
      <c r="H314" s="1672"/>
      <c r="I314" s="1673"/>
      <c r="J314" s="21"/>
      <c r="K314" s="1673"/>
      <c r="L314" s="1671"/>
      <c r="M314" s="1671"/>
      <c r="N314" s="14" t="s">
        <v>422</v>
      </c>
      <c r="O314" s="209">
        <v>2</v>
      </c>
    </row>
    <row r="315" spans="1:15" ht="15.75" x14ac:dyDescent="0.25">
      <c r="A315" s="1671"/>
      <c r="B315" s="20"/>
      <c r="C315" s="1674"/>
      <c r="D315" s="22"/>
      <c r="E315" s="1674"/>
      <c r="F315" s="20"/>
      <c r="G315" s="1671"/>
      <c r="H315" s="1671"/>
      <c r="I315" s="1671"/>
      <c r="J315" s="20"/>
      <c r="K315" s="1671"/>
      <c r="L315" s="1671"/>
      <c r="M315" s="1671"/>
      <c r="N315" s="14" t="s">
        <v>423</v>
      </c>
      <c r="O315" s="210"/>
    </row>
    <row r="316" spans="1:15" x14ac:dyDescent="0.2">
      <c r="A316" s="1671"/>
      <c r="B316" s="20"/>
      <c r="C316" s="1671"/>
      <c r="D316" s="20"/>
      <c r="E316" s="1671"/>
      <c r="F316" s="20"/>
      <c r="G316" s="1671"/>
      <c r="H316" s="1671"/>
      <c r="I316" s="1671"/>
      <c r="J316" s="20"/>
      <c r="K316" s="1671"/>
      <c r="L316" s="1671"/>
      <c r="M316" s="1671"/>
      <c r="N316" s="14"/>
      <c r="O316" s="208"/>
    </row>
    <row r="317" spans="1:15" x14ac:dyDescent="0.2">
      <c r="A317" s="1671"/>
      <c r="B317" s="20"/>
      <c r="C317" s="1671"/>
      <c r="D317" s="20"/>
      <c r="E317" s="1671"/>
      <c r="F317" s="20"/>
      <c r="G317" s="1671"/>
      <c r="H317" s="1671"/>
      <c r="I317" s="1671"/>
      <c r="J317" s="20"/>
      <c r="K317" s="1671"/>
      <c r="L317" s="1671"/>
      <c r="M317" s="1671"/>
      <c r="N317" s="14" t="s">
        <v>424</v>
      </c>
      <c r="O317" s="1466">
        <v>42119</v>
      </c>
    </row>
    <row r="318" spans="1:15" x14ac:dyDescent="0.2">
      <c r="A318" s="1671"/>
      <c r="B318" s="20"/>
      <c r="C318" s="1671"/>
      <c r="D318" s="20"/>
      <c r="E318" s="1671"/>
      <c r="F318" s="20"/>
      <c r="G318" s="1671"/>
      <c r="H318" s="1671"/>
      <c r="I318" s="1671"/>
      <c r="J318" s="20"/>
      <c r="K318" s="1671"/>
      <c r="L318" s="1671"/>
      <c r="M318" s="1671"/>
      <c r="N318" s="1557"/>
      <c r="O318" s="1312"/>
    </row>
    <row r="319" spans="1:15" x14ac:dyDescent="0.2">
      <c r="A319" s="1557"/>
      <c r="B319" s="1557"/>
      <c r="C319" s="1557"/>
      <c r="D319" s="1557"/>
      <c r="E319" s="1557"/>
      <c r="F319" s="1557"/>
      <c r="G319" s="1557"/>
      <c r="H319" s="1557"/>
      <c r="I319" s="1557"/>
      <c r="J319" s="1557"/>
      <c r="K319" s="1557"/>
      <c r="L319" s="1312"/>
      <c r="M319" s="1312"/>
      <c r="N319" s="1312"/>
      <c r="O319" s="1312"/>
    </row>
    <row r="320" spans="1:15" ht="18" x14ac:dyDescent="0.25">
      <c r="A320" s="1557"/>
      <c r="B320" s="2256" t="s">
        <v>646</v>
      </c>
      <c r="C320" s="2256"/>
      <c r="D320" s="2256"/>
      <c r="E320" s="2256"/>
      <c r="F320" s="2256"/>
      <c r="G320" s="2256"/>
      <c r="H320" s="2256"/>
      <c r="I320" s="2256"/>
      <c r="J320" s="2256"/>
      <c r="K320" s="2256"/>
      <c r="L320" s="2256"/>
      <c r="M320" s="2256"/>
      <c r="N320" s="2256"/>
      <c r="O320" s="2256"/>
    </row>
    <row r="321" spans="1:15" ht="18" x14ac:dyDescent="0.25">
      <c r="A321" s="1557"/>
      <c r="B321" s="2256" t="s">
        <v>61</v>
      </c>
      <c r="C321" s="2256"/>
      <c r="D321" s="2256"/>
      <c r="E321" s="2256"/>
      <c r="F321" s="2256"/>
      <c r="G321" s="2256"/>
      <c r="H321" s="2256"/>
      <c r="I321" s="2256"/>
      <c r="J321" s="2256"/>
      <c r="K321" s="2256"/>
      <c r="L321" s="2256"/>
      <c r="M321" s="2256"/>
      <c r="N321" s="2256"/>
      <c r="O321" s="2256"/>
    </row>
    <row r="322" spans="1:15" x14ac:dyDescent="0.2">
      <c r="A322" s="1557"/>
      <c r="B322" s="1557"/>
      <c r="C322" s="1557"/>
      <c r="D322" s="1557"/>
      <c r="E322" s="1557"/>
      <c r="F322" s="1557"/>
      <c r="G322" s="1557"/>
      <c r="H322" s="1557"/>
      <c r="I322" s="1557"/>
      <c r="J322" s="1557"/>
      <c r="K322" s="1557"/>
      <c r="L322" s="1312"/>
      <c r="M322" s="1312"/>
      <c r="N322" s="1312"/>
      <c r="O322" s="1312"/>
    </row>
    <row r="323" spans="1:15" x14ac:dyDescent="0.2">
      <c r="A323" s="1557"/>
      <c r="B323" s="1557"/>
      <c r="C323" s="1557"/>
      <c r="D323" s="1557"/>
      <c r="E323" s="1557"/>
      <c r="F323" s="1557"/>
      <c r="G323" s="1557"/>
      <c r="H323" s="1557"/>
      <c r="I323" s="1557"/>
      <c r="J323" s="1557"/>
      <c r="K323" s="1557"/>
      <c r="L323" s="1312"/>
      <c r="M323" s="1312"/>
      <c r="N323" s="1312"/>
      <c r="O323" s="1312"/>
    </row>
    <row r="324" spans="1:15" ht="15.75" x14ac:dyDescent="0.2">
      <c r="A324" s="1557"/>
      <c r="B324" s="26" t="s">
        <v>38</v>
      </c>
      <c r="C324" s="1557"/>
      <c r="D324" s="2248" t="s">
        <v>291</v>
      </c>
      <c r="E324" s="2248"/>
      <c r="F324" s="2248"/>
      <c r="G324" s="2248"/>
      <c r="H324" s="2248"/>
      <c r="I324" s="2248"/>
      <c r="J324" s="2248"/>
      <c r="K324" s="2248"/>
      <c r="L324" s="2248"/>
      <c r="M324" s="2248"/>
      <c r="N324" s="2248"/>
      <c r="O324" s="2248"/>
    </row>
    <row r="325" spans="1:15" ht="15.75" x14ac:dyDescent="0.25">
      <c r="A325" s="1557"/>
      <c r="B325" s="1675"/>
      <c r="C325" s="1557"/>
      <c r="D325" s="1676"/>
      <c r="E325" s="1676"/>
      <c r="F325" s="1676"/>
      <c r="G325" s="1676"/>
      <c r="H325" s="1676"/>
      <c r="I325" s="1676"/>
      <c r="J325" s="1676"/>
      <c r="K325" s="1676"/>
      <c r="L325" s="1676"/>
      <c r="M325" s="1676"/>
      <c r="N325" s="1676"/>
      <c r="O325" s="1676"/>
    </row>
    <row r="326" spans="1:15" x14ac:dyDescent="0.2">
      <c r="A326" s="1557"/>
      <c r="B326" s="611"/>
      <c r="C326" s="1557"/>
      <c r="D326" s="5" t="s">
        <v>16</v>
      </c>
      <c r="E326" s="1677"/>
      <c r="F326" s="1678">
        <v>53.177680628981967</v>
      </c>
      <c r="G326" s="1677" t="s">
        <v>17</v>
      </c>
      <c r="H326" s="1557"/>
      <c r="I326" s="1557"/>
      <c r="K326" s="1557"/>
      <c r="L326" s="1557"/>
      <c r="M326" s="1557"/>
      <c r="N326" s="1557"/>
      <c r="O326" s="1557"/>
    </row>
    <row r="327" spans="1:15" x14ac:dyDescent="0.2">
      <c r="A327" s="1557"/>
      <c r="B327" s="1558"/>
      <c r="C327" s="1557"/>
      <c r="D327" s="1557"/>
      <c r="E327" s="1557"/>
      <c r="F327" s="1557"/>
      <c r="G327" s="1557"/>
      <c r="H327" s="1557"/>
      <c r="I327" s="1557"/>
      <c r="J327" s="1557"/>
      <c r="K327" s="1557"/>
      <c r="L327" s="1557"/>
      <c r="M327" s="1557"/>
      <c r="N327" s="1557"/>
      <c r="O327" s="1557"/>
    </row>
    <row r="328" spans="1:15" x14ac:dyDescent="0.2">
      <c r="A328" s="1557"/>
      <c r="B328" s="1558"/>
      <c r="C328" s="1557"/>
      <c r="D328" s="1559"/>
      <c r="E328" s="1559"/>
      <c r="F328" s="2249" t="s">
        <v>18</v>
      </c>
      <c r="G328" s="2250"/>
      <c r="H328" s="2251"/>
      <c r="I328" s="1557"/>
      <c r="J328" s="2249" t="s">
        <v>19</v>
      </c>
      <c r="K328" s="2250"/>
      <c r="L328" s="2251"/>
      <c r="M328" s="1557"/>
      <c r="N328" s="2249" t="s">
        <v>20</v>
      </c>
      <c r="O328" s="2251"/>
    </row>
    <row r="329" spans="1:15" x14ac:dyDescent="0.2">
      <c r="A329" s="1557"/>
      <c r="B329" s="1558"/>
      <c r="C329" s="1557"/>
      <c r="D329" s="2252" t="s">
        <v>21</v>
      </c>
      <c r="E329" s="1560"/>
      <c r="F329" s="1561" t="s">
        <v>22</v>
      </c>
      <c r="G329" s="1561" t="s">
        <v>23</v>
      </c>
      <c r="H329" s="1562" t="s">
        <v>24</v>
      </c>
      <c r="I329" s="1557"/>
      <c r="J329" s="1561" t="s">
        <v>22</v>
      </c>
      <c r="K329" s="1563" t="s">
        <v>23</v>
      </c>
      <c r="L329" s="1562" t="s">
        <v>24</v>
      </c>
      <c r="M329" s="1557"/>
      <c r="N329" s="2253" t="s">
        <v>25</v>
      </c>
      <c r="O329" s="2253" t="s">
        <v>26</v>
      </c>
    </row>
    <row r="330" spans="1:15" x14ac:dyDescent="0.2">
      <c r="A330" s="1557"/>
      <c r="B330" s="1558"/>
      <c r="C330" s="1557"/>
      <c r="D330" s="2252"/>
      <c r="E330" s="1560"/>
      <c r="F330" s="1564" t="s">
        <v>427</v>
      </c>
      <c r="G330" s="1564"/>
      <c r="H330" s="1565" t="s">
        <v>427</v>
      </c>
      <c r="I330" s="1557"/>
      <c r="J330" s="1564" t="s">
        <v>427</v>
      </c>
      <c r="K330" s="1565"/>
      <c r="L330" s="1565" t="s">
        <v>427</v>
      </c>
      <c r="M330" s="1557"/>
      <c r="N330" s="2254"/>
      <c r="O330" s="2254"/>
    </row>
    <row r="331" spans="1:15" x14ac:dyDescent="0.2">
      <c r="A331" s="1557"/>
      <c r="B331" s="1566" t="s">
        <v>27</v>
      </c>
      <c r="C331" s="1566"/>
      <c r="D331" s="538" t="s">
        <v>2088</v>
      </c>
      <c r="E331" s="1566"/>
      <c r="F331" s="1567">
        <v>3.41</v>
      </c>
      <c r="G331" s="1568">
        <v>1</v>
      </c>
      <c r="H331" s="1569">
        <f>G331*F331</f>
        <v>3.41</v>
      </c>
      <c r="I331" s="1570"/>
      <c r="J331" s="1571">
        <v>3.79</v>
      </c>
      <c r="K331" s="1572">
        <v>1</v>
      </c>
      <c r="L331" s="1569">
        <f>K331*J331</f>
        <v>3.79</v>
      </c>
      <c r="M331" s="1570"/>
      <c r="N331" s="1573">
        <f>L331-H331</f>
        <v>0.37999999999999989</v>
      </c>
      <c r="O331" s="1574">
        <f>IF((H331)=0,"",(N331/H331))</f>
        <v>0.11143695014662754</v>
      </c>
    </row>
    <row r="332" spans="1:15" x14ac:dyDescent="0.2">
      <c r="A332" s="1557"/>
      <c r="B332" s="1566" t="s">
        <v>28</v>
      </c>
      <c r="C332" s="1566"/>
      <c r="D332" s="538"/>
      <c r="E332" s="1566"/>
      <c r="F332" s="1567"/>
      <c r="G332" s="1568">
        <v>1</v>
      </c>
      <c r="H332" s="1569">
        <f t="shared" ref="H332:H339" si="32">G332*F332</f>
        <v>0</v>
      </c>
      <c r="I332" s="1570"/>
      <c r="J332" s="1571"/>
      <c r="K332" s="1572">
        <v>1</v>
      </c>
      <c r="L332" s="1569">
        <f>K332*J332</f>
        <v>0</v>
      </c>
      <c r="M332" s="1570"/>
      <c r="N332" s="1573">
        <f>L332-H332</f>
        <v>0</v>
      </c>
      <c r="O332" s="1574" t="str">
        <f>IF((H332)=0,"",(N332/H332))</f>
        <v/>
      </c>
    </row>
    <row r="333" spans="1:15" x14ac:dyDescent="0.2">
      <c r="A333" s="1557"/>
      <c r="B333" s="1566" t="s">
        <v>29</v>
      </c>
      <c r="C333" s="1566"/>
      <c r="D333" s="538" t="s">
        <v>115</v>
      </c>
      <c r="E333" s="1566"/>
      <c r="F333" s="1567">
        <v>3.3300000000000003E-2</v>
      </c>
      <c r="G333" s="1568">
        <v>0.14716348108987393</v>
      </c>
      <c r="H333" s="1569">
        <f t="shared" si="32"/>
        <v>4.9005439202928023E-3</v>
      </c>
      <c r="I333" s="1570"/>
      <c r="J333" s="1571">
        <v>3.7100000000000001E-2</v>
      </c>
      <c r="K333" s="1568">
        <v>0.14716348108987393</v>
      </c>
      <c r="L333" s="1569">
        <f t="shared" ref="L333:L339" si="33">K333*J333</f>
        <v>5.4597651484343231E-3</v>
      </c>
      <c r="M333" s="1570"/>
      <c r="N333" s="1573">
        <f t="shared" ref="N333:N369" si="34">L333-H333</f>
        <v>5.592212281415208E-4</v>
      </c>
      <c r="O333" s="1574">
        <f t="shared" ref="O333:O340" si="35">IF((H333)=0,"",(N333/H333))</f>
        <v>0.11411411411411408</v>
      </c>
    </row>
    <row r="334" spans="1:15" x14ac:dyDescent="0.2">
      <c r="A334" s="1557"/>
      <c r="B334" s="1566" t="s">
        <v>2089</v>
      </c>
      <c r="C334" s="1566"/>
      <c r="D334" s="538" t="s">
        <v>2088</v>
      </c>
      <c r="E334" s="1566"/>
      <c r="F334" s="1567">
        <v>0</v>
      </c>
      <c r="G334" s="1568">
        <v>1</v>
      </c>
      <c r="H334" s="1569">
        <f t="shared" si="32"/>
        <v>0</v>
      </c>
      <c r="I334" s="1570"/>
      <c r="J334" s="1571">
        <v>0</v>
      </c>
      <c r="K334" s="1568">
        <v>1</v>
      </c>
      <c r="L334" s="1569">
        <f t="shared" si="33"/>
        <v>0</v>
      </c>
      <c r="M334" s="1570"/>
      <c r="N334" s="1573">
        <f t="shared" si="34"/>
        <v>0</v>
      </c>
      <c r="O334" s="1574" t="str">
        <f t="shared" si="35"/>
        <v/>
      </c>
    </row>
    <row r="335" spans="1:15" x14ac:dyDescent="0.2">
      <c r="A335" s="1557"/>
      <c r="B335" s="1566" t="s">
        <v>2090</v>
      </c>
      <c r="C335" s="1566"/>
      <c r="D335" s="538" t="s">
        <v>114</v>
      </c>
      <c r="E335" s="1566"/>
      <c r="F335" s="1567">
        <v>0</v>
      </c>
      <c r="G335" s="1568">
        <v>53.177680628981967</v>
      </c>
      <c r="H335" s="1569">
        <f t="shared" si="32"/>
        <v>0</v>
      </c>
      <c r="I335" s="1570"/>
      <c r="J335" s="1571">
        <v>0</v>
      </c>
      <c r="K335" s="1568">
        <v>53.177680628981967</v>
      </c>
      <c r="L335" s="1569">
        <f t="shared" si="33"/>
        <v>0</v>
      </c>
      <c r="M335" s="1570"/>
      <c r="N335" s="1573">
        <f t="shared" si="34"/>
        <v>0</v>
      </c>
      <c r="O335" s="1574" t="str">
        <f t="shared" si="35"/>
        <v/>
      </c>
    </row>
    <row r="336" spans="1:15" x14ac:dyDescent="0.2">
      <c r="A336" s="1557"/>
      <c r="B336" s="535" t="s">
        <v>2091</v>
      </c>
      <c r="C336" s="1566"/>
      <c r="D336" s="538" t="s">
        <v>114</v>
      </c>
      <c r="E336" s="1566"/>
      <c r="F336" s="1567">
        <v>0</v>
      </c>
      <c r="G336" s="1568">
        <v>53.177680628981967</v>
      </c>
      <c r="H336" s="1569">
        <f t="shared" si="32"/>
        <v>0</v>
      </c>
      <c r="I336" s="1570"/>
      <c r="J336" s="1571">
        <v>0</v>
      </c>
      <c r="K336" s="1568">
        <v>53.177680628981967</v>
      </c>
      <c r="L336" s="1569">
        <f t="shared" si="33"/>
        <v>0</v>
      </c>
      <c r="M336" s="1570"/>
      <c r="N336" s="1573">
        <f t="shared" si="34"/>
        <v>0</v>
      </c>
      <c r="O336" s="1574" t="str">
        <f t="shared" si="35"/>
        <v/>
      </c>
    </row>
    <row r="337" spans="1:15" x14ac:dyDescent="0.2">
      <c r="A337" s="1557"/>
      <c r="B337" s="535" t="s">
        <v>1751</v>
      </c>
      <c r="C337" s="1566"/>
      <c r="D337" s="538" t="s">
        <v>2088</v>
      </c>
      <c r="E337" s="1566"/>
      <c r="F337" s="1567">
        <v>0</v>
      </c>
      <c r="G337" s="1568">
        <v>1</v>
      </c>
      <c r="H337" s="1569">
        <f t="shared" si="32"/>
        <v>0</v>
      </c>
      <c r="I337" s="1570"/>
      <c r="J337" s="1571">
        <v>0</v>
      </c>
      <c r="K337" s="1568">
        <v>1</v>
      </c>
      <c r="L337" s="1569">
        <f t="shared" si="33"/>
        <v>0</v>
      </c>
      <c r="M337" s="1570"/>
      <c r="N337" s="1573">
        <f t="shared" si="34"/>
        <v>0</v>
      </c>
      <c r="O337" s="1574" t="str">
        <f t="shared" si="35"/>
        <v/>
      </c>
    </row>
    <row r="338" spans="1:15" x14ac:dyDescent="0.2">
      <c r="A338" s="1557"/>
      <c r="B338" s="535" t="s">
        <v>2092</v>
      </c>
      <c r="C338" s="1566"/>
      <c r="D338" s="538" t="s">
        <v>115</v>
      </c>
      <c r="E338" s="1566"/>
      <c r="F338" s="1567">
        <v>-5.7599999999999998E-2</v>
      </c>
      <c r="G338" s="1568">
        <v>0.14716348108987393</v>
      </c>
      <c r="H338" s="1569">
        <f t="shared" si="32"/>
        <v>-8.4766165107767379E-3</v>
      </c>
      <c r="I338" s="1570"/>
      <c r="J338" s="1571">
        <v>-5.7599999999999998E-2</v>
      </c>
      <c r="K338" s="1568">
        <v>0.14716348108987393</v>
      </c>
      <c r="L338" s="1569">
        <f t="shared" si="33"/>
        <v>-8.4766165107767379E-3</v>
      </c>
      <c r="M338" s="1570"/>
      <c r="N338" s="1573">
        <f t="shared" si="34"/>
        <v>0</v>
      </c>
      <c r="O338" s="1574">
        <f t="shared" si="35"/>
        <v>0</v>
      </c>
    </row>
    <row r="339" spans="1:15" x14ac:dyDescent="0.2">
      <c r="A339" s="1557"/>
      <c r="B339" s="535" t="s">
        <v>2093</v>
      </c>
      <c r="C339" s="1566"/>
      <c r="D339" s="538" t="s">
        <v>2088</v>
      </c>
      <c r="E339" s="1566"/>
      <c r="F339" s="1567">
        <v>0</v>
      </c>
      <c r="G339" s="1568">
        <v>1</v>
      </c>
      <c r="H339" s="1569">
        <f t="shared" si="32"/>
        <v>0</v>
      </c>
      <c r="I339" s="1570"/>
      <c r="J339" s="1571">
        <v>0</v>
      </c>
      <c r="K339" s="1568">
        <v>1</v>
      </c>
      <c r="L339" s="1569">
        <f t="shared" si="33"/>
        <v>0</v>
      </c>
      <c r="M339" s="1570"/>
      <c r="N339" s="1573">
        <f t="shared" si="34"/>
        <v>0</v>
      </c>
      <c r="O339" s="1574" t="str">
        <f t="shared" si="35"/>
        <v/>
      </c>
    </row>
    <row r="340" spans="1:15" x14ac:dyDescent="0.2">
      <c r="A340" s="1557"/>
      <c r="B340" s="1575" t="s">
        <v>2094</v>
      </c>
      <c r="C340" s="1576"/>
      <c r="D340" s="1577"/>
      <c r="E340" s="1576"/>
      <c r="F340" s="1578"/>
      <c r="G340" s="1579"/>
      <c r="H340" s="1580">
        <f>SUM(H331:H339)</f>
        <v>3.4064239274095165</v>
      </c>
      <c r="I340" s="1581"/>
      <c r="J340" s="1582"/>
      <c r="K340" s="1583"/>
      <c r="L340" s="1580">
        <f>SUM(L331:L339)</f>
        <v>3.7869831486376579</v>
      </c>
      <c r="M340" s="1581"/>
      <c r="N340" s="1584">
        <f t="shared" si="34"/>
        <v>0.38055922122814145</v>
      </c>
      <c r="O340" s="1585">
        <f t="shared" si="35"/>
        <v>0.11171810360008402</v>
      </c>
    </row>
    <row r="341" spans="1:15" ht="51" x14ac:dyDescent="0.2">
      <c r="A341" s="1557"/>
      <c r="B341" s="662" t="s">
        <v>2095</v>
      </c>
      <c r="C341" s="1566"/>
      <c r="D341" s="538" t="s">
        <v>115</v>
      </c>
      <c r="E341" s="1566"/>
      <c r="F341" s="1567">
        <v>-2.3081999999999998</v>
      </c>
      <c r="G341" s="1568">
        <v>0.14716348108987393</v>
      </c>
      <c r="H341" s="1569">
        <f>G341*F341</f>
        <v>-0.33968274705164697</v>
      </c>
      <c r="I341" s="1570"/>
      <c r="J341" s="1571">
        <v>-2.3081999999999998</v>
      </c>
      <c r="K341" s="1568">
        <v>0.14716348108987393</v>
      </c>
      <c r="L341" s="1569">
        <f t="shared" ref="L341:L344" si="36">K341*J341</f>
        <v>-0.33968274705164697</v>
      </c>
      <c r="M341" s="1570"/>
      <c r="N341" s="1573">
        <f t="shared" si="34"/>
        <v>0</v>
      </c>
      <c r="O341" s="1574">
        <f>IF((H341)=0,"",(N341/H341))</f>
        <v>0</v>
      </c>
    </row>
    <row r="342" spans="1:15" ht="51" x14ac:dyDescent="0.2">
      <c r="A342" s="1557"/>
      <c r="B342" s="662" t="s">
        <v>2096</v>
      </c>
      <c r="C342" s="1566"/>
      <c r="D342" s="538" t="s">
        <v>115</v>
      </c>
      <c r="E342" s="1566"/>
      <c r="F342" s="1567">
        <v>0</v>
      </c>
      <c r="G342" s="1568">
        <v>0.14716348108987393</v>
      </c>
      <c r="H342" s="1569">
        <f>G342*F342</f>
        <v>0</v>
      </c>
      <c r="I342" s="1570"/>
      <c r="J342" s="1571">
        <v>0</v>
      </c>
      <c r="K342" s="1568">
        <v>0.14716348108987393</v>
      </c>
      <c r="L342" s="1569">
        <f t="shared" si="36"/>
        <v>0</v>
      </c>
      <c r="M342" s="1570"/>
      <c r="N342" s="1573">
        <f t="shared" si="34"/>
        <v>0</v>
      </c>
      <c r="O342" s="1574" t="str">
        <f>IF((H342)=0,"",(N342/H342))</f>
        <v/>
      </c>
    </row>
    <row r="343" spans="1:15" x14ac:dyDescent="0.2">
      <c r="A343" s="1557"/>
      <c r="B343" s="1586" t="s">
        <v>705</v>
      </c>
      <c r="C343" s="1566"/>
      <c r="D343" s="538" t="s">
        <v>114</v>
      </c>
      <c r="E343" s="1566"/>
      <c r="F343" s="1567">
        <v>0</v>
      </c>
      <c r="G343" s="1568">
        <v>53.177680628981967</v>
      </c>
      <c r="H343" s="1569">
        <f>G343*F343</f>
        <v>0</v>
      </c>
      <c r="I343" s="1570"/>
      <c r="J343" s="1571">
        <v>0</v>
      </c>
      <c r="K343" s="1568">
        <v>53.177680628981967</v>
      </c>
      <c r="L343" s="1569">
        <f t="shared" si="36"/>
        <v>0</v>
      </c>
      <c r="M343" s="1570"/>
      <c r="N343" s="1573">
        <f t="shared" si="34"/>
        <v>0</v>
      </c>
      <c r="O343" s="1574" t="str">
        <f>IF((H343)=0,"",(N343/H343))</f>
        <v/>
      </c>
    </row>
    <row r="344" spans="1:15" x14ac:dyDescent="0.2">
      <c r="A344" s="1557"/>
      <c r="B344" s="1586" t="s">
        <v>649</v>
      </c>
      <c r="C344" s="1566"/>
      <c r="D344" s="538"/>
      <c r="E344" s="1566"/>
      <c r="F344" s="1587"/>
      <c r="G344" s="1588"/>
      <c r="H344" s="1589"/>
      <c r="I344" s="1570"/>
      <c r="J344" s="1571"/>
      <c r="K344" s="1568">
        <v>53.177680628981967</v>
      </c>
      <c r="L344" s="1569">
        <f t="shared" si="36"/>
        <v>0</v>
      </c>
      <c r="M344" s="1570"/>
      <c r="N344" s="1573">
        <f t="shared" si="34"/>
        <v>0</v>
      </c>
      <c r="O344" s="1574"/>
    </row>
    <row r="345" spans="1:15" ht="25.5" x14ac:dyDescent="0.2">
      <c r="A345" s="1557"/>
      <c r="B345" s="1590" t="s">
        <v>647</v>
      </c>
      <c r="C345" s="1591"/>
      <c r="D345" s="1591"/>
      <c r="E345" s="1591"/>
      <c r="F345" s="1592"/>
      <c r="G345" s="1593"/>
      <c r="H345" s="1594">
        <f>SUM(H340:H344)</f>
        <v>3.0667411803578695</v>
      </c>
      <c r="I345" s="1581"/>
      <c r="J345" s="1593"/>
      <c r="K345" s="1595"/>
      <c r="L345" s="1594">
        <f>SUM(L340:L344)</f>
        <v>3.4473004015860109</v>
      </c>
      <c r="M345" s="1581"/>
      <c r="N345" s="1584">
        <f t="shared" si="34"/>
        <v>0.38055922122814145</v>
      </c>
      <c r="O345" s="1585">
        <f t="shared" ref="O345:O369" si="37">IF((H345)=0,"",(N345/H345))</f>
        <v>0.12409238303694496</v>
      </c>
    </row>
    <row r="346" spans="1:15" x14ac:dyDescent="0.2">
      <c r="A346" s="1557"/>
      <c r="B346" s="1570" t="s">
        <v>30</v>
      </c>
      <c r="C346" s="1570"/>
      <c r="D346" s="539" t="s">
        <v>115</v>
      </c>
      <c r="E346" s="1570"/>
      <c r="F346" s="1571">
        <v>2.1313</v>
      </c>
      <c r="G346" s="1596">
        <v>0.1523142029280195</v>
      </c>
      <c r="H346" s="1569">
        <f>G346*F346</f>
        <v>0.32462726070048797</v>
      </c>
      <c r="I346" s="1570"/>
      <c r="J346" s="1571">
        <v>2.1659999999999999</v>
      </c>
      <c r="K346" s="1597">
        <v>0.15255853597312077</v>
      </c>
      <c r="L346" s="1569">
        <f>K346*J346</f>
        <v>0.33044178891777959</v>
      </c>
      <c r="M346" s="1570"/>
      <c r="N346" s="1573">
        <f t="shared" si="34"/>
        <v>5.8145282172916146E-3</v>
      </c>
      <c r="O346" s="1574">
        <f t="shared" si="37"/>
        <v>1.7911398459713134E-2</v>
      </c>
    </row>
    <row r="347" spans="1:15" ht="25.5" x14ac:dyDescent="0.2">
      <c r="A347" s="1557"/>
      <c r="B347" s="1598" t="s">
        <v>31</v>
      </c>
      <c r="C347" s="1570"/>
      <c r="D347" s="539" t="s">
        <v>115</v>
      </c>
      <c r="E347" s="1570"/>
      <c r="F347" s="1571">
        <v>1.5236000000000001</v>
      </c>
      <c r="G347" s="1596">
        <v>0.1523142029280195</v>
      </c>
      <c r="H347" s="1569">
        <f>G347*F347</f>
        <v>0.23206591958113051</v>
      </c>
      <c r="I347" s="1570"/>
      <c r="J347" s="1571">
        <v>1.5713999999999999</v>
      </c>
      <c r="K347" s="1597">
        <v>0.15255853597312077</v>
      </c>
      <c r="L347" s="1569">
        <f>K347*J347</f>
        <v>0.23973048342816197</v>
      </c>
      <c r="M347" s="1570"/>
      <c r="N347" s="1573">
        <f t="shared" si="34"/>
        <v>7.6645638470314581E-3</v>
      </c>
      <c r="O347" s="1574">
        <f t="shared" si="37"/>
        <v>3.3027528819680553E-2</v>
      </c>
    </row>
    <row r="348" spans="1:15" ht="25.5" x14ac:dyDescent="0.2">
      <c r="A348" s="1557"/>
      <c r="B348" s="1590" t="s">
        <v>648</v>
      </c>
      <c r="C348" s="1576"/>
      <c r="D348" s="1576"/>
      <c r="E348" s="1576"/>
      <c r="F348" s="1599"/>
      <c r="G348" s="1593"/>
      <c r="H348" s="1594">
        <f>SUM(H345:H347)</f>
        <v>3.6234343606394877</v>
      </c>
      <c r="I348" s="1600"/>
      <c r="J348" s="1601"/>
      <c r="K348" s="1602"/>
      <c r="L348" s="1594">
        <f>SUM(L345:L347)</f>
        <v>4.0174726739319526</v>
      </c>
      <c r="M348" s="1600"/>
      <c r="N348" s="1584">
        <f t="shared" si="34"/>
        <v>0.39403831329246497</v>
      </c>
      <c r="O348" s="1585">
        <f t="shared" si="37"/>
        <v>0.10874719232472103</v>
      </c>
    </row>
    <row r="349" spans="1:15" ht="25.5" x14ac:dyDescent="0.2">
      <c r="A349" s="1557"/>
      <c r="B349" s="1603" t="s">
        <v>32</v>
      </c>
      <c r="C349" s="1566"/>
      <c r="D349" s="538" t="s">
        <v>114</v>
      </c>
      <c r="E349" s="1566"/>
      <c r="F349" s="536">
        <v>5.1999999999999998E-3</v>
      </c>
      <c r="G349" s="1596">
        <v>55.038899450996333</v>
      </c>
      <c r="H349" s="1604">
        <f t="shared" ref="H349:H357" si="38">G349*F349</f>
        <v>0.28620227714518093</v>
      </c>
      <c r="I349" s="1570"/>
      <c r="J349" s="540">
        <v>5.1999999999999998E-3</v>
      </c>
      <c r="K349" s="1597">
        <v>55.127189457071736</v>
      </c>
      <c r="L349" s="1604">
        <f t="shared" ref="L349:L357" si="39">K349*J349</f>
        <v>0.28666138517677303</v>
      </c>
      <c r="M349" s="1570"/>
      <c r="N349" s="1573">
        <f t="shared" si="34"/>
        <v>4.5910803159210367E-4</v>
      </c>
      <c r="O349" s="1605">
        <f t="shared" si="37"/>
        <v>1.6041382904833192E-3</v>
      </c>
    </row>
    <row r="350" spans="1:15" ht="25.5" x14ac:dyDescent="0.2">
      <c r="A350" s="1557"/>
      <c r="B350" s="1603" t="s">
        <v>33</v>
      </c>
      <c r="C350" s="1566"/>
      <c r="D350" s="538" t="s">
        <v>114</v>
      </c>
      <c r="E350" s="1566"/>
      <c r="F350" s="536">
        <v>1.2999999999999999E-3</v>
      </c>
      <c r="G350" s="1596">
        <v>55.038899450996333</v>
      </c>
      <c r="H350" s="1604">
        <f t="shared" si="38"/>
        <v>7.1550569286295232E-2</v>
      </c>
      <c r="I350" s="1570"/>
      <c r="J350" s="540">
        <v>1.2999999999999999E-3</v>
      </c>
      <c r="K350" s="1597">
        <v>55.127189457071736</v>
      </c>
      <c r="L350" s="1604">
        <f t="shared" si="39"/>
        <v>7.1665346294193258E-2</v>
      </c>
      <c r="M350" s="1570"/>
      <c r="N350" s="1573">
        <f t="shared" si="34"/>
        <v>1.1477700789802592E-4</v>
      </c>
      <c r="O350" s="1605">
        <f t="shared" si="37"/>
        <v>1.6041382904833192E-3</v>
      </c>
    </row>
    <row r="351" spans="1:15" x14ac:dyDescent="0.2">
      <c r="A351" s="1557"/>
      <c r="B351" s="1566" t="s">
        <v>34</v>
      </c>
      <c r="C351" s="1566"/>
      <c r="D351" s="538"/>
      <c r="E351" s="1566"/>
      <c r="F351" s="536"/>
      <c r="G351" s="1568">
        <v>1</v>
      </c>
      <c r="H351" s="1604">
        <f t="shared" si="38"/>
        <v>0</v>
      </c>
      <c r="I351" s="1570"/>
      <c r="J351" s="540"/>
      <c r="K351" s="1572">
        <v>1</v>
      </c>
      <c r="L351" s="1604">
        <f t="shared" si="39"/>
        <v>0</v>
      </c>
      <c r="M351" s="1570"/>
      <c r="N351" s="1573">
        <f t="shared" si="34"/>
        <v>0</v>
      </c>
      <c r="O351" s="1605" t="str">
        <f t="shared" si="37"/>
        <v/>
      </c>
    </row>
    <row r="352" spans="1:15" x14ac:dyDescent="0.2">
      <c r="A352" s="1557"/>
      <c r="B352" s="1566" t="s">
        <v>35</v>
      </c>
      <c r="C352" s="1566"/>
      <c r="D352" s="538" t="s">
        <v>114</v>
      </c>
      <c r="E352" s="1566"/>
      <c r="F352" s="536">
        <v>7.0000000000000001E-3</v>
      </c>
      <c r="G352" s="1596">
        <v>53.177680628981967</v>
      </c>
      <c r="H352" s="1604">
        <f t="shared" si="38"/>
        <v>0.37224376440287377</v>
      </c>
      <c r="I352" s="1570"/>
      <c r="J352" s="540">
        <v>7.0000000000000001E-3</v>
      </c>
      <c r="K352" s="1597">
        <v>53.177680628981967</v>
      </c>
      <c r="L352" s="1604">
        <f t="shared" si="39"/>
        <v>0.37224376440287377</v>
      </c>
      <c r="M352" s="1570"/>
      <c r="N352" s="1573">
        <f t="shared" si="34"/>
        <v>0</v>
      </c>
      <c r="O352" s="1605">
        <f t="shared" si="37"/>
        <v>0</v>
      </c>
    </row>
    <row r="353" spans="1:15" x14ac:dyDescent="0.2">
      <c r="A353" s="1557"/>
      <c r="B353" s="1586" t="s">
        <v>679</v>
      </c>
      <c r="C353" s="1566"/>
      <c r="D353" s="538" t="s">
        <v>114</v>
      </c>
      <c r="E353" s="1566"/>
      <c r="F353" s="1606">
        <v>7.4999999999999997E-2</v>
      </c>
      <c r="G353" s="1596">
        <f>IF($G$347&gt;=750,750,$G$347)</f>
        <v>0.1523142029280195</v>
      </c>
      <c r="H353" s="1604">
        <f>G353*F353</f>
        <v>1.1423565219601462E-2</v>
      </c>
      <c r="I353" s="1570"/>
      <c r="J353" s="536">
        <v>7.4999999999999997E-2</v>
      </c>
      <c r="K353" s="1596">
        <f>IF($K$347&gt;=750,750,$K$347)</f>
        <v>0.15255853597312077</v>
      </c>
      <c r="L353" s="1604">
        <f>K353*J353</f>
        <v>1.1441890197984058E-2</v>
      </c>
      <c r="M353" s="1570"/>
      <c r="N353" s="1573">
        <f t="shared" si="34"/>
        <v>1.8324978382595544E-5</v>
      </c>
      <c r="O353" s="1605">
        <f t="shared" si="37"/>
        <v>1.6041382904832624E-3</v>
      </c>
    </row>
    <row r="354" spans="1:15" x14ac:dyDescent="0.2">
      <c r="A354" s="1557"/>
      <c r="B354" s="1586" t="s">
        <v>680</v>
      </c>
      <c r="C354" s="1566"/>
      <c r="D354" s="538" t="s">
        <v>114</v>
      </c>
      <c r="E354" s="1566"/>
      <c r="F354" s="1606">
        <v>8.7999999999999995E-2</v>
      </c>
      <c r="G354" s="1596">
        <f>IF($G$347&gt;=750,$G$347-750,0)</f>
        <v>0</v>
      </c>
      <c r="H354" s="1604">
        <f>G354*F354</f>
        <v>0</v>
      </c>
      <c r="I354" s="1570"/>
      <c r="J354" s="536">
        <v>8.7999999999999995E-2</v>
      </c>
      <c r="K354" s="1596">
        <f>IF($K$347&gt;=750,$K$347-750,0)</f>
        <v>0</v>
      </c>
      <c r="L354" s="1604">
        <f>K354*J354</f>
        <v>0</v>
      </c>
      <c r="M354" s="1570"/>
      <c r="N354" s="1573">
        <f t="shared" si="34"/>
        <v>0</v>
      </c>
      <c r="O354" s="1605" t="str">
        <f t="shared" si="37"/>
        <v/>
      </c>
    </row>
    <row r="355" spans="1:15" x14ac:dyDescent="0.2">
      <c r="A355" s="1557"/>
      <c r="B355" s="1586" t="s">
        <v>681</v>
      </c>
      <c r="C355" s="1566"/>
      <c r="D355" s="538" t="s">
        <v>114</v>
      </c>
      <c r="E355" s="1566"/>
      <c r="F355" s="1606">
        <v>6.5000000000000002E-2</v>
      </c>
      <c r="G355" s="1138">
        <v>35.224895648637656</v>
      </c>
      <c r="H355" s="1604">
        <f t="shared" si="38"/>
        <v>2.2896182171614479</v>
      </c>
      <c r="I355" s="1570"/>
      <c r="J355" s="536">
        <v>6.5000000000000002E-2</v>
      </c>
      <c r="K355" s="1138">
        <v>35.28140125252591</v>
      </c>
      <c r="L355" s="1604">
        <f t="shared" si="39"/>
        <v>2.2932910814141843</v>
      </c>
      <c r="M355" s="1570"/>
      <c r="N355" s="1573">
        <f t="shared" si="34"/>
        <v>3.6728642527363853E-3</v>
      </c>
      <c r="O355" s="1605">
        <f t="shared" si="37"/>
        <v>1.6041382904831249E-3</v>
      </c>
    </row>
    <row r="356" spans="1:15" x14ac:dyDescent="0.2">
      <c r="A356" s="1557"/>
      <c r="B356" s="1586" t="s">
        <v>682</v>
      </c>
      <c r="C356" s="1566"/>
      <c r="D356" s="538" t="s">
        <v>114</v>
      </c>
      <c r="E356" s="1566"/>
      <c r="F356" s="1606">
        <v>0.1</v>
      </c>
      <c r="G356" s="1138">
        <v>9.9070019011793402</v>
      </c>
      <c r="H356" s="1604">
        <f t="shared" si="38"/>
        <v>0.99070019011793409</v>
      </c>
      <c r="I356" s="1570"/>
      <c r="J356" s="536">
        <v>0.1</v>
      </c>
      <c r="K356" s="1138">
        <v>9.9228941022729114</v>
      </c>
      <c r="L356" s="1604">
        <f t="shared" si="39"/>
        <v>0.99228941022729122</v>
      </c>
      <c r="M356" s="1570"/>
      <c r="N356" s="1573">
        <f t="shared" si="34"/>
        <v>1.5892201093571368E-3</v>
      </c>
      <c r="O356" s="1605">
        <f t="shared" si="37"/>
        <v>1.6041382904831724E-3</v>
      </c>
    </row>
    <row r="357" spans="1:15" ht="13.5" thickBot="1" x14ac:dyDescent="0.25">
      <c r="A357" s="1557"/>
      <c r="B357" s="1558" t="s">
        <v>683</v>
      </c>
      <c r="C357" s="1566"/>
      <c r="D357" s="538" t="s">
        <v>114</v>
      </c>
      <c r="E357" s="1566"/>
      <c r="F357" s="1606">
        <v>0.11700000000000001</v>
      </c>
      <c r="G357" s="1138">
        <v>9.9070019011793402</v>
      </c>
      <c r="H357" s="1604">
        <f t="shared" si="38"/>
        <v>1.1591192224379829</v>
      </c>
      <c r="I357" s="1570"/>
      <c r="J357" s="536">
        <v>0.11700000000000001</v>
      </c>
      <c r="K357" s="1138">
        <v>9.9228941022729114</v>
      </c>
      <c r="L357" s="1604">
        <f t="shared" si="39"/>
        <v>1.1609786099659307</v>
      </c>
      <c r="M357" s="1570"/>
      <c r="N357" s="1573">
        <f t="shared" si="34"/>
        <v>1.8593875279477867E-3</v>
      </c>
      <c r="O357" s="1605">
        <f t="shared" si="37"/>
        <v>1.6041382904831178E-3</v>
      </c>
    </row>
    <row r="358" spans="1:15" ht="13.5" thickBot="1" x14ac:dyDescent="0.25">
      <c r="A358" s="1557"/>
      <c r="B358" s="1607"/>
      <c r="C358" s="1608"/>
      <c r="D358" s="1609"/>
      <c r="E358" s="1608"/>
      <c r="F358" s="1610"/>
      <c r="G358" s="1611"/>
      <c r="H358" s="1612"/>
      <c r="I358" s="1613"/>
      <c r="J358" s="1610"/>
      <c r="K358" s="1614"/>
      <c r="L358" s="1612"/>
      <c r="M358" s="1613"/>
      <c r="N358" s="1615"/>
      <c r="O358" s="1616"/>
    </row>
    <row r="359" spans="1:15" x14ac:dyDescent="0.2">
      <c r="A359" s="1557"/>
      <c r="B359" s="1617" t="s">
        <v>684</v>
      </c>
      <c r="C359" s="1566"/>
      <c r="D359" s="1566"/>
      <c r="E359" s="1566"/>
      <c r="F359" s="1618"/>
      <c r="G359" s="1619"/>
      <c r="H359" s="1620">
        <f>SUM(H348:H354)</f>
        <v>4.3648545366934393</v>
      </c>
      <c r="I359" s="1621"/>
      <c r="J359" s="1622"/>
      <c r="K359" s="1622"/>
      <c r="L359" s="1623">
        <f>SUM(L348:L354)</f>
        <v>4.7594850600037768</v>
      </c>
      <c r="M359" s="1624"/>
      <c r="N359" s="1625">
        <f t="shared" si="34"/>
        <v>0.39463052331033754</v>
      </c>
      <c r="O359" s="1626">
        <f t="shared" si="37"/>
        <v>9.0410922057734086E-2</v>
      </c>
    </row>
    <row r="360" spans="1:15" x14ac:dyDescent="0.2">
      <c r="A360" s="1557"/>
      <c r="B360" s="1627" t="s">
        <v>36</v>
      </c>
      <c r="C360" s="1566"/>
      <c r="D360" s="1566"/>
      <c r="E360" s="1566"/>
      <c r="F360" s="1628">
        <v>0.13</v>
      </c>
      <c r="G360" s="1619"/>
      <c r="H360" s="1629">
        <f>H359*F360</f>
        <v>0.56743108977014711</v>
      </c>
      <c r="I360" s="1630"/>
      <c r="J360" s="1631">
        <v>0.13</v>
      </c>
      <c r="K360" s="1632"/>
      <c r="L360" s="1633">
        <f>L359*J360</f>
        <v>0.61873305780049104</v>
      </c>
      <c r="M360" s="1634"/>
      <c r="N360" s="1635">
        <f t="shared" si="34"/>
        <v>5.1301968030343925E-2</v>
      </c>
      <c r="O360" s="1636">
        <f t="shared" si="37"/>
        <v>9.0410922057734155E-2</v>
      </c>
    </row>
    <row r="361" spans="1:15" x14ac:dyDescent="0.2">
      <c r="A361" s="1557"/>
      <c r="B361" s="1637" t="s">
        <v>1369</v>
      </c>
      <c r="C361" s="1566"/>
      <c r="D361" s="1566"/>
      <c r="E361" s="1566"/>
      <c r="F361" s="1638"/>
      <c r="G361" s="1639"/>
      <c r="H361" s="1629">
        <f>H359+H360</f>
        <v>4.9322856264635861</v>
      </c>
      <c r="I361" s="1630"/>
      <c r="J361" s="1630"/>
      <c r="K361" s="1630"/>
      <c r="L361" s="1633">
        <f>L359+L360</f>
        <v>5.3782181178042681</v>
      </c>
      <c r="M361" s="1634"/>
      <c r="N361" s="1635">
        <f t="shared" si="34"/>
        <v>0.44593249134068191</v>
      </c>
      <c r="O361" s="1636">
        <f t="shared" si="37"/>
        <v>9.0410922057734183E-2</v>
      </c>
    </row>
    <row r="362" spans="1:15" x14ac:dyDescent="0.2">
      <c r="A362" s="1557"/>
      <c r="B362" s="2246" t="s">
        <v>2097</v>
      </c>
      <c r="C362" s="2246"/>
      <c r="D362" s="2246"/>
      <c r="E362" s="1566"/>
      <c r="F362" s="1638"/>
      <c r="G362" s="1639"/>
      <c r="H362" s="1640">
        <f>ROUND(-H361*10%,2)</f>
        <v>-0.49</v>
      </c>
      <c r="I362" s="1630"/>
      <c r="J362" s="1630"/>
      <c r="K362" s="1630"/>
      <c r="L362" s="1641">
        <f>ROUND(-L361*10%,2)</f>
        <v>-0.54</v>
      </c>
      <c r="M362" s="1634"/>
      <c r="N362" s="1642">
        <f t="shared" si="34"/>
        <v>-5.0000000000000044E-2</v>
      </c>
      <c r="O362" s="1643">
        <f t="shared" si="37"/>
        <v>0.10204081632653071</v>
      </c>
    </row>
    <row r="363" spans="1:15" ht="13.5" thickBot="1" x14ac:dyDescent="0.25">
      <c r="A363" s="1557"/>
      <c r="B363" s="2247" t="s">
        <v>687</v>
      </c>
      <c r="C363" s="2247"/>
      <c r="D363" s="2247"/>
      <c r="E363" s="1644"/>
      <c r="F363" s="1645"/>
      <c r="G363" s="1646"/>
      <c r="H363" s="1647">
        <f>SUM(H361:H362)</f>
        <v>4.4422856264635859</v>
      </c>
      <c r="I363" s="1648"/>
      <c r="J363" s="1648"/>
      <c r="K363" s="1648"/>
      <c r="L363" s="1649">
        <f>SUM(L361:L362)</f>
        <v>4.838218117804268</v>
      </c>
      <c r="M363" s="1650"/>
      <c r="N363" s="1651">
        <f t="shared" si="34"/>
        <v>0.39593249134068209</v>
      </c>
      <c r="O363" s="1652">
        <f t="shared" si="37"/>
        <v>8.9128103105759984E-2</v>
      </c>
    </row>
    <row r="364" spans="1:15" ht="13.5" thickBot="1" x14ac:dyDescent="0.25">
      <c r="A364" s="1557"/>
      <c r="B364" s="1607"/>
      <c r="C364" s="1608"/>
      <c r="D364" s="1609"/>
      <c r="E364" s="1608"/>
      <c r="F364" s="1653"/>
      <c r="G364" s="1654"/>
      <c r="H364" s="1655"/>
      <c r="I364" s="1656"/>
      <c r="J364" s="1653"/>
      <c r="K364" s="1611"/>
      <c r="L364" s="1657"/>
      <c r="M364" s="1613"/>
      <c r="N364" s="1658"/>
      <c r="O364" s="1616"/>
    </row>
    <row r="365" spans="1:15" x14ac:dyDescent="0.2">
      <c r="A365" s="1557"/>
      <c r="B365" s="1617" t="s">
        <v>685</v>
      </c>
      <c r="C365" s="1566"/>
      <c r="D365" s="1566"/>
      <c r="E365" s="1566"/>
      <c r="F365" s="1618"/>
      <c r="G365" s="1619"/>
      <c r="H365" s="1620">
        <f>SUM(H348:H352,H355:H357)</f>
        <v>8.7928686011912021</v>
      </c>
      <c r="I365" s="1621"/>
      <c r="J365" s="1622"/>
      <c r="K365" s="1622"/>
      <c r="L365" s="1659">
        <f>SUM(L348:L352,L355:L357)</f>
        <v>9.1946022714131992</v>
      </c>
      <c r="M365" s="1624"/>
      <c r="N365" s="1625">
        <f>L365-H365</f>
        <v>0.40173367022199713</v>
      </c>
      <c r="O365" s="1626">
        <f>IF((H365)=0,"",(N365/H365))</f>
        <v>4.5688578829390536E-2</v>
      </c>
    </row>
    <row r="366" spans="1:15" x14ac:dyDescent="0.2">
      <c r="A366" s="1557"/>
      <c r="B366" s="1627" t="s">
        <v>36</v>
      </c>
      <c r="C366" s="1566"/>
      <c r="D366" s="1566"/>
      <c r="E366" s="1566"/>
      <c r="F366" s="1628">
        <v>0.13</v>
      </c>
      <c r="G366" s="1639"/>
      <c r="H366" s="1629">
        <f>H365*F366</f>
        <v>1.1430729181548562</v>
      </c>
      <c r="I366" s="1630"/>
      <c r="J366" s="1660">
        <v>0.13</v>
      </c>
      <c r="K366" s="1630"/>
      <c r="L366" s="1633">
        <f>L365*J366</f>
        <v>1.1952982952837159</v>
      </c>
      <c r="M366" s="1634"/>
      <c r="N366" s="1635">
        <f t="shared" si="34"/>
        <v>5.2225377128859662E-2</v>
      </c>
      <c r="O366" s="1636">
        <f t="shared" si="37"/>
        <v>4.5688578829390571E-2</v>
      </c>
    </row>
    <row r="367" spans="1:15" x14ac:dyDescent="0.2">
      <c r="A367" s="1557"/>
      <c r="B367" s="1637" t="s">
        <v>1369</v>
      </c>
      <c r="C367" s="1566"/>
      <c r="D367" s="1566"/>
      <c r="E367" s="1566"/>
      <c r="F367" s="1638"/>
      <c r="G367" s="1639"/>
      <c r="H367" s="1629">
        <f>H365+H366</f>
        <v>9.9359415193460592</v>
      </c>
      <c r="I367" s="1630"/>
      <c r="J367" s="1630"/>
      <c r="K367" s="1630"/>
      <c r="L367" s="1633">
        <f>L365+L366</f>
        <v>10.389900566696916</v>
      </c>
      <c r="M367" s="1634"/>
      <c r="N367" s="1635">
        <f t="shared" si="34"/>
        <v>0.45395904735085679</v>
      </c>
      <c r="O367" s="1636">
        <f t="shared" si="37"/>
        <v>4.5688578829390536E-2</v>
      </c>
    </row>
    <row r="368" spans="1:15" x14ac:dyDescent="0.2">
      <c r="A368" s="1557"/>
      <c r="B368" s="2246" t="s">
        <v>2097</v>
      </c>
      <c r="C368" s="2246"/>
      <c r="D368" s="2246"/>
      <c r="E368" s="1566"/>
      <c r="F368" s="1638"/>
      <c r="G368" s="1639"/>
      <c r="H368" s="1640">
        <f>ROUND(-H367*10%,2)</f>
        <v>-0.99</v>
      </c>
      <c r="I368" s="1630"/>
      <c r="J368" s="1630"/>
      <c r="K368" s="1630"/>
      <c r="L368" s="1641">
        <f>ROUND(-L367*10%,2)</f>
        <v>-1.04</v>
      </c>
      <c r="M368" s="1634"/>
      <c r="N368" s="1642">
        <f t="shared" si="34"/>
        <v>-5.0000000000000044E-2</v>
      </c>
      <c r="O368" s="1643">
        <f t="shared" si="37"/>
        <v>5.0505050505050553E-2</v>
      </c>
    </row>
    <row r="369" spans="1:15" ht="13.5" thickBot="1" x14ac:dyDescent="0.25">
      <c r="A369" s="1557"/>
      <c r="B369" s="2247" t="s">
        <v>686</v>
      </c>
      <c r="C369" s="2247"/>
      <c r="D369" s="2247"/>
      <c r="E369" s="1644"/>
      <c r="F369" s="1661"/>
      <c r="G369" s="1662"/>
      <c r="H369" s="1663">
        <f>H367+H368</f>
        <v>8.945941519346059</v>
      </c>
      <c r="I369" s="1664"/>
      <c r="J369" s="1664"/>
      <c r="K369" s="1664"/>
      <c r="L369" s="1665">
        <f>L367+L368</f>
        <v>9.3499005666969168</v>
      </c>
      <c r="M369" s="1666"/>
      <c r="N369" s="1667">
        <f t="shared" si="34"/>
        <v>0.40395904735085786</v>
      </c>
      <c r="O369" s="1668">
        <f t="shared" si="37"/>
        <v>4.5155565401056516E-2</v>
      </c>
    </row>
    <row r="370" spans="1:15" ht="13.5" thickBot="1" x14ac:dyDescent="0.25">
      <c r="A370" s="1557"/>
      <c r="B370" s="1607"/>
      <c r="C370" s="1608"/>
      <c r="D370" s="1609"/>
      <c r="E370" s="1608"/>
      <c r="F370" s="1653"/>
      <c r="G370" s="1654"/>
      <c r="H370" s="1655"/>
      <c r="I370" s="1656"/>
      <c r="J370" s="1653"/>
      <c r="K370" s="1611"/>
      <c r="L370" s="1657"/>
      <c r="M370" s="1613"/>
      <c r="N370" s="1658"/>
      <c r="O370" s="1616"/>
    </row>
    <row r="371" spans="1:15" x14ac:dyDescent="0.2">
      <c r="A371" s="1557"/>
      <c r="B371" s="1557"/>
      <c r="C371" s="1557"/>
      <c r="D371" s="1557"/>
      <c r="E371" s="1557"/>
      <c r="F371" s="1557"/>
      <c r="G371" s="1557"/>
      <c r="H371" s="1557"/>
      <c r="I371" s="1557"/>
      <c r="J371" s="1557"/>
      <c r="K371" s="1557"/>
      <c r="L371" s="1669"/>
      <c r="M371" s="1557"/>
      <c r="N371" s="1557"/>
      <c r="O371" s="1557"/>
    </row>
    <row r="372" spans="1:15" x14ac:dyDescent="0.2">
      <c r="A372" s="1557"/>
      <c r="B372" s="5" t="s">
        <v>37</v>
      </c>
      <c r="C372" s="1557"/>
      <c r="E372" s="1557"/>
      <c r="F372" s="537">
        <v>3.499999999999992E-2</v>
      </c>
      <c r="G372" s="1557"/>
      <c r="H372" s="1557"/>
      <c r="I372" s="1557"/>
      <c r="J372" s="537">
        <v>3.6660283130650173E-2</v>
      </c>
      <c r="K372" s="1557"/>
      <c r="L372" s="1557"/>
      <c r="M372" s="1557"/>
      <c r="N372" s="1557"/>
      <c r="O372" s="1557"/>
    </row>
    <row r="373" spans="1:15" x14ac:dyDescent="0.2">
      <c r="A373" s="1557"/>
      <c r="B373" s="1557"/>
      <c r="C373" s="1557"/>
      <c r="D373" s="1557"/>
      <c r="E373" s="1557"/>
      <c r="F373" s="1557"/>
      <c r="G373" s="1557"/>
      <c r="H373" s="1557"/>
      <c r="I373" s="1557"/>
      <c r="J373" s="1557"/>
      <c r="K373" s="1557"/>
      <c r="L373" s="1557"/>
      <c r="M373" s="1557"/>
      <c r="N373" s="1557"/>
      <c r="O373" s="1557"/>
    </row>
    <row r="374" spans="1:15" ht="14.25" x14ac:dyDescent="0.2">
      <c r="A374" s="1702" t="s">
        <v>2100</v>
      </c>
      <c r="B374" s="1699"/>
      <c r="C374" s="1699"/>
      <c r="D374" s="1699"/>
      <c r="E374" s="1699"/>
      <c r="F374" s="1699"/>
      <c r="G374" s="1699"/>
      <c r="H374" s="1699"/>
      <c r="I374" s="1699"/>
      <c r="J374" s="1699"/>
      <c r="K374" s="1699"/>
      <c r="L374" s="1699"/>
      <c r="M374" s="1699"/>
      <c r="N374" s="1699"/>
      <c r="O374" s="1699"/>
    </row>
    <row r="375" spans="1:15" x14ac:dyDescent="0.2">
      <c r="A375" s="1699"/>
      <c r="B375" s="1699"/>
      <c r="C375" s="1699"/>
      <c r="D375" s="1699"/>
      <c r="E375" s="1699"/>
      <c r="F375" s="1699"/>
      <c r="G375" s="1699"/>
      <c r="H375" s="1699"/>
      <c r="I375" s="1699"/>
      <c r="J375" s="1699"/>
      <c r="K375" s="1699"/>
      <c r="L375" s="1699"/>
      <c r="M375" s="1699"/>
      <c r="N375" s="1699"/>
      <c r="O375" s="1699"/>
    </row>
    <row r="376" spans="1:15" x14ac:dyDescent="0.2">
      <c r="A376" s="1700" t="s">
        <v>126</v>
      </c>
      <c r="B376" s="1699"/>
      <c r="C376" s="1699"/>
      <c r="D376" s="1699"/>
      <c r="E376" s="1699"/>
      <c r="F376" s="1699"/>
      <c r="G376" s="1699"/>
      <c r="H376" s="1699"/>
      <c r="I376" s="1699"/>
      <c r="J376" s="1699"/>
      <c r="K376" s="1699"/>
      <c r="L376" s="1699"/>
      <c r="M376" s="1699"/>
      <c r="N376" s="1699"/>
      <c r="O376" s="1699"/>
    </row>
    <row r="377" spans="1:15" x14ac:dyDescent="0.2">
      <c r="A377" s="1700" t="s">
        <v>127</v>
      </c>
      <c r="B377" s="1699"/>
      <c r="C377" s="1699"/>
      <c r="D377" s="1699"/>
      <c r="E377" s="1699"/>
      <c r="F377" s="1699"/>
      <c r="G377" s="1699"/>
      <c r="H377" s="1699"/>
      <c r="I377" s="1699"/>
      <c r="J377" s="1699"/>
      <c r="K377" s="1699"/>
      <c r="L377" s="1699"/>
      <c r="M377" s="1699"/>
      <c r="N377" s="1699"/>
      <c r="O377" s="1699"/>
    </row>
    <row r="378" spans="1:15" x14ac:dyDescent="0.2">
      <c r="A378" s="1557"/>
      <c r="B378" s="1557"/>
      <c r="C378" s="1557"/>
      <c r="D378" s="1557"/>
      <c r="E378" s="1557"/>
      <c r="F378" s="1557"/>
      <c r="G378" s="1557"/>
      <c r="H378" s="1557"/>
      <c r="I378" s="1557"/>
      <c r="J378" s="1557"/>
      <c r="K378" s="1557"/>
      <c r="L378" s="1557"/>
      <c r="M378" s="1557"/>
      <c r="N378" s="1557"/>
      <c r="O378" s="1557"/>
    </row>
    <row r="379" spans="1:15" x14ac:dyDescent="0.2">
      <c r="A379" s="1701" t="s">
        <v>2101</v>
      </c>
      <c r="B379" s="1699"/>
      <c r="C379" s="1557"/>
      <c r="D379" s="1557"/>
      <c r="E379" s="1557"/>
      <c r="F379" s="1557"/>
      <c r="G379" s="1557"/>
      <c r="H379" s="1557"/>
      <c r="I379" s="1557"/>
      <c r="J379" s="1557"/>
      <c r="K379" s="1557"/>
      <c r="L379" s="1557"/>
      <c r="M379" s="1557"/>
      <c r="N379" s="1557"/>
      <c r="O379" s="1557"/>
    </row>
    <row r="380" spans="1:15" x14ac:dyDescent="0.2">
      <c r="A380" s="1701" t="s">
        <v>128</v>
      </c>
      <c r="B380" s="1699"/>
      <c r="C380" s="1557"/>
      <c r="D380" s="1557"/>
      <c r="E380" s="1557"/>
      <c r="F380" s="1557"/>
      <c r="G380" s="1557"/>
      <c r="H380" s="1557"/>
      <c r="I380" s="1557"/>
      <c r="J380" s="1557"/>
      <c r="K380" s="1557"/>
      <c r="L380" s="1557"/>
      <c r="M380" s="1557"/>
      <c r="N380" s="1557"/>
      <c r="O380" s="1557"/>
    </row>
    <row r="381" spans="1:15" x14ac:dyDescent="0.2">
      <c r="A381" s="1557"/>
      <c r="B381" s="1557"/>
      <c r="C381" s="1557"/>
      <c r="D381" s="1557"/>
      <c r="E381" s="1557"/>
      <c r="F381" s="1557"/>
      <c r="G381" s="1557"/>
      <c r="H381" s="1557"/>
      <c r="I381" s="1557"/>
      <c r="J381" s="1557"/>
      <c r="K381" s="1557"/>
      <c r="L381" s="1557"/>
      <c r="M381" s="1557"/>
      <c r="N381" s="1557"/>
      <c r="O381" s="1557"/>
    </row>
    <row r="382" spans="1:15" x14ac:dyDescent="0.2">
      <c r="A382" s="1700" t="s">
        <v>129</v>
      </c>
      <c r="B382" s="1699"/>
      <c r="C382" s="1557"/>
      <c r="D382" s="1557"/>
      <c r="E382" s="1557"/>
      <c r="F382" s="1557"/>
      <c r="G382" s="1557"/>
      <c r="H382" s="1557"/>
      <c r="I382" s="1557"/>
      <c r="J382" s="1557"/>
      <c r="K382" s="1557"/>
      <c r="L382" s="1557"/>
      <c r="M382" s="1557"/>
      <c r="N382" s="1557"/>
      <c r="O382" s="1557"/>
    </row>
    <row r="383" spans="1:15" x14ac:dyDescent="0.2">
      <c r="A383" s="1700" t="s">
        <v>130</v>
      </c>
      <c r="B383" s="1699"/>
      <c r="C383" s="1557"/>
      <c r="D383" s="1557"/>
      <c r="E383" s="1557"/>
      <c r="F383" s="1557"/>
      <c r="G383" s="1557"/>
      <c r="H383" s="1557"/>
      <c r="I383" s="1557"/>
      <c r="J383" s="1557"/>
      <c r="K383" s="1557"/>
      <c r="L383" s="1557"/>
      <c r="M383" s="1557"/>
      <c r="N383" s="1557"/>
      <c r="O383" s="1557"/>
    </row>
    <row r="384" spans="1:15" x14ac:dyDescent="0.2">
      <c r="A384" s="1700" t="s">
        <v>131</v>
      </c>
      <c r="B384" s="1699"/>
      <c r="C384" s="1557"/>
      <c r="D384" s="1557"/>
      <c r="E384" s="1557"/>
      <c r="F384" s="1557"/>
      <c r="G384" s="1557"/>
      <c r="H384" s="1557"/>
      <c r="I384" s="1557"/>
      <c r="J384" s="1557"/>
      <c r="K384" s="1557"/>
      <c r="L384" s="1557"/>
      <c r="M384" s="1557"/>
      <c r="N384" s="1557"/>
      <c r="O384" s="1557"/>
    </row>
    <row r="385" spans="1:15" x14ac:dyDescent="0.2">
      <c r="A385" s="1700" t="s">
        <v>132</v>
      </c>
      <c r="B385" s="1699"/>
      <c r="C385" s="1557"/>
      <c r="D385" s="1557"/>
      <c r="E385" s="1557"/>
      <c r="F385" s="1557"/>
      <c r="G385" s="1557"/>
      <c r="H385" s="1557"/>
      <c r="I385" s="1557"/>
      <c r="J385" s="1557"/>
      <c r="K385" s="1557"/>
      <c r="L385" s="1557"/>
      <c r="M385" s="1557"/>
      <c r="N385" s="1557"/>
      <c r="O385" s="1557"/>
    </row>
    <row r="386" spans="1:15" x14ac:dyDescent="0.2">
      <c r="A386" s="1700" t="s">
        <v>133</v>
      </c>
      <c r="B386" s="1699"/>
      <c r="C386" s="1557"/>
      <c r="D386" s="1557"/>
      <c r="E386" s="1557"/>
      <c r="F386" s="1557"/>
      <c r="G386" s="1557"/>
      <c r="H386" s="1557"/>
      <c r="I386" s="1557"/>
      <c r="J386" s="1557"/>
      <c r="K386" s="1557"/>
      <c r="L386" s="1557"/>
      <c r="M386" s="1557"/>
      <c r="N386" s="1557"/>
      <c r="O386" s="1557"/>
    </row>
    <row r="387" spans="1:15" x14ac:dyDescent="0.2">
      <c r="A387"/>
      <c r="B387"/>
      <c r="C387"/>
      <c r="D387"/>
      <c r="E387"/>
      <c r="F387"/>
      <c r="G387"/>
      <c r="H387"/>
      <c r="I387"/>
      <c r="J387"/>
      <c r="K387"/>
      <c r="L387"/>
      <c r="M387"/>
      <c r="N387"/>
      <c r="O387"/>
    </row>
    <row r="388" spans="1:15" x14ac:dyDescent="0.2">
      <c r="A388" s="1703"/>
      <c r="B388" s="1700" t="s">
        <v>2102</v>
      </c>
      <c r="C388"/>
      <c r="D388"/>
      <c r="E388"/>
      <c r="F388"/>
      <c r="G388"/>
      <c r="H388"/>
      <c r="I388"/>
      <c r="J388"/>
      <c r="K388"/>
      <c r="L388"/>
      <c r="M388"/>
      <c r="N388"/>
      <c r="O388"/>
    </row>
    <row r="389" spans="1:15" x14ac:dyDescent="0.2">
      <c r="A389"/>
      <c r="B389"/>
      <c r="C389"/>
      <c r="D389"/>
      <c r="E389"/>
      <c r="F389"/>
      <c r="G389"/>
      <c r="H389"/>
      <c r="I389"/>
      <c r="J389"/>
      <c r="K389"/>
      <c r="L389"/>
      <c r="M389"/>
      <c r="N389"/>
      <c r="O389"/>
    </row>
    <row r="390" spans="1:15" x14ac:dyDescent="0.2">
      <c r="A390"/>
      <c r="B390"/>
      <c r="C390"/>
      <c r="D390"/>
      <c r="E390"/>
      <c r="F390"/>
      <c r="G390"/>
      <c r="H390"/>
      <c r="I390"/>
      <c r="J390"/>
      <c r="K390"/>
      <c r="L390"/>
      <c r="M390"/>
      <c r="N390"/>
      <c r="O390"/>
    </row>
    <row r="391" spans="1:15" x14ac:dyDescent="0.2">
      <c r="A391"/>
      <c r="B391"/>
      <c r="C391"/>
      <c r="D391"/>
      <c r="E391"/>
      <c r="F391"/>
      <c r="G391"/>
      <c r="H391"/>
      <c r="I391"/>
      <c r="J391"/>
      <c r="K391"/>
      <c r="L391"/>
      <c r="M391"/>
      <c r="N391"/>
      <c r="O391"/>
    </row>
    <row r="392" spans="1:15" x14ac:dyDescent="0.2">
      <c r="A392"/>
      <c r="B392"/>
      <c r="C392"/>
      <c r="D392"/>
      <c r="E392"/>
      <c r="F392"/>
      <c r="G392"/>
      <c r="H392"/>
      <c r="I392"/>
      <c r="J392"/>
      <c r="K392"/>
      <c r="L392"/>
      <c r="M392"/>
      <c r="N392"/>
      <c r="O392"/>
    </row>
    <row r="393" spans="1:15" x14ac:dyDescent="0.2">
      <c r="A393"/>
      <c r="B393"/>
      <c r="C393"/>
      <c r="D393"/>
      <c r="E393"/>
      <c r="F393"/>
      <c r="G393"/>
      <c r="H393"/>
      <c r="I393"/>
      <c r="J393"/>
      <c r="K393"/>
      <c r="L393"/>
      <c r="M393"/>
      <c r="N393"/>
      <c r="O393"/>
    </row>
    <row r="394" spans="1:15" x14ac:dyDescent="0.2">
      <c r="A394"/>
      <c r="B394"/>
      <c r="C394"/>
      <c r="D394"/>
      <c r="E394"/>
      <c r="F394"/>
      <c r="G394"/>
      <c r="H394"/>
      <c r="I394"/>
      <c r="J394"/>
      <c r="K394"/>
      <c r="L394"/>
      <c r="M394"/>
      <c r="N394"/>
      <c r="O394"/>
    </row>
    <row r="395" spans="1:15" x14ac:dyDescent="0.2">
      <c r="A395"/>
      <c r="B395"/>
      <c r="C395"/>
      <c r="D395"/>
      <c r="E395"/>
      <c r="F395"/>
      <c r="G395"/>
      <c r="H395"/>
      <c r="I395"/>
      <c r="J395"/>
      <c r="K395"/>
      <c r="L395"/>
      <c r="M395"/>
      <c r="N395"/>
      <c r="O395"/>
    </row>
    <row r="396" spans="1:15" x14ac:dyDescent="0.2">
      <c r="A396"/>
      <c r="B396"/>
      <c r="C396"/>
      <c r="D396"/>
      <c r="E396"/>
      <c r="F396"/>
      <c r="G396"/>
      <c r="H396"/>
      <c r="I396"/>
      <c r="J396"/>
      <c r="K396"/>
      <c r="L396"/>
      <c r="M396"/>
      <c r="N396"/>
      <c r="O396"/>
    </row>
    <row r="397" spans="1:15" x14ac:dyDescent="0.2">
      <c r="A397"/>
      <c r="B397"/>
      <c r="C397"/>
      <c r="D397"/>
      <c r="E397"/>
      <c r="F397"/>
      <c r="G397"/>
      <c r="H397"/>
      <c r="I397"/>
      <c r="J397"/>
      <c r="K397"/>
      <c r="L397"/>
      <c r="M397"/>
      <c r="N397"/>
      <c r="O397"/>
    </row>
    <row r="398" spans="1:15" x14ac:dyDescent="0.2">
      <c r="A398"/>
      <c r="B398"/>
      <c r="C398"/>
      <c r="D398"/>
      <c r="E398"/>
      <c r="F398"/>
      <c r="G398"/>
      <c r="H398"/>
      <c r="I398"/>
      <c r="J398"/>
      <c r="K398"/>
      <c r="L398"/>
      <c r="M398"/>
      <c r="N398"/>
      <c r="O398"/>
    </row>
    <row r="399" spans="1:15" x14ac:dyDescent="0.2">
      <c r="A399"/>
      <c r="B399"/>
      <c r="C399"/>
      <c r="D399"/>
      <c r="E399"/>
      <c r="F399"/>
      <c r="G399"/>
      <c r="H399"/>
      <c r="I399"/>
      <c r="J399"/>
      <c r="K399"/>
      <c r="L399"/>
      <c r="M399"/>
      <c r="N399"/>
      <c r="O399"/>
    </row>
    <row r="400" spans="1:15" x14ac:dyDescent="0.2">
      <c r="A400"/>
      <c r="B400"/>
      <c r="C400"/>
      <c r="D400"/>
      <c r="E400"/>
      <c r="F400"/>
      <c r="G400"/>
      <c r="H400"/>
      <c r="I400"/>
      <c r="J400"/>
      <c r="K400"/>
      <c r="L400"/>
      <c r="M400"/>
      <c r="N400"/>
      <c r="O400"/>
    </row>
    <row r="401" spans="1:15" x14ac:dyDescent="0.2">
      <c r="A401"/>
      <c r="B401"/>
      <c r="C401"/>
      <c r="D401"/>
      <c r="E401"/>
      <c r="F401"/>
      <c r="G401"/>
      <c r="H401"/>
      <c r="I401"/>
      <c r="J401"/>
      <c r="K401"/>
      <c r="L401"/>
      <c r="M401"/>
      <c r="N401"/>
      <c r="O401"/>
    </row>
    <row r="402" spans="1:15" x14ac:dyDescent="0.2">
      <c r="A402"/>
      <c r="B402"/>
      <c r="C402"/>
      <c r="D402"/>
      <c r="E402"/>
      <c r="F402"/>
      <c r="G402"/>
      <c r="H402"/>
      <c r="I402"/>
      <c r="J402"/>
      <c r="K402"/>
      <c r="L402"/>
      <c r="M402"/>
      <c r="N402"/>
      <c r="O402"/>
    </row>
    <row r="403" spans="1:15" x14ac:dyDescent="0.2">
      <c r="A403"/>
      <c r="B403"/>
      <c r="C403"/>
      <c r="D403"/>
      <c r="E403"/>
      <c r="F403"/>
      <c r="G403"/>
      <c r="H403"/>
      <c r="I403"/>
      <c r="J403"/>
      <c r="K403"/>
      <c r="L403"/>
      <c r="M403"/>
      <c r="N403"/>
      <c r="O403"/>
    </row>
    <row r="404" spans="1:15" x14ac:dyDescent="0.2">
      <c r="A404"/>
      <c r="B404"/>
      <c r="C404"/>
      <c r="D404"/>
      <c r="E404"/>
      <c r="F404"/>
      <c r="G404"/>
      <c r="H404"/>
      <c r="I404"/>
      <c r="J404"/>
      <c r="K404"/>
      <c r="L404"/>
      <c r="M404"/>
      <c r="N404"/>
      <c r="O404"/>
    </row>
    <row r="405" spans="1:15" x14ac:dyDescent="0.2">
      <c r="A405"/>
      <c r="B405"/>
      <c r="C405"/>
      <c r="D405"/>
      <c r="E405"/>
      <c r="F405"/>
      <c r="G405"/>
      <c r="H405"/>
      <c r="I405"/>
      <c r="J405"/>
      <c r="K405"/>
      <c r="L405"/>
      <c r="M405"/>
      <c r="N405"/>
      <c r="O405"/>
    </row>
    <row r="406" spans="1:15" x14ac:dyDescent="0.2">
      <c r="A406"/>
      <c r="B406"/>
      <c r="C406"/>
      <c r="D406"/>
      <c r="E406"/>
      <c r="F406"/>
      <c r="G406"/>
      <c r="H406"/>
      <c r="I406"/>
      <c r="J406"/>
      <c r="K406"/>
      <c r="L406"/>
      <c r="M406"/>
      <c r="N406"/>
      <c r="O406"/>
    </row>
    <row r="407" spans="1:15" x14ac:dyDescent="0.2">
      <c r="A407"/>
      <c r="B407"/>
      <c r="C407"/>
      <c r="D407"/>
      <c r="E407"/>
      <c r="F407"/>
      <c r="G407"/>
      <c r="H407"/>
      <c r="I407"/>
      <c r="J407"/>
      <c r="K407"/>
      <c r="L407"/>
      <c r="M407"/>
      <c r="N407"/>
      <c r="O407"/>
    </row>
    <row r="408" spans="1:15" x14ac:dyDescent="0.2">
      <c r="A408"/>
      <c r="B408"/>
      <c r="C408"/>
      <c r="D408"/>
      <c r="E408"/>
      <c r="F408"/>
      <c r="G408"/>
      <c r="H408"/>
      <c r="I408"/>
      <c r="J408"/>
      <c r="K408"/>
      <c r="L408"/>
      <c r="M408"/>
      <c r="N408"/>
      <c r="O408"/>
    </row>
    <row r="409" spans="1:15" x14ac:dyDescent="0.2">
      <c r="A409"/>
      <c r="B409"/>
      <c r="C409"/>
      <c r="D409"/>
      <c r="E409"/>
      <c r="F409"/>
      <c r="G409"/>
      <c r="H409"/>
      <c r="I409"/>
      <c r="J409"/>
      <c r="K409"/>
      <c r="L409"/>
      <c r="M409"/>
      <c r="N409"/>
      <c r="O409"/>
    </row>
    <row r="410" spans="1:15" x14ac:dyDescent="0.2">
      <c r="A410"/>
      <c r="B410"/>
      <c r="C410"/>
      <c r="D410"/>
      <c r="E410"/>
      <c r="F410"/>
      <c r="G410"/>
      <c r="H410"/>
      <c r="I410"/>
      <c r="J410"/>
      <c r="K410"/>
      <c r="L410"/>
      <c r="M410"/>
      <c r="N410"/>
      <c r="O410"/>
    </row>
    <row r="411" spans="1:15" x14ac:dyDescent="0.2">
      <c r="A411"/>
      <c r="B411"/>
      <c r="C411"/>
      <c r="D411"/>
      <c r="E411"/>
      <c r="F411"/>
      <c r="G411"/>
      <c r="H411"/>
      <c r="I411"/>
      <c r="J411"/>
      <c r="K411"/>
      <c r="L411"/>
      <c r="M411"/>
      <c r="N411"/>
      <c r="O411"/>
    </row>
    <row r="412" spans="1:15" x14ac:dyDescent="0.2">
      <c r="A412"/>
      <c r="B412"/>
      <c r="C412"/>
      <c r="D412"/>
      <c r="E412"/>
      <c r="F412"/>
      <c r="G412"/>
      <c r="H412"/>
      <c r="I412"/>
      <c r="J412"/>
      <c r="K412"/>
      <c r="L412"/>
      <c r="M412"/>
      <c r="N412"/>
      <c r="O412"/>
    </row>
    <row r="413" spans="1:15" x14ac:dyDescent="0.2">
      <c r="A413"/>
      <c r="B413"/>
      <c r="C413"/>
      <c r="D413"/>
      <c r="E413"/>
      <c r="F413"/>
      <c r="G413"/>
      <c r="H413"/>
      <c r="I413"/>
      <c r="J413"/>
      <c r="K413"/>
      <c r="L413"/>
      <c r="M413"/>
      <c r="N413"/>
      <c r="O413"/>
    </row>
    <row r="414" spans="1:15" x14ac:dyDescent="0.2">
      <c r="A414"/>
      <c r="B414"/>
      <c r="C414"/>
      <c r="D414"/>
      <c r="E414"/>
      <c r="F414"/>
      <c r="G414"/>
      <c r="H414"/>
      <c r="I414"/>
      <c r="J414"/>
      <c r="K414"/>
      <c r="L414"/>
      <c r="M414"/>
      <c r="N414"/>
      <c r="O414"/>
    </row>
    <row r="415" spans="1:15" x14ac:dyDescent="0.2">
      <c r="A415"/>
      <c r="B415"/>
      <c r="C415"/>
      <c r="D415"/>
      <c r="E415"/>
      <c r="F415"/>
      <c r="G415"/>
      <c r="H415"/>
      <c r="I415"/>
      <c r="J415"/>
      <c r="K415"/>
      <c r="L415"/>
      <c r="M415"/>
      <c r="N415"/>
      <c r="O415"/>
    </row>
    <row r="416" spans="1:15" x14ac:dyDescent="0.2">
      <c r="A416"/>
      <c r="B416"/>
      <c r="C416"/>
      <c r="D416"/>
      <c r="E416"/>
      <c r="F416"/>
      <c r="G416"/>
      <c r="H416"/>
      <c r="I416"/>
      <c r="J416"/>
      <c r="K416"/>
      <c r="L416"/>
      <c r="M416"/>
      <c r="N416"/>
      <c r="O416"/>
    </row>
    <row r="417" spans="1:15" x14ac:dyDescent="0.2">
      <c r="A417"/>
      <c r="B417"/>
      <c r="C417"/>
      <c r="D417"/>
      <c r="E417"/>
      <c r="F417"/>
      <c r="G417"/>
      <c r="H417"/>
      <c r="I417"/>
      <c r="J417"/>
      <c r="K417"/>
      <c r="L417"/>
      <c r="M417"/>
      <c r="N417"/>
      <c r="O417"/>
    </row>
    <row r="418" spans="1:15" x14ac:dyDescent="0.2">
      <c r="A418"/>
      <c r="B418"/>
      <c r="C418"/>
      <c r="D418"/>
      <c r="E418"/>
      <c r="F418"/>
      <c r="G418"/>
      <c r="H418"/>
      <c r="I418"/>
      <c r="J418"/>
      <c r="K418"/>
      <c r="L418"/>
      <c r="M418"/>
      <c r="N418"/>
      <c r="O418"/>
    </row>
    <row r="419" spans="1:15" x14ac:dyDescent="0.2">
      <c r="A419"/>
      <c r="B419"/>
      <c r="C419"/>
      <c r="D419"/>
      <c r="E419"/>
      <c r="F419"/>
      <c r="G419"/>
      <c r="H419"/>
      <c r="I419"/>
      <c r="J419"/>
      <c r="K419"/>
      <c r="L419"/>
      <c r="M419"/>
      <c r="N419"/>
      <c r="O419"/>
    </row>
    <row r="420" spans="1:15" x14ac:dyDescent="0.2">
      <c r="A420"/>
      <c r="B420"/>
      <c r="C420"/>
      <c r="D420"/>
      <c r="E420"/>
      <c r="F420"/>
      <c r="G420"/>
      <c r="H420"/>
      <c r="I420"/>
      <c r="J420"/>
      <c r="K420"/>
      <c r="L420"/>
      <c r="M420"/>
      <c r="N420"/>
      <c r="O420"/>
    </row>
    <row r="421" spans="1:15" x14ac:dyDescent="0.2">
      <c r="A421"/>
      <c r="B421"/>
      <c r="C421"/>
      <c r="D421"/>
      <c r="E421"/>
      <c r="F421"/>
      <c r="G421"/>
      <c r="H421"/>
      <c r="I421"/>
      <c r="J421"/>
      <c r="K421"/>
      <c r="L421"/>
      <c r="M421"/>
      <c r="N421"/>
      <c r="O421"/>
    </row>
    <row r="422" spans="1:15" x14ac:dyDescent="0.2">
      <c r="A422"/>
      <c r="B422"/>
      <c r="C422"/>
      <c r="D422"/>
      <c r="E422"/>
      <c r="F422"/>
      <c r="G422"/>
      <c r="H422"/>
      <c r="I422"/>
      <c r="J422"/>
      <c r="K422"/>
      <c r="L422"/>
      <c r="M422"/>
      <c r="N422"/>
      <c r="O422"/>
    </row>
    <row r="423" spans="1:15" x14ac:dyDescent="0.2">
      <c r="A423"/>
      <c r="B423"/>
      <c r="C423"/>
      <c r="D423"/>
      <c r="E423"/>
      <c r="F423"/>
      <c r="G423"/>
      <c r="H423"/>
      <c r="I423"/>
      <c r="J423"/>
      <c r="K423"/>
      <c r="L423"/>
      <c r="M423"/>
      <c r="N423"/>
      <c r="O423"/>
    </row>
    <row r="424" spans="1:15" x14ac:dyDescent="0.2">
      <c r="A424"/>
      <c r="B424"/>
      <c r="C424"/>
      <c r="D424"/>
      <c r="E424"/>
      <c r="F424"/>
      <c r="G424"/>
      <c r="H424"/>
      <c r="I424"/>
      <c r="J424"/>
      <c r="K424"/>
      <c r="L424"/>
      <c r="M424"/>
      <c r="N424"/>
      <c r="O424"/>
    </row>
    <row r="425" spans="1:15" x14ac:dyDescent="0.2">
      <c r="A425"/>
      <c r="B425"/>
      <c r="C425"/>
      <c r="D425"/>
      <c r="E425"/>
      <c r="F425"/>
      <c r="G425"/>
      <c r="H425"/>
      <c r="I425"/>
      <c r="J425"/>
      <c r="K425"/>
      <c r="L425"/>
      <c r="M425"/>
      <c r="N425"/>
      <c r="O425"/>
    </row>
    <row r="426" spans="1:15" x14ac:dyDescent="0.2">
      <c r="A426"/>
      <c r="B426"/>
      <c r="C426"/>
      <c r="D426"/>
      <c r="E426"/>
      <c r="F426"/>
      <c r="G426"/>
      <c r="H426"/>
      <c r="I426"/>
      <c r="J426"/>
      <c r="K426"/>
      <c r="L426"/>
      <c r="M426"/>
      <c r="N426"/>
      <c r="O426"/>
    </row>
    <row r="427" spans="1:15" x14ac:dyDescent="0.2">
      <c r="A427"/>
      <c r="B427"/>
      <c r="C427"/>
      <c r="D427"/>
      <c r="E427"/>
      <c r="F427"/>
      <c r="G427"/>
      <c r="H427"/>
      <c r="I427"/>
      <c r="J427"/>
      <c r="K427"/>
      <c r="L427"/>
      <c r="M427"/>
      <c r="N427"/>
      <c r="O427"/>
    </row>
    <row r="428" spans="1:15" x14ac:dyDescent="0.2">
      <c r="A428"/>
      <c r="B428"/>
      <c r="C428"/>
      <c r="D428"/>
      <c r="E428"/>
      <c r="F428"/>
      <c r="G428"/>
      <c r="H428"/>
      <c r="I428"/>
      <c r="J428"/>
      <c r="K428"/>
      <c r="L428"/>
      <c r="M428"/>
      <c r="N428"/>
      <c r="O428"/>
    </row>
    <row r="429" spans="1:15" x14ac:dyDescent="0.2">
      <c r="A429"/>
      <c r="B429"/>
      <c r="C429"/>
      <c r="D429"/>
      <c r="E429"/>
      <c r="F429"/>
      <c r="G429"/>
      <c r="H429"/>
      <c r="I429"/>
      <c r="J429"/>
      <c r="K429"/>
      <c r="L429"/>
      <c r="M429"/>
      <c r="N429"/>
      <c r="O429"/>
    </row>
    <row r="430" spans="1:15" x14ac:dyDescent="0.2">
      <c r="A430"/>
      <c r="B430"/>
      <c r="C430"/>
      <c r="D430"/>
      <c r="E430"/>
      <c r="F430"/>
      <c r="G430"/>
      <c r="H430"/>
      <c r="I430"/>
      <c r="J430"/>
      <c r="K430"/>
      <c r="L430"/>
      <c r="M430"/>
      <c r="N430"/>
      <c r="O430"/>
    </row>
    <row r="431" spans="1:15" x14ac:dyDescent="0.2">
      <c r="A431"/>
      <c r="B431"/>
      <c r="C431"/>
      <c r="D431"/>
      <c r="E431"/>
      <c r="F431"/>
      <c r="G431"/>
      <c r="H431"/>
      <c r="I431"/>
      <c r="J431"/>
      <c r="K431"/>
      <c r="L431"/>
      <c r="M431"/>
      <c r="N431"/>
      <c r="O431"/>
    </row>
    <row r="432" spans="1:15" x14ac:dyDescent="0.2">
      <c r="A432"/>
      <c r="B432"/>
      <c r="C432"/>
      <c r="D432"/>
      <c r="E432"/>
      <c r="F432"/>
      <c r="G432"/>
      <c r="H432"/>
      <c r="I432"/>
      <c r="J432"/>
      <c r="K432"/>
      <c r="L432"/>
      <c r="M432"/>
      <c r="N432"/>
      <c r="O432"/>
    </row>
    <row r="433" spans="1:15" x14ac:dyDescent="0.2">
      <c r="A433"/>
      <c r="B433"/>
      <c r="C433"/>
      <c r="D433"/>
      <c r="E433"/>
      <c r="F433"/>
      <c r="G433"/>
      <c r="H433"/>
      <c r="I433"/>
      <c r="J433"/>
      <c r="K433"/>
      <c r="L433"/>
      <c r="M433"/>
      <c r="N433"/>
      <c r="O433"/>
    </row>
    <row r="434" spans="1:15" x14ac:dyDescent="0.2">
      <c r="A434"/>
      <c r="B434"/>
      <c r="C434"/>
      <c r="D434"/>
      <c r="E434"/>
      <c r="F434"/>
      <c r="G434"/>
      <c r="H434"/>
      <c r="I434"/>
      <c r="J434"/>
      <c r="K434"/>
      <c r="L434"/>
      <c r="M434"/>
      <c r="N434"/>
      <c r="O434"/>
    </row>
    <row r="435" spans="1:15" x14ac:dyDescent="0.2">
      <c r="A435"/>
      <c r="B435"/>
      <c r="C435"/>
      <c r="D435"/>
      <c r="E435"/>
      <c r="F435"/>
      <c r="G435"/>
      <c r="H435"/>
      <c r="I435"/>
      <c r="J435"/>
      <c r="K435"/>
      <c r="L435"/>
      <c r="M435"/>
      <c r="N435"/>
      <c r="O435"/>
    </row>
    <row r="436" spans="1:15" x14ac:dyDescent="0.2">
      <c r="A436"/>
      <c r="B436"/>
      <c r="C436"/>
      <c r="D436"/>
      <c r="E436"/>
      <c r="F436"/>
      <c r="G436"/>
      <c r="H436"/>
      <c r="I436"/>
      <c r="J436"/>
      <c r="K436"/>
      <c r="L436"/>
      <c r="M436"/>
      <c r="N436"/>
      <c r="O436"/>
    </row>
    <row r="437" spans="1:15" x14ac:dyDescent="0.2">
      <c r="A437"/>
      <c r="B437"/>
      <c r="C437"/>
      <c r="D437"/>
      <c r="E437"/>
      <c r="F437"/>
      <c r="G437"/>
      <c r="H437"/>
      <c r="I437"/>
      <c r="J437"/>
      <c r="K437"/>
      <c r="L437"/>
      <c r="M437"/>
      <c r="N437"/>
      <c r="O437"/>
    </row>
    <row r="438" spans="1:15" x14ac:dyDescent="0.2">
      <c r="A438"/>
      <c r="B438"/>
      <c r="C438"/>
      <c r="D438"/>
      <c r="E438"/>
      <c r="F438"/>
      <c r="G438"/>
      <c r="H438"/>
      <c r="I438"/>
      <c r="J438"/>
      <c r="K438"/>
      <c r="L438"/>
      <c r="M438"/>
      <c r="N438"/>
      <c r="O438"/>
    </row>
    <row r="439" spans="1:15" x14ac:dyDescent="0.2">
      <c r="A439"/>
      <c r="B439"/>
      <c r="C439"/>
      <c r="D439"/>
      <c r="E439"/>
      <c r="F439"/>
      <c r="G439"/>
      <c r="H439"/>
      <c r="I439"/>
      <c r="J439"/>
      <c r="K439"/>
      <c r="L439"/>
      <c r="M439"/>
      <c r="N439"/>
      <c r="O439"/>
    </row>
    <row r="440" spans="1:15" x14ac:dyDescent="0.2">
      <c r="A440"/>
      <c r="B440"/>
      <c r="C440"/>
      <c r="D440"/>
      <c r="E440"/>
      <c r="F440"/>
      <c r="G440"/>
      <c r="H440"/>
      <c r="I440"/>
      <c r="J440"/>
      <c r="K440"/>
      <c r="L440"/>
      <c r="M440"/>
      <c r="N440"/>
      <c r="O440"/>
    </row>
    <row r="441" spans="1:15" x14ac:dyDescent="0.2">
      <c r="A441"/>
      <c r="B441"/>
      <c r="C441"/>
      <c r="D441"/>
      <c r="E441"/>
      <c r="F441"/>
      <c r="G441"/>
      <c r="H441"/>
      <c r="I441"/>
      <c r="J441"/>
      <c r="K441"/>
      <c r="L441"/>
      <c r="M441"/>
      <c r="N441"/>
      <c r="O441"/>
    </row>
    <row r="442" spans="1:15" x14ac:dyDescent="0.2">
      <c r="A442"/>
      <c r="B442"/>
      <c r="C442"/>
      <c r="D442"/>
      <c r="E442"/>
      <c r="F442"/>
      <c r="G442"/>
      <c r="H442"/>
      <c r="I442"/>
      <c r="J442"/>
      <c r="K442"/>
      <c r="L442"/>
      <c r="M442"/>
      <c r="N442"/>
      <c r="O442"/>
    </row>
    <row r="443" spans="1:15" x14ac:dyDescent="0.2">
      <c r="A443"/>
      <c r="B443"/>
      <c r="C443"/>
      <c r="D443"/>
      <c r="E443"/>
      <c r="F443"/>
      <c r="G443"/>
      <c r="H443"/>
      <c r="I443"/>
      <c r="J443"/>
      <c r="K443"/>
      <c r="L443"/>
      <c r="M443"/>
      <c r="N443"/>
      <c r="O443"/>
    </row>
    <row r="444" spans="1:15" x14ac:dyDescent="0.2">
      <c r="A444"/>
      <c r="B444"/>
      <c r="C444"/>
      <c r="D444"/>
      <c r="E444"/>
      <c r="F444"/>
      <c r="G444"/>
      <c r="H444"/>
      <c r="I444"/>
      <c r="J444"/>
      <c r="K444"/>
      <c r="L444"/>
      <c r="M444"/>
      <c r="N444"/>
      <c r="O444"/>
    </row>
    <row r="445" spans="1:15" x14ac:dyDescent="0.2">
      <c r="A445"/>
      <c r="B445"/>
      <c r="C445"/>
      <c r="D445"/>
      <c r="E445"/>
      <c r="F445"/>
      <c r="G445"/>
      <c r="H445"/>
      <c r="I445"/>
      <c r="J445"/>
      <c r="K445"/>
      <c r="L445"/>
      <c r="M445"/>
      <c r="N445"/>
      <c r="O445"/>
    </row>
    <row r="446" spans="1:15" x14ac:dyDescent="0.2">
      <c r="A446"/>
      <c r="B446"/>
      <c r="C446"/>
      <c r="D446"/>
      <c r="E446"/>
      <c r="F446"/>
      <c r="G446"/>
      <c r="H446"/>
      <c r="I446"/>
      <c r="J446"/>
      <c r="K446"/>
      <c r="L446"/>
      <c r="M446"/>
      <c r="N446"/>
      <c r="O446"/>
    </row>
    <row r="447" spans="1:15" x14ac:dyDescent="0.2">
      <c r="A447"/>
      <c r="B447"/>
      <c r="C447"/>
      <c r="D447"/>
      <c r="E447"/>
      <c r="F447"/>
      <c r="G447"/>
      <c r="H447"/>
      <c r="I447"/>
      <c r="J447"/>
      <c r="K447"/>
      <c r="L447"/>
      <c r="M447"/>
      <c r="N447"/>
      <c r="O447"/>
    </row>
    <row r="448" spans="1:15" x14ac:dyDescent="0.2">
      <c r="A448"/>
      <c r="B448"/>
      <c r="C448"/>
      <c r="D448"/>
      <c r="E448"/>
      <c r="F448"/>
      <c r="G448"/>
      <c r="H448"/>
      <c r="I448"/>
      <c r="J448"/>
      <c r="K448"/>
      <c r="L448"/>
      <c r="M448"/>
      <c r="N448"/>
      <c r="O448"/>
    </row>
    <row r="449" spans="1:15" x14ac:dyDescent="0.2">
      <c r="A449"/>
      <c r="B449"/>
      <c r="C449"/>
      <c r="D449"/>
      <c r="E449"/>
      <c r="F449"/>
      <c r="G449"/>
      <c r="H449"/>
      <c r="I449"/>
      <c r="J449"/>
      <c r="K449"/>
      <c r="L449"/>
      <c r="M449"/>
      <c r="N449"/>
      <c r="O449"/>
    </row>
    <row r="450" spans="1:15" x14ac:dyDescent="0.2">
      <c r="A450"/>
      <c r="B450"/>
      <c r="C450"/>
      <c r="D450"/>
      <c r="E450"/>
      <c r="F450"/>
      <c r="G450"/>
      <c r="H450"/>
      <c r="I450"/>
      <c r="J450"/>
      <c r="K450"/>
      <c r="L450"/>
      <c r="M450"/>
      <c r="N450"/>
      <c r="O450"/>
    </row>
    <row r="451" spans="1:15" x14ac:dyDescent="0.2">
      <c r="A451"/>
      <c r="B451"/>
      <c r="C451"/>
      <c r="D451"/>
      <c r="E451"/>
      <c r="F451"/>
      <c r="G451"/>
      <c r="H451"/>
      <c r="I451"/>
      <c r="J451"/>
      <c r="K451"/>
      <c r="L451"/>
      <c r="M451"/>
      <c r="N451"/>
      <c r="O451"/>
    </row>
    <row r="452" spans="1:15" x14ac:dyDescent="0.2">
      <c r="A452"/>
      <c r="B452"/>
      <c r="C452"/>
      <c r="D452"/>
      <c r="E452"/>
      <c r="F452"/>
      <c r="G452"/>
      <c r="H452"/>
      <c r="I452"/>
      <c r="J452"/>
      <c r="K452"/>
      <c r="L452"/>
      <c r="M452"/>
      <c r="N452"/>
      <c r="O452"/>
    </row>
    <row r="453" spans="1:15" x14ac:dyDescent="0.2">
      <c r="A453"/>
      <c r="B453"/>
      <c r="C453"/>
      <c r="D453"/>
      <c r="E453"/>
      <c r="F453"/>
      <c r="G453"/>
      <c r="H453"/>
      <c r="I453"/>
      <c r="J453"/>
      <c r="K453"/>
      <c r="L453"/>
      <c r="M453"/>
      <c r="N453"/>
      <c r="O453"/>
    </row>
    <row r="454" spans="1:15" x14ac:dyDescent="0.2">
      <c r="A454"/>
      <c r="B454"/>
      <c r="C454"/>
      <c r="D454"/>
      <c r="E454"/>
      <c r="F454"/>
      <c r="G454"/>
      <c r="H454"/>
      <c r="I454"/>
      <c r="J454"/>
      <c r="K454"/>
      <c r="L454"/>
      <c r="M454"/>
      <c r="N454"/>
      <c r="O454"/>
    </row>
    <row r="455" spans="1:15" x14ac:dyDescent="0.2">
      <c r="A455"/>
      <c r="B455"/>
      <c r="C455"/>
      <c r="D455"/>
      <c r="E455"/>
      <c r="F455"/>
      <c r="G455"/>
      <c r="H455"/>
      <c r="I455"/>
      <c r="J455"/>
      <c r="K455"/>
      <c r="L455"/>
      <c r="M455"/>
      <c r="N455"/>
      <c r="O455"/>
    </row>
    <row r="456" spans="1:15" x14ac:dyDescent="0.2">
      <c r="A456"/>
      <c r="B456"/>
      <c r="C456"/>
      <c r="D456"/>
      <c r="E456"/>
      <c r="F456"/>
      <c r="G456"/>
      <c r="H456"/>
      <c r="I456"/>
      <c r="J456"/>
      <c r="K456"/>
      <c r="L456"/>
      <c r="M456"/>
      <c r="N456"/>
      <c r="O456"/>
    </row>
    <row r="457" spans="1:15" x14ac:dyDescent="0.2">
      <c r="A457"/>
      <c r="B457"/>
      <c r="C457"/>
      <c r="D457"/>
      <c r="E457"/>
      <c r="F457"/>
      <c r="G457"/>
      <c r="H457"/>
      <c r="I457"/>
      <c r="J457"/>
      <c r="K457"/>
      <c r="L457"/>
      <c r="M457"/>
      <c r="N457"/>
      <c r="O457"/>
    </row>
    <row r="458" spans="1:15" x14ac:dyDescent="0.2">
      <c r="A458"/>
      <c r="B458"/>
      <c r="C458"/>
      <c r="D458"/>
      <c r="E458"/>
      <c r="F458"/>
      <c r="G458"/>
      <c r="H458"/>
      <c r="I458"/>
      <c r="J458"/>
      <c r="K458"/>
      <c r="L458"/>
      <c r="M458"/>
      <c r="N458"/>
      <c r="O458"/>
    </row>
    <row r="459" spans="1:15" x14ac:dyDescent="0.2">
      <c r="A459"/>
      <c r="B459"/>
      <c r="C459"/>
      <c r="D459"/>
      <c r="E459"/>
      <c r="F459"/>
      <c r="G459"/>
      <c r="H459"/>
      <c r="I459"/>
      <c r="J459"/>
      <c r="K459"/>
      <c r="L459"/>
      <c r="M459"/>
      <c r="N459"/>
      <c r="O459"/>
    </row>
    <row r="460" spans="1:15" x14ac:dyDescent="0.2">
      <c r="A460"/>
      <c r="B460"/>
      <c r="C460"/>
      <c r="D460"/>
      <c r="E460"/>
      <c r="F460"/>
      <c r="G460"/>
      <c r="H460"/>
      <c r="I460"/>
      <c r="J460"/>
      <c r="K460"/>
      <c r="L460"/>
      <c r="M460"/>
      <c r="N460"/>
      <c r="O460"/>
    </row>
    <row r="461" spans="1:15" x14ac:dyDescent="0.2">
      <c r="A461"/>
      <c r="B461"/>
      <c r="C461"/>
      <c r="D461"/>
      <c r="E461"/>
      <c r="F461"/>
      <c r="G461"/>
      <c r="H461"/>
      <c r="I461"/>
      <c r="J461"/>
      <c r="K461"/>
      <c r="L461"/>
      <c r="M461"/>
      <c r="N461"/>
      <c r="O461"/>
    </row>
    <row r="462" spans="1:15" x14ac:dyDescent="0.2">
      <c r="A462"/>
      <c r="B462"/>
      <c r="C462"/>
      <c r="D462"/>
      <c r="E462"/>
      <c r="F462"/>
      <c r="G462"/>
      <c r="H462"/>
      <c r="I462"/>
      <c r="J462"/>
      <c r="K462"/>
      <c r="L462"/>
      <c r="M462"/>
      <c r="N462"/>
      <c r="O462"/>
    </row>
    <row r="463" spans="1:15" x14ac:dyDescent="0.2">
      <c r="A463"/>
      <c r="B463"/>
      <c r="C463"/>
      <c r="D463"/>
      <c r="E463"/>
      <c r="F463"/>
      <c r="G463"/>
      <c r="H463"/>
      <c r="I463"/>
      <c r="J463"/>
      <c r="K463"/>
      <c r="L463"/>
      <c r="M463"/>
      <c r="N463"/>
      <c r="O463"/>
    </row>
    <row r="464" spans="1:15" x14ac:dyDescent="0.2">
      <c r="A464"/>
      <c r="B464"/>
      <c r="C464"/>
      <c r="D464"/>
      <c r="E464"/>
      <c r="F464"/>
      <c r="G464"/>
      <c r="H464"/>
      <c r="I464"/>
      <c r="J464"/>
      <c r="K464"/>
      <c r="L464"/>
      <c r="M464"/>
      <c r="N464"/>
      <c r="O464"/>
    </row>
    <row r="465" spans="1:15" x14ac:dyDescent="0.2">
      <c r="A465"/>
      <c r="B465"/>
      <c r="C465"/>
      <c r="D465"/>
      <c r="E465"/>
      <c r="F465"/>
      <c r="G465"/>
      <c r="H465"/>
      <c r="I465"/>
      <c r="J465"/>
      <c r="K465"/>
      <c r="L465"/>
      <c r="M465"/>
      <c r="N465"/>
      <c r="O465"/>
    </row>
    <row r="466" spans="1:15" x14ac:dyDescent="0.2">
      <c r="A466"/>
      <c r="B466"/>
      <c r="C466"/>
      <c r="D466"/>
      <c r="E466"/>
      <c r="F466"/>
      <c r="G466"/>
      <c r="H466"/>
      <c r="I466"/>
      <c r="J466"/>
      <c r="K466"/>
      <c r="L466"/>
      <c r="M466"/>
      <c r="N466"/>
      <c r="O466"/>
    </row>
    <row r="467" spans="1:15" x14ac:dyDescent="0.2">
      <c r="A467"/>
      <c r="B467"/>
      <c r="C467"/>
      <c r="D467"/>
      <c r="E467"/>
      <c r="F467"/>
      <c r="G467"/>
      <c r="H467"/>
      <c r="I467"/>
      <c r="J467"/>
      <c r="K467"/>
      <c r="L467"/>
      <c r="M467"/>
      <c r="N467"/>
      <c r="O467"/>
    </row>
    <row r="468" spans="1:15" x14ac:dyDescent="0.2">
      <c r="A468"/>
      <c r="B468"/>
      <c r="C468"/>
      <c r="D468"/>
      <c r="E468"/>
      <c r="F468"/>
      <c r="G468"/>
      <c r="H468"/>
      <c r="I468"/>
      <c r="J468"/>
      <c r="K468"/>
      <c r="L468"/>
      <c r="M468"/>
      <c r="N468"/>
      <c r="O468"/>
    </row>
    <row r="469" spans="1:15" x14ac:dyDescent="0.2">
      <c r="A469"/>
      <c r="B469"/>
      <c r="C469"/>
      <c r="D469"/>
      <c r="E469"/>
      <c r="F469"/>
      <c r="G469"/>
      <c r="H469"/>
      <c r="I469"/>
      <c r="J469"/>
      <c r="K469"/>
      <c r="L469"/>
      <c r="M469"/>
      <c r="N469"/>
      <c r="O469"/>
    </row>
    <row r="470" spans="1:15" x14ac:dyDescent="0.2">
      <c r="A470"/>
      <c r="B470"/>
      <c r="C470"/>
      <c r="D470"/>
      <c r="E470"/>
      <c r="F470"/>
      <c r="G470"/>
      <c r="H470"/>
      <c r="I470"/>
      <c r="J470"/>
      <c r="K470"/>
      <c r="L470"/>
      <c r="M470"/>
      <c r="N470"/>
      <c r="O470"/>
    </row>
    <row r="471" spans="1:15" x14ac:dyDescent="0.2">
      <c r="A471"/>
      <c r="B471"/>
      <c r="C471"/>
      <c r="D471"/>
      <c r="E471"/>
      <c r="F471"/>
      <c r="G471"/>
      <c r="H471"/>
      <c r="I471"/>
      <c r="J471"/>
      <c r="K471"/>
      <c r="L471"/>
      <c r="M471"/>
      <c r="N471"/>
      <c r="O471"/>
    </row>
    <row r="472" spans="1:15" x14ac:dyDescent="0.2">
      <c r="A472"/>
      <c r="B472"/>
      <c r="C472"/>
      <c r="D472"/>
      <c r="E472"/>
      <c r="F472"/>
      <c r="G472"/>
      <c r="H472"/>
      <c r="I472"/>
      <c r="J472"/>
      <c r="K472"/>
      <c r="L472"/>
      <c r="M472"/>
      <c r="N472"/>
      <c r="O472"/>
    </row>
    <row r="473" spans="1:15" x14ac:dyDescent="0.2">
      <c r="A473"/>
      <c r="B473"/>
      <c r="C473"/>
      <c r="D473"/>
      <c r="E473"/>
      <c r="F473"/>
      <c r="G473"/>
      <c r="H473"/>
      <c r="I473"/>
      <c r="J473"/>
      <c r="K473"/>
      <c r="L473"/>
      <c r="M473"/>
      <c r="N473"/>
      <c r="O473"/>
    </row>
    <row r="474" spans="1:15" x14ac:dyDescent="0.2">
      <c r="A474"/>
      <c r="B474"/>
      <c r="C474"/>
      <c r="D474"/>
      <c r="E474"/>
      <c r="F474"/>
      <c r="G474"/>
      <c r="H474"/>
      <c r="I474"/>
      <c r="J474"/>
      <c r="K474"/>
      <c r="L474"/>
      <c r="M474"/>
      <c r="N474"/>
      <c r="O474"/>
    </row>
    <row r="475" spans="1:15" x14ac:dyDescent="0.2">
      <c r="A475"/>
      <c r="B475"/>
      <c r="C475"/>
      <c r="D475"/>
      <c r="E475"/>
      <c r="F475"/>
      <c r="G475"/>
      <c r="H475"/>
      <c r="I475"/>
      <c r="J475"/>
      <c r="K475"/>
      <c r="L475"/>
      <c r="M475"/>
      <c r="N475"/>
      <c r="O475"/>
    </row>
    <row r="476" spans="1:15" x14ac:dyDescent="0.2">
      <c r="A476"/>
      <c r="B476"/>
      <c r="C476"/>
      <c r="D476"/>
      <c r="E476"/>
      <c r="F476"/>
      <c r="G476"/>
      <c r="H476"/>
      <c r="I476"/>
      <c r="J476"/>
      <c r="K476"/>
      <c r="L476"/>
      <c r="M476"/>
      <c r="N476"/>
      <c r="O476"/>
    </row>
    <row r="477" spans="1:15" x14ac:dyDescent="0.2">
      <c r="A477"/>
      <c r="B477"/>
      <c r="C477"/>
      <c r="D477"/>
      <c r="E477"/>
      <c r="F477"/>
      <c r="G477"/>
      <c r="H477"/>
      <c r="I477"/>
      <c r="J477"/>
      <c r="K477"/>
      <c r="L477"/>
      <c r="M477"/>
      <c r="N477"/>
      <c r="O477"/>
    </row>
    <row r="478" spans="1:15" x14ac:dyDescent="0.2">
      <c r="A478"/>
      <c r="B478"/>
      <c r="C478"/>
      <c r="D478"/>
      <c r="E478"/>
      <c r="F478"/>
      <c r="G478"/>
      <c r="H478"/>
      <c r="I478"/>
      <c r="J478"/>
      <c r="K478"/>
      <c r="L478"/>
      <c r="M478"/>
      <c r="N478"/>
      <c r="O478"/>
    </row>
    <row r="479" spans="1:15" x14ac:dyDescent="0.2">
      <c r="A479"/>
      <c r="B479"/>
      <c r="C479"/>
      <c r="D479"/>
      <c r="E479"/>
      <c r="F479"/>
      <c r="G479"/>
      <c r="H479"/>
      <c r="I479"/>
      <c r="J479"/>
      <c r="K479"/>
      <c r="L479"/>
      <c r="M479"/>
      <c r="N479"/>
      <c r="O479"/>
    </row>
    <row r="480" spans="1:15" x14ac:dyDescent="0.2">
      <c r="A480"/>
      <c r="B480"/>
      <c r="C480"/>
      <c r="D480"/>
      <c r="E480"/>
      <c r="F480"/>
      <c r="G480"/>
      <c r="H480"/>
      <c r="I480"/>
      <c r="J480"/>
      <c r="K480"/>
      <c r="L480"/>
      <c r="M480"/>
      <c r="N480"/>
      <c r="O480"/>
    </row>
    <row r="481" spans="1:15" x14ac:dyDescent="0.2">
      <c r="A481"/>
      <c r="B481"/>
      <c r="C481"/>
      <c r="D481"/>
      <c r="E481"/>
      <c r="F481"/>
      <c r="G481"/>
      <c r="H481"/>
      <c r="I481"/>
      <c r="J481"/>
      <c r="K481"/>
      <c r="L481"/>
      <c r="M481"/>
      <c r="N481"/>
      <c r="O481"/>
    </row>
    <row r="482" spans="1:15" x14ac:dyDescent="0.2">
      <c r="A482"/>
      <c r="B482"/>
      <c r="C482"/>
      <c r="D482"/>
      <c r="E482"/>
      <c r="F482"/>
      <c r="G482"/>
      <c r="H482"/>
      <c r="I482"/>
      <c r="J482"/>
      <c r="K482"/>
      <c r="L482"/>
      <c r="M482"/>
      <c r="N482"/>
      <c r="O482"/>
    </row>
    <row r="483" spans="1:15" x14ac:dyDescent="0.2">
      <c r="A483"/>
      <c r="B483"/>
      <c r="C483"/>
      <c r="D483"/>
      <c r="E483"/>
      <c r="F483"/>
      <c r="G483"/>
      <c r="H483"/>
      <c r="I483"/>
      <c r="J483"/>
      <c r="K483"/>
      <c r="L483"/>
      <c r="M483"/>
      <c r="N483"/>
      <c r="O483"/>
    </row>
    <row r="484" spans="1:15" x14ac:dyDescent="0.2">
      <c r="A484"/>
      <c r="B484"/>
      <c r="C484"/>
      <c r="D484"/>
      <c r="E484"/>
      <c r="F484"/>
      <c r="G484"/>
      <c r="H484"/>
      <c r="I484"/>
      <c r="J484"/>
      <c r="K484"/>
      <c r="L484"/>
      <c r="M484"/>
      <c r="N484"/>
      <c r="O484"/>
    </row>
    <row r="485" spans="1:15" x14ac:dyDescent="0.2">
      <c r="A485"/>
      <c r="B485"/>
      <c r="C485"/>
      <c r="D485"/>
      <c r="E485"/>
      <c r="F485"/>
      <c r="G485"/>
      <c r="H485"/>
      <c r="I485"/>
      <c r="J485"/>
      <c r="K485"/>
      <c r="L485"/>
      <c r="M485"/>
      <c r="N485"/>
      <c r="O485"/>
    </row>
    <row r="486" spans="1:15" x14ac:dyDescent="0.2">
      <c r="A486"/>
      <c r="B486"/>
      <c r="C486"/>
      <c r="D486"/>
      <c r="E486"/>
      <c r="F486"/>
      <c r="G486"/>
      <c r="H486"/>
      <c r="I486"/>
      <c r="J486"/>
      <c r="K486"/>
      <c r="L486"/>
      <c r="M486"/>
      <c r="N486"/>
      <c r="O486"/>
    </row>
    <row r="487" spans="1:15" x14ac:dyDescent="0.2">
      <c r="A487"/>
      <c r="B487"/>
      <c r="C487"/>
      <c r="D487"/>
      <c r="E487"/>
      <c r="F487"/>
      <c r="G487"/>
      <c r="H487"/>
      <c r="I487"/>
      <c r="J487"/>
      <c r="K487"/>
      <c r="L487"/>
      <c r="M487"/>
      <c r="N487"/>
      <c r="O487"/>
    </row>
    <row r="488" spans="1:15" x14ac:dyDescent="0.2">
      <c r="A488"/>
      <c r="B488"/>
      <c r="C488"/>
      <c r="D488"/>
      <c r="E488"/>
      <c r="F488"/>
      <c r="G488"/>
      <c r="H488"/>
      <c r="I488"/>
      <c r="J488"/>
      <c r="K488"/>
      <c r="L488"/>
      <c r="M488"/>
      <c r="N488"/>
      <c r="O488"/>
    </row>
    <row r="489" spans="1:15" x14ac:dyDescent="0.2">
      <c r="A489"/>
      <c r="B489"/>
      <c r="C489"/>
      <c r="D489"/>
      <c r="E489"/>
      <c r="F489"/>
      <c r="G489"/>
      <c r="H489"/>
      <c r="I489"/>
      <c r="J489"/>
      <c r="K489"/>
      <c r="L489"/>
      <c r="M489"/>
      <c r="N489"/>
      <c r="O489"/>
    </row>
    <row r="490" spans="1:15" x14ac:dyDescent="0.2">
      <c r="A490"/>
      <c r="B490"/>
      <c r="C490"/>
      <c r="D490"/>
      <c r="E490"/>
      <c r="F490"/>
      <c r="G490"/>
      <c r="H490"/>
      <c r="I490"/>
      <c r="J490"/>
      <c r="K490"/>
      <c r="L490"/>
      <c r="M490"/>
      <c r="N490"/>
      <c r="O490"/>
    </row>
    <row r="491" spans="1:15" x14ac:dyDescent="0.2">
      <c r="A491"/>
      <c r="B491"/>
      <c r="C491"/>
      <c r="D491"/>
      <c r="E491"/>
      <c r="F491"/>
      <c r="G491"/>
      <c r="H491"/>
      <c r="I491"/>
      <c r="J491"/>
      <c r="K491"/>
      <c r="L491"/>
      <c r="M491"/>
      <c r="N491"/>
      <c r="O491"/>
    </row>
    <row r="492" spans="1:15" x14ac:dyDescent="0.2">
      <c r="A492"/>
      <c r="B492"/>
      <c r="C492"/>
      <c r="D492"/>
      <c r="E492"/>
      <c r="F492"/>
      <c r="G492"/>
      <c r="H492"/>
      <c r="I492"/>
      <c r="J492"/>
      <c r="K492"/>
      <c r="L492"/>
      <c r="M492"/>
      <c r="N492"/>
      <c r="O492"/>
    </row>
    <row r="493" spans="1:15" x14ac:dyDescent="0.2">
      <c r="A493"/>
      <c r="B493"/>
      <c r="C493"/>
      <c r="D493"/>
      <c r="E493"/>
      <c r="F493"/>
      <c r="G493"/>
      <c r="H493"/>
      <c r="I493"/>
      <c r="J493"/>
      <c r="K493"/>
      <c r="L493"/>
      <c r="M493"/>
      <c r="N493"/>
      <c r="O493"/>
    </row>
    <row r="494" spans="1:15" x14ac:dyDescent="0.2">
      <c r="A494"/>
      <c r="B494"/>
      <c r="C494"/>
      <c r="D494"/>
      <c r="E494"/>
      <c r="F494"/>
      <c r="G494"/>
      <c r="H494"/>
      <c r="I494"/>
      <c r="J494"/>
      <c r="K494"/>
      <c r="L494"/>
      <c r="M494"/>
      <c r="N494"/>
      <c r="O494"/>
    </row>
    <row r="495" spans="1:15" x14ac:dyDescent="0.2">
      <c r="A495"/>
      <c r="B495"/>
      <c r="C495"/>
      <c r="D495"/>
      <c r="E495"/>
      <c r="F495"/>
      <c r="G495"/>
      <c r="H495"/>
      <c r="I495"/>
      <c r="J495"/>
      <c r="K495"/>
      <c r="L495"/>
      <c r="M495"/>
      <c r="N495"/>
      <c r="O495"/>
    </row>
    <row r="496" spans="1:15" x14ac:dyDescent="0.2">
      <c r="A496"/>
      <c r="B496"/>
      <c r="C496"/>
      <c r="D496"/>
      <c r="E496"/>
      <c r="F496"/>
      <c r="G496"/>
      <c r="H496"/>
      <c r="I496"/>
      <c r="J496"/>
      <c r="K496"/>
      <c r="L496"/>
      <c r="M496"/>
      <c r="N496"/>
      <c r="O496"/>
    </row>
    <row r="497" spans="1:15" x14ac:dyDescent="0.2">
      <c r="A497"/>
      <c r="B497"/>
      <c r="C497"/>
      <c r="D497"/>
      <c r="E497"/>
      <c r="F497"/>
      <c r="G497"/>
      <c r="H497"/>
      <c r="I497"/>
      <c r="J497"/>
      <c r="K497"/>
      <c r="L497"/>
      <c r="M497"/>
      <c r="N497"/>
      <c r="O497"/>
    </row>
    <row r="498" spans="1:15" x14ac:dyDescent="0.2">
      <c r="A498"/>
      <c r="B498"/>
      <c r="C498"/>
      <c r="D498"/>
      <c r="E498"/>
      <c r="F498"/>
      <c r="G498"/>
      <c r="H498"/>
      <c r="I498"/>
      <c r="J498"/>
      <c r="K498"/>
      <c r="L498"/>
      <c r="M498"/>
      <c r="N498"/>
      <c r="O498"/>
    </row>
    <row r="499" spans="1:15" x14ac:dyDescent="0.2">
      <c r="A499"/>
      <c r="B499"/>
      <c r="C499"/>
      <c r="D499"/>
      <c r="E499"/>
      <c r="F499"/>
      <c r="G499"/>
      <c r="H499"/>
      <c r="I499"/>
      <c r="J499"/>
      <c r="K499"/>
      <c r="L499"/>
      <c r="M499"/>
      <c r="N499"/>
      <c r="O499"/>
    </row>
    <row r="500" spans="1:15" x14ac:dyDescent="0.2">
      <c r="A500"/>
      <c r="B500"/>
      <c r="C500"/>
      <c r="D500"/>
      <c r="E500"/>
      <c r="F500"/>
      <c r="G500"/>
      <c r="H500"/>
      <c r="I500"/>
      <c r="J500"/>
      <c r="K500"/>
      <c r="L500"/>
      <c r="M500"/>
      <c r="N500"/>
      <c r="O500"/>
    </row>
    <row r="501" spans="1:15" x14ac:dyDescent="0.2">
      <c r="A501"/>
      <c r="B501"/>
      <c r="C501"/>
      <c r="D501"/>
      <c r="E501"/>
      <c r="F501"/>
      <c r="G501"/>
      <c r="H501"/>
      <c r="I501"/>
      <c r="J501"/>
      <c r="K501"/>
      <c r="L501"/>
      <c r="M501"/>
      <c r="N501"/>
      <c r="O501"/>
    </row>
    <row r="502" spans="1:15" x14ac:dyDescent="0.2">
      <c r="A502"/>
      <c r="B502"/>
      <c r="C502"/>
      <c r="D502"/>
      <c r="E502"/>
      <c r="F502"/>
      <c r="G502"/>
      <c r="H502"/>
      <c r="I502"/>
      <c r="J502"/>
      <c r="K502"/>
      <c r="L502"/>
      <c r="M502"/>
      <c r="N502"/>
      <c r="O502"/>
    </row>
    <row r="503" spans="1:15" x14ac:dyDescent="0.2">
      <c r="A503"/>
      <c r="B503"/>
      <c r="C503"/>
      <c r="D503"/>
      <c r="E503"/>
      <c r="F503"/>
      <c r="G503"/>
      <c r="H503"/>
      <c r="I503"/>
      <c r="J503"/>
      <c r="K503"/>
      <c r="L503"/>
      <c r="M503"/>
      <c r="N503"/>
      <c r="O503"/>
    </row>
    <row r="504" spans="1:15" x14ac:dyDescent="0.2">
      <c r="A504"/>
      <c r="B504"/>
      <c r="C504"/>
      <c r="D504"/>
      <c r="E504"/>
      <c r="F504"/>
      <c r="G504"/>
      <c r="H504"/>
      <c r="I504"/>
      <c r="J504"/>
      <c r="K504"/>
      <c r="L504"/>
      <c r="M504"/>
      <c r="N504"/>
      <c r="O504"/>
    </row>
    <row r="505" spans="1:15" x14ac:dyDescent="0.2">
      <c r="A505"/>
      <c r="B505"/>
      <c r="C505"/>
      <c r="D505"/>
      <c r="E505"/>
      <c r="F505"/>
      <c r="G505"/>
      <c r="H505"/>
      <c r="I505"/>
      <c r="J505"/>
      <c r="K505"/>
      <c r="L505"/>
      <c r="M505"/>
      <c r="N505"/>
      <c r="O505"/>
    </row>
    <row r="506" spans="1:15" x14ac:dyDescent="0.2">
      <c r="A506"/>
      <c r="B506"/>
      <c r="C506"/>
      <c r="D506"/>
      <c r="E506"/>
      <c r="F506"/>
      <c r="G506"/>
      <c r="H506"/>
      <c r="I506"/>
      <c r="J506"/>
      <c r="K506"/>
      <c r="L506"/>
      <c r="M506"/>
      <c r="N506"/>
      <c r="O506"/>
    </row>
    <row r="507" spans="1:15" x14ac:dyDescent="0.2">
      <c r="A507"/>
      <c r="B507"/>
      <c r="C507"/>
      <c r="D507"/>
      <c r="E507"/>
      <c r="F507"/>
      <c r="G507"/>
      <c r="H507"/>
      <c r="I507"/>
      <c r="J507"/>
      <c r="K507"/>
      <c r="L507"/>
      <c r="M507"/>
      <c r="N507"/>
      <c r="O507"/>
    </row>
    <row r="508" spans="1:15" x14ac:dyDescent="0.2">
      <c r="A508"/>
      <c r="B508"/>
      <c r="C508"/>
      <c r="D508"/>
      <c r="E508"/>
      <c r="F508"/>
      <c r="G508"/>
      <c r="H508"/>
      <c r="I508"/>
      <c r="J508"/>
      <c r="K508"/>
      <c r="L508"/>
      <c r="M508"/>
      <c r="N508"/>
      <c r="O508"/>
    </row>
    <row r="509" spans="1:15" x14ac:dyDescent="0.2">
      <c r="A509"/>
      <c r="B509"/>
      <c r="C509"/>
      <c r="D509"/>
      <c r="E509"/>
      <c r="F509"/>
      <c r="G509"/>
      <c r="H509"/>
      <c r="I509"/>
      <c r="J509"/>
      <c r="K509"/>
      <c r="L509"/>
      <c r="M509"/>
      <c r="N509"/>
      <c r="O509"/>
    </row>
    <row r="510" spans="1:15" x14ac:dyDescent="0.2">
      <c r="A510"/>
      <c r="B510"/>
      <c r="C510"/>
      <c r="D510"/>
      <c r="E510"/>
      <c r="F510"/>
      <c r="G510"/>
      <c r="H510"/>
      <c r="I510"/>
      <c r="J510"/>
      <c r="K510"/>
      <c r="L510"/>
      <c r="M510"/>
      <c r="N510"/>
      <c r="O510"/>
    </row>
    <row r="511" spans="1:15" x14ac:dyDescent="0.2">
      <c r="A511"/>
      <c r="B511"/>
      <c r="C511"/>
      <c r="D511"/>
      <c r="E511"/>
      <c r="F511"/>
      <c r="G511"/>
      <c r="H511"/>
      <c r="I511"/>
      <c r="J511"/>
      <c r="K511"/>
      <c r="L511"/>
      <c r="M511"/>
      <c r="N511"/>
      <c r="O511"/>
    </row>
    <row r="512" spans="1:15" x14ac:dyDescent="0.2">
      <c r="A512"/>
      <c r="B512"/>
      <c r="C512"/>
      <c r="D512"/>
      <c r="E512"/>
      <c r="F512"/>
      <c r="G512"/>
      <c r="H512"/>
      <c r="I512"/>
      <c r="J512"/>
      <c r="K512"/>
      <c r="L512"/>
      <c r="M512"/>
      <c r="N512"/>
      <c r="O512"/>
    </row>
    <row r="513" spans="1:15" x14ac:dyDescent="0.2">
      <c r="A513"/>
      <c r="B513"/>
      <c r="C513"/>
      <c r="D513"/>
      <c r="E513"/>
      <c r="F513"/>
      <c r="G513"/>
      <c r="H513"/>
      <c r="I513"/>
      <c r="J513"/>
      <c r="K513"/>
      <c r="L513"/>
      <c r="M513"/>
      <c r="N513"/>
      <c r="O513"/>
    </row>
    <row r="514" spans="1:15" x14ac:dyDescent="0.2">
      <c r="A514"/>
      <c r="B514"/>
      <c r="C514"/>
      <c r="D514"/>
      <c r="E514"/>
      <c r="F514"/>
      <c r="G514"/>
      <c r="H514"/>
      <c r="I514"/>
      <c r="J514"/>
      <c r="K514"/>
      <c r="L514"/>
      <c r="M514"/>
      <c r="N514"/>
      <c r="O514"/>
    </row>
    <row r="515" spans="1:15" x14ac:dyDescent="0.2">
      <c r="A515"/>
      <c r="B515"/>
      <c r="C515"/>
      <c r="D515"/>
      <c r="E515"/>
      <c r="F515"/>
      <c r="G515"/>
      <c r="H515"/>
      <c r="I515"/>
      <c r="J515"/>
      <c r="K515"/>
      <c r="L515"/>
      <c r="M515"/>
      <c r="N515"/>
      <c r="O515"/>
    </row>
    <row r="516" spans="1:15" x14ac:dyDescent="0.2">
      <c r="A516"/>
      <c r="B516"/>
      <c r="C516"/>
      <c r="D516"/>
      <c r="E516"/>
      <c r="F516"/>
      <c r="G516"/>
      <c r="H516"/>
      <c r="I516"/>
      <c r="J516"/>
      <c r="K516"/>
      <c r="L516"/>
      <c r="M516"/>
      <c r="N516"/>
      <c r="O516"/>
    </row>
    <row r="517" spans="1:15" x14ac:dyDescent="0.2">
      <c r="A517"/>
      <c r="B517"/>
      <c r="C517"/>
      <c r="D517"/>
      <c r="E517"/>
      <c r="F517"/>
      <c r="G517"/>
      <c r="H517"/>
      <c r="I517"/>
      <c r="J517"/>
      <c r="K517"/>
      <c r="L517"/>
      <c r="M517"/>
      <c r="N517"/>
      <c r="O517"/>
    </row>
    <row r="518" spans="1:15" x14ac:dyDescent="0.2">
      <c r="A518"/>
      <c r="B518"/>
      <c r="C518"/>
      <c r="D518"/>
      <c r="E518"/>
      <c r="F518"/>
      <c r="G518"/>
      <c r="H518"/>
      <c r="I518"/>
      <c r="J518"/>
      <c r="K518"/>
      <c r="L518"/>
      <c r="M518"/>
      <c r="N518"/>
      <c r="O518"/>
    </row>
    <row r="519" spans="1:15" x14ac:dyDescent="0.2">
      <c r="A519"/>
      <c r="B519"/>
      <c r="C519"/>
      <c r="D519"/>
      <c r="E519"/>
      <c r="F519"/>
      <c r="G519"/>
      <c r="H519"/>
      <c r="I519"/>
      <c r="J519"/>
      <c r="K519"/>
      <c r="L519"/>
      <c r="M519"/>
      <c r="N519"/>
      <c r="O519"/>
    </row>
    <row r="520" spans="1:15" x14ac:dyDescent="0.2">
      <c r="A520"/>
      <c r="B520"/>
      <c r="C520"/>
      <c r="D520"/>
      <c r="E520"/>
      <c r="F520"/>
      <c r="G520"/>
      <c r="H520"/>
      <c r="I520"/>
      <c r="J520"/>
      <c r="K520"/>
      <c r="L520"/>
      <c r="M520"/>
      <c r="N520"/>
      <c r="O520"/>
    </row>
    <row r="521" spans="1:15" x14ac:dyDescent="0.2">
      <c r="A521"/>
      <c r="B521"/>
      <c r="C521"/>
      <c r="D521"/>
      <c r="E521"/>
      <c r="F521"/>
      <c r="G521"/>
      <c r="H521"/>
      <c r="I521"/>
      <c r="J521"/>
      <c r="K521"/>
      <c r="L521"/>
      <c r="M521"/>
      <c r="N521"/>
      <c r="O521"/>
    </row>
    <row r="522" spans="1:15" x14ac:dyDescent="0.2">
      <c r="A522"/>
      <c r="B522"/>
      <c r="C522"/>
      <c r="D522"/>
      <c r="E522"/>
      <c r="F522"/>
      <c r="G522"/>
      <c r="H522"/>
      <c r="I522"/>
      <c r="J522"/>
      <c r="K522"/>
      <c r="L522"/>
      <c r="M522"/>
      <c r="N522"/>
      <c r="O522"/>
    </row>
    <row r="523" spans="1:15" x14ac:dyDescent="0.2">
      <c r="A523"/>
      <c r="B523"/>
      <c r="C523"/>
      <c r="D523"/>
      <c r="E523"/>
      <c r="F523"/>
      <c r="G523"/>
      <c r="H523"/>
      <c r="I523"/>
      <c r="J523"/>
      <c r="K523"/>
      <c r="L523"/>
      <c r="M523"/>
      <c r="N523"/>
      <c r="O523"/>
    </row>
    <row r="524" spans="1:15" x14ac:dyDescent="0.2">
      <c r="A524"/>
      <c r="B524"/>
      <c r="C524"/>
      <c r="D524"/>
      <c r="E524"/>
      <c r="F524"/>
      <c r="G524"/>
      <c r="H524"/>
      <c r="I524"/>
      <c r="J524"/>
      <c r="K524"/>
      <c r="L524"/>
      <c r="M524"/>
      <c r="N524"/>
      <c r="O524"/>
    </row>
    <row r="525" spans="1:15" x14ac:dyDescent="0.2">
      <c r="A525"/>
      <c r="B525"/>
      <c r="C525"/>
      <c r="D525"/>
      <c r="E525"/>
      <c r="F525"/>
      <c r="G525"/>
      <c r="H525"/>
      <c r="I525"/>
      <c r="J525"/>
      <c r="K525"/>
      <c r="L525"/>
      <c r="M525"/>
      <c r="N525"/>
      <c r="O525"/>
    </row>
    <row r="526" spans="1:15" x14ac:dyDescent="0.2">
      <c r="A526"/>
      <c r="B526"/>
      <c r="C526"/>
      <c r="D526"/>
      <c r="E526"/>
      <c r="F526"/>
      <c r="G526"/>
      <c r="H526"/>
      <c r="I526"/>
      <c r="J526"/>
      <c r="K526"/>
      <c r="L526"/>
      <c r="M526"/>
      <c r="N526"/>
      <c r="O526"/>
    </row>
    <row r="527" spans="1:15" x14ac:dyDescent="0.2">
      <c r="A527"/>
      <c r="B527"/>
      <c r="C527"/>
      <c r="D527"/>
      <c r="E527"/>
      <c r="F527"/>
      <c r="G527"/>
      <c r="H527"/>
      <c r="I527"/>
      <c r="J527"/>
      <c r="K527"/>
      <c r="L527"/>
      <c r="M527"/>
      <c r="N527"/>
      <c r="O527"/>
    </row>
    <row r="528" spans="1:15" x14ac:dyDescent="0.2">
      <c r="A528"/>
      <c r="B528"/>
      <c r="C528"/>
      <c r="D528"/>
      <c r="E528"/>
      <c r="F528"/>
      <c r="G528"/>
      <c r="H528"/>
      <c r="I528"/>
      <c r="J528"/>
      <c r="K528"/>
      <c r="L528"/>
      <c r="M528"/>
      <c r="N528"/>
      <c r="O528"/>
    </row>
    <row r="529" spans="1:15" x14ac:dyDescent="0.2">
      <c r="A529"/>
      <c r="B529"/>
      <c r="C529"/>
      <c r="D529"/>
      <c r="E529"/>
      <c r="F529"/>
      <c r="G529"/>
      <c r="H529"/>
      <c r="I529"/>
      <c r="J529"/>
      <c r="K529"/>
      <c r="L529"/>
      <c r="M529"/>
      <c r="N529"/>
      <c r="O529"/>
    </row>
    <row r="530" spans="1:15" x14ac:dyDescent="0.2">
      <c r="A530"/>
      <c r="B530"/>
      <c r="C530"/>
      <c r="D530"/>
      <c r="E530"/>
      <c r="F530"/>
      <c r="G530"/>
      <c r="H530"/>
      <c r="I530"/>
      <c r="J530"/>
      <c r="K530"/>
      <c r="L530"/>
      <c r="M530"/>
      <c r="N530"/>
      <c r="O530"/>
    </row>
    <row r="531" spans="1:15" x14ac:dyDescent="0.2">
      <c r="A531"/>
      <c r="B531"/>
      <c r="C531"/>
      <c r="D531"/>
      <c r="E531"/>
      <c r="F531"/>
      <c r="G531"/>
      <c r="H531"/>
      <c r="I531"/>
      <c r="J531"/>
      <c r="K531"/>
      <c r="L531"/>
      <c r="M531"/>
      <c r="N531"/>
      <c r="O531"/>
    </row>
    <row r="532" spans="1:15" x14ac:dyDescent="0.2">
      <c r="A532"/>
      <c r="B532"/>
      <c r="C532"/>
      <c r="D532"/>
      <c r="E532"/>
      <c r="F532"/>
      <c r="G532"/>
      <c r="H532"/>
      <c r="I532"/>
      <c r="J532"/>
      <c r="K532"/>
      <c r="L532"/>
      <c r="M532"/>
      <c r="N532"/>
      <c r="O532"/>
    </row>
    <row r="533" spans="1:15" x14ac:dyDescent="0.2">
      <c r="A533"/>
      <c r="B533"/>
      <c r="C533"/>
      <c r="D533"/>
      <c r="E533"/>
      <c r="F533"/>
      <c r="G533"/>
      <c r="H533"/>
      <c r="I533"/>
      <c r="J533"/>
      <c r="K533"/>
      <c r="L533"/>
      <c r="M533"/>
      <c r="N533"/>
      <c r="O533"/>
    </row>
    <row r="534" spans="1:15" x14ac:dyDescent="0.2">
      <c r="A534"/>
      <c r="B534"/>
      <c r="C534"/>
      <c r="D534"/>
      <c r="E534"/>
      <c r="F534"/>
      <c r="G534"/>
      <c r="H534"/>
      <c r="I534"/>
      <c r="J534"/>
      <c r="K534"/>
      <c r="L534"/>
      <c r="M534"/>
      <c r="N534"/>
      <c r="O534"/>
    </row>
    <row r="535" spans="1:15" x14ac:dyDescent="0.2">
      <c r="A535"/>
      <c r="B535"/>
      <c r="C535"/>
      <c r="D535"/>
      <c r="E535"/>
      <c r="F535"/>
      <c r="G535"/>
      <c r="H535"/>
      <c r="I535"/>
      <c r="J535"/>
      <c r="K535"/>
      <c r="L535"/>
      <c r="M535"/>
      <c r="N535"/>
      <c r="O535"/>
    </row>
    <row r="536" spans="1:15" x14ac:dyDescent="0.2">
      <c r="A536"/>
      <c r="B536"/>
      <c r="C536"/>
      <c r="D536"/>
      <c r="E536"/>
      <c r="F536"/>
      <c r="G536"/>
      <c r="H536"/>
      <c r="I536"/>
      <c r="J536"/>
      <c r="K536"/>
      <c r="L536"/>
      <c r="M536"/>
      <c r="N536"/>
      <c r="O536"/>
    </row>
    <row r="537" spans="1:15" x14ac:dyDescent="0.2">
      <c r="A537"/>
      <c r="B537"/>
      <c r="C537"/>
      <c r="D537"/>
      <c r="E537"/>
      <c r="F537"/>
      <c r="G537"/>
      <c r="H537"/>
      <c r="I537"/>
      <c r="J537"/>
      <c r="K537"/>
      <c r="L537"/>
      <c r="M537"/>
      <c r="N537"/>
      <c r="O537"/>
    </row>
    <row r="538" spans="1:15" x14ac:dyDescent="0.2">
      <c r="A538"/>
      <c r="B538"/>
      <c r="C538"/>
      <c r="D538"/>
      <c r="E538"/>
      <c r="F538"/>
      <c r="G538"/>
      <c r="H538"/>
      <c r="I538"/>
      <c r="J538"/>
      <c r="K538"/>
      <c r="L538"/>
      <c r="M538"/>
      <c r="N538"/>
      <c r="O538"/>
    </row>
    <row r="539" spans="1:15" x14ac:dyDescent="0.2">
      <c r="A539"/>
      <c r="B539"/>
      <c r="C539"/>
      <c r="D539"/>
      <c r="E539"/>
      <c r="F539"/>
      <c r="G539"/>
      <c r="H539"/>
      <c r="I539"/>
      <c r="J539"/>
      <c r="K539"/>
      <c r="L539"/>
      <c r="M539"/>
      <c r="N539"/>
      <c r="O539"/>
    </row>
    <row r="540" spans="1:15" x14ac:dyDescent="0.2">
      <c r="A540"/>
      <c r="B540"/>
      <c r="C540"/>
      <c r="D540"/>
      <c r="E540"/>
      <c r="F540"/>
      <c r="G540"/>
      <c r="H540"/>
      <c r="I540"/>
      <c r="J540"/>
      <c r="K540"/>
      <c r="L540"/>
      <c r="M540"/>
      <c r="N540"/>
      <c r="O540"/>
    </row>
    <row r="541" spans="1:15" x14ac:dyDescent="0.2">
      <c r="A541"/>
      <c r="B541"/>
      <c r="C541"/>
      <c r="D541"/>
      <c r="E541"/>
      <c r="F541"/>
      <c r="G541"/>
      <c r="H541"/>
      <c r="I541"/>
      <c r="J541"/>
      <c r="K541"/>
      <c r="L541"/>
      <c r="M541"/>
      <c r="N541"/>
      <c r="O541"/>
    </row>
    <row r="542" spans="1:15" x14ac:dyDescent="0.2">
      <c r="A542"/>
      <c r="B542"/>
      <c r="C542"/>
      <c r="D542"/>
      <c r="E542"/>
      <c r="F542"/>
      <c r="G542"/>
      <c r="H542"/>
      <c r="I542"/>
      <c r="J542"/>
      <c r="K542"/>
      <c r="L542"/>
      <c r="M542"/>
      <c r="N542"/>
      <c r="O542"/>
    </row>
    <row r="543" spans="1:15" x14ac:dyDescent="0.2">
      <c r="A543"/>
      <c r="B543"/>
      <c r="C543"/>
      <c r="D543"/>
      <c r="E543"/>
      <c r="F543"/>
      <c r="G543"/>
      <c r="H543"/>
      <c r="I543"/>
      <c r="J543"/>
      <c r="K543"/>
      <c r="L543"/>
      <c r="M543"/>
      <c r="N543"/>
      <c r="O543"/>
    </row>
    <row r="544" spans="1:15" x14ac:dyDescent="0.2">
      <c r="A544"/>
      <c r="B544"/>
      <c r="C544"/>
      <c r="D544"/>
      <c r="E544"/>
      <c r="F544"/>
      <c r="G544"/>
      <c r="H544"/>
      <c r="I544"/>
      <c r="J544"/>
      <c r="K544"/>
      <c r="L544"/>
      <c r="M544"/>
      <c r="N544"/>
      <c r="O544"/>
    </row>
    <row r="545" spans="1:15" x14ac:dyDescent="0.2">
      <c r="A545"/>
      <c r="B545"/>
      <c r="C545"/>
      <c r="D545"/>
      <c r="E545"/>
      <c r="F545"/>
      <c r="G545"/>
      <c r="H545"/>
      <c r="I545"/>
      <c r="J545"/>
      <c r="K545"/>
      <c r="L545"/>
      <c r="M545"/>
      <c r="N545"/>
      <c r="O545"/>
    </row>
    <row r="546" spans="1:15" x14ac:dyDescent="0.2">
      <c r="A546"/>
      <c r="B546"/>
      <c r="C546"/>
      <c r="D546"/>
      <c r="E546"/>
      <c r="F546"/>
      <c r="G546"/>
      <c r="H546"/>
      <c r="I546"/>
      <c r="J546"/>
      <c r="K546"/>
      <c r="L546"/>
      <c r="M546"/>
      <c r="N546"/>
      <c r="O546"/>
    </row>
    <row r="547" spans="1:15" x14ac:dyDescent="0.2">
      <c r="A547"/>
      <c r="B547"/>
      <c r="C547"/>
      <c r="D547"/>
      <c r="E547"/>
      <c r="F547"/>
      <c r="G547"/>
      <c r="H547"/>
      <c r="I547"/>
      <c r="J547"/>
      <c r="K547"/>
      <c r="L547"/>
      <c r="M547"/>
      <c r="N547"/>
      <c r="O547"/>
    </row>
    <row r="548" spans="1:15" x14ac:dyDescent="0.2">
      <c r="A548"/>
      <c r="B548"/>
      <c r="C548"/>
      <c r="D548"/>
      <c r="E548"/>
      <c r="F548"/>
      <c r="G548"/>
      <c r="H548"/>
      <c r="I548"/>
      <c r="J548"/>
      <c r="K548"/>
      <c r="L548"/>
      <c r="M548"/>
      <c r="N548"/>
      <c r="O548"/>
    </row>
    <row r="549" spans="1:15" x14ac:dyDescent="0.2">
      <c r="A549"/>
      <c r="B549"/>
      <c r="C549"/>
      <c r="D549"/>
      <c r="E549"/>
      <c r="F549"/>
      <c r="G549"/>
      <c r="H549"/>
      <c r="I549"/>
      <c r="J549"/>
      <c r="K549"/>
      <c r="L549"/>
      <c r="M549"/>
      <c r="N549"/>
      <c r="O549"/>
    </row>
    <row r="550" spans="1:15" x14ac:dyDescent="0.2">
      <c r="A550"/>
      <c r="B550"/>
      <c r="C550"/>
      <c r="D550"/>
      <c r="E550"/>
      <c r="F550"/>
      <c r="G550"/>
      <c r="H550"/>
      <c r="I550"/>
      <c r="J550"/>
      <c r="K550"/>
      <c r="L550"/>
      <c r="M550"/>
      <c r="N550"/>
      <c r="O550"/>
    </row>
    <row r="551" spans="1:15" x14ac:dyDescent="0.2">
      <c r="A551"/>
      <c r="B551"/>
      <c r="C551"/>
      <c r="D551"/>
      <c r="E551"/>
      <c r="F551"/>
      <c r="G551"/>
      <c r="H551"/>
      <c r="I551"/>
      <c r="J551"/>
      <c r="K551"/>
      <c r="L551"/>
      <c r="M551"/>
      <c r="N551"/>
      <c r="O551"/>
    </row>
    <row r="552" spans="1:15" x14ac:dyDescent="0.2">
      <c r="A552"/>
      <c r="B552"/>
      <c r="C552"/>
      <c r="D552"/>
      <c r="E552"/>
      <c r="F552"/>
      <c r="G552"/>
      <c r="H552"/>
      <c r="I552"/>
      <c r="J552"/>
      <c r="K552"/>
      <c r="L552"/>
      <c r="M552"/>
      <c r="N552"/>
      <c r="O552"/>
    </row>
    <row r="553" spans="1:15" x14ac:dyDescent="0.2">
      <c r="A553"/>
      <c r="B553"/>
      <c r="C553"/>
      <c r="D553"/>
      <c r="E553"/>
      <c r="F553"/>
      <c r="G553"/>
      <c r="H553"/>
      <c r="I553"/>
      <c r="J553"/>
      <c r="K553"/>
      <c r="L553"/>
      <c r="M553"/>
      <c r="N553"/>
      <c r="O553"/>
    </row>
    <row r="554" spans="1:15" x14ac:dyDescent="0.2">
      <c r="A554"/>
      <c r="B554"/>
      <c r="C554"/>
      <c r="D554"/>
      <c r="E554"/>
      <c r="F554"/>
      <c r="G554"/>
      <c r="H554"/>
      <c r="I554"/>
      <c r="J554"/>
      <c r="K554"/>
      <c r="L554"/>
      <c r="M554"/>
      <c r="N554"/>
      <c r="O554"/>
    </row>
    <row r="555" spans="1:15" x14ac:dyDescent="0.2">
      <c r="A555"/>
      <c r="B555"/>
      <c r="C555"/>
      <c r="D555"/>
      <c r="E555"/>
      <c r="F555"/>
      <c r="G555"/>
      <c r="H555"/>
      <c r="I555"/>
      <c r="J555"/>
      <c r="K555"/>
      <c r="L555"/>
      <c r="M555"/>
      <c r="N555"/>
      <c r="O555"/>
    </row>
    <row r="556" spans="1:15" x14ac:dyDescent="0.2">
      <c r="A556"/>
      <c r="B556"/>
      <c r="C556"/>
      <c r="D556"/>
      <c r="E556"/>
      <c r="F556"/>
      <c r="G556"/>
      <c r="H556"/>
      <c r="I556"/>
      <c r="J556"/>
      <c r="K556"/>
      <c r="L556"/>
      <c r="M556"/>
      <c r="N556"/>
      <c r="O556"/>
    </row>
    <row r="557" spans="1:15" x14ac:dyDescent="0.2">
      <c r="A557"/>
      <c r="B557"/>
      <c r="C557"/>
      <c r="D557"/>
      <c r="E557"/>
      <c r="F557"/>
      <c r="G557"/>
      <c r="H557"/>
      <c r="I557"/>
      <c r="J557"/>
      <c r="K557"/>
      <c r="L557"/>
      <c r="M557"/>
      <c r="N557"/>
      <c r="O557"/>
    </row>
    <row r="558" spans="1:15" x14ac:dyDescent="0.2">
      <c r="A558"/>
      <c r="B558"/>
      <c r="C558"/>
      <c r="D558"/>
      <c r="E558"/>
      <c r="F558"/>
      <c r="G558"/>
      <c r="H558"/>
      <c r="I558"/>
      <c r="J558"/>
      <c r="K558"/>
      <c r="L558"/>
      <c r="M558"/>
      <c r="N558"/>
      <c r="O558"/>
    </row>
    <row r="559" spans="1:15" x14ac:dyDescent="0.2">
      <c r="A559"/>
      <c r="B559"/>
      <c r="C559"/>
      <c r="D559"/>
      <c r="E559"/>
      <c r="F559"/>
      <c r="G559"/>
      <c r="H559"/>
      <c r="I559"/>
      <c r="J559"/>
      <c r="K559"/>
      <c r="L559"/>
      <c r="M559"/>
      <c r="N559"/>
      <c r="O559"/>
    </row>
    <row r="560" spans="1:15" x14ac:dyDescent="0.2">
      <c r="A560"/>
      <c r="B560"/>
      <c r="C560"/>
      <c r="D560"/>
      <c r="E560"/>
      <c r="F560"/>
      <c r="G560"/>
      <c r="H560"/>
      <c r="I560"/>
      <c r="J560"/>
      <c r="K560"/>
      <c r="L560"/>
      <c r="M560"/>
      <c r="N560"/>
      <c r="O560"/>
    </row>
    <row r="561" spans="1:15" x14ac:dyDescent="0.2">
      <c r="A561"/>
      <c r="B561"/>
      <c r="C561"/>
      <c r="D561"/>
      <c r="E561"/>
      <c r="F561"/>
      <c r="G561"/>
      <c r="H561"/>
      <c r="I561"/>
      <c r="J561"/>
      <c r="K561"/>
      <c r="L561"/>
      <c r="M561"/>
      <c r="N561"/>
      <c r="O561"/>
    </row>
    <row r="562" spans="1:15" x14ac:dyDescent="0.2">
      <c r="A562"/>
      <c r="B562"/>
      <c r="C562"/>
      <c r="D562"/>
      <c r="E562"/>
      <c r="F562"/>
      <c r="G562"/>
      <c r="H562"/>
      <c r="I562"/>
      <c r="J562"/>
      <c r="K562"/>
      <c r="L562"/>
      <c r="M562"/>
      <c r="N562"/>
      <c r="O562"/>
    </row>
    <row r="563" spans="1:15" x14ac:dyDescent="0.2">
      <c r="A563"/>
      <c r="B563"/>
      <c r="C563"/>
      <c r="D563"/>
      <c r="E563"/>
      <c r="F563"/>
      <c r="G563"/>
      <c r="H563"/>
      <c r="I563"/>
      <c r="J563"/>
      <c r="K563"/>
      <c r="L563"/>
      <c r="M563"/>
      <c r="N563"/>
      <c r="O563"/>
    </row>
    <row r="564" spans="1:15" x14ac:dyDescent="0.2">
      <c r="A564"/>
      <c r="B564"/>
      <c r="C564"/>
      <c r="D564"/>
      <c r="E564"/>
      <c r="F564"/>
      <c r="G564"/>
      <c r="H564"/>
      <c r="I564"/>
      <c r="J564"/>
      <c r="K564"/>
      <c r="L564"/>
      <c r="M564"/>
      <c r="N564"/>
      <c r="O564"/>
    </row>
    <row r="565" spans="1:15" x14ac:dyDescent="0.2">
      <c r="A565"/>
      <c r="B565"/>
      <c r="C565"/>
      <c r="D565"/>
      <c r="E565"/>
      <c r="F565"/>
      <c r="G565"/>
      <c r="H565"/>
      <c r="I565"/>
      <c r="J565"/>
      <c r="K565"/>
      <c r="L565"/>
      <c r="M565"/>
      <c r="N565"/>
      <c r="O565"/>
    </row>
    <row r="566" spans="1:15" x14ac:dyDescent="0.2">
      <c r="A566"/>
      <c r="B566"/>
      <c r="C566"/>
      <c r="D566"/>
      <c r="E566"/>
      <c r="F566"/>
      <c r="G566"/>
      <c r="H566"/>
      <c r="I566"/>
      <c r="J566"/>
      <c r="K566"/>
      <c r="L566"/>
      <c r="M566"/>
      <c r="N566"/>
      <c r="O566"/>
    </row>
    <row r="567" spans="1:15" x14ac:dyDescent="0.2">
      <c r="A567"/>
      <c r="B567"/>
      <c r="C567"/>
      <c r="D567"/>
      <c r="E567"/>
      <c r="F567"/>
      <c r="G567"/>
      <c r="H567"/>
      <c r="I567"/>
      <c r="J567"/>
      <c r="K567"/>
      <c r="L567"/>
      <c r="M567"/>
      <c r="N567"/>
      <c r="O567"/>
    </row>
    <row r="568" spans="1:15" x14ac:dyDescent="0.2">
      <c r="A568"/>
      <c r="B568"/>
      <c r="C568"/>
      <c r="D568"/>
      <c r="E568"/>
      <c r="F568"/>
      <c r="G568"/>
      <c r="H568"/>
      <c r="I568"/>
      <c r="J568"/>
      <c r="K568"/>
      <c r="L568"/>
      <c r="M568"/>
      <c r="N568"/>
      <c r="O568"/>
    </row>
    <row r="569" spans="1:15" x14ac:dyDescent="0.2">
      <c r="A569"/>
      <c r="B569"/>
      <c r="C569"/>
      <c r="D569"/>
      <c r="E569"/>
      <c r="F569"/>
      <c r="G569"/>
      <c r="H569"/>
      <c r="I569"/>
      <c r="J569"/>
      <c r="K569"/>
      <c r="L569"/>
      <c r="M569"/>
      <c r="N569"/>
      <c r="O569"/>
    </row>
    <row r="570" spans="1:15" x14ac:dyDescent="0.2">
      <c r="A570"/>
      <c r="B570"/>
      <c r="C570"/>
      <c r="D570"/>
      <c r="E570"/>
      <c r="F570"/>
      <c r="G570"/>
      <c r="H570"/>
      <c r="I570"/>
      <c r="J570"/>
      <c r="K570"/>
      <c r="L570"/>
      <c r="M570"/>
      <c r="N570"/>
      <c r="O570"/>
    </row>
    <row r="571" spans="1:15" x14ac:dyDescent="0.2">
      <c r="A571"/>
      <c r="B571"/>
      <c r="C571"/>
      <c r="D571"/>
      <c r="E571"/>
      <c r="F571"/>
      <c r="G571"/>
      <c r="H571"/>
      <c r="I571"/>
      <c r="J571"/>
      <c r="K571"/>
      <c r="L571"/>
      <c r="M571"/>
      <c r="N571"/>
      <c r="O571"/>
    </row>
    <row r="572" spans="1:15" x14ac:dyDescent="0.2">
      <c r="A572"/>
      <c r="B572"/>
      <c r="C572"/>
      <c r="D572"/>
      <c r="E572"/>
      <c r="F572"/>
      <c r="G572"/>
      <c r="H572"/>
      <c r="I572"/>
      <c r="J572"/>
      <c r="K572"/>
      <c r="L572"/>
      <c r="M572"/>
      <c r="N572"/>
      <c r="O572"/>
    </row>
    <row r="573" spans="1:15" x14ac:dyDescent="0.2">
      <c r="A573"/>
      <c r="B573"/>
      <c r="C573"/>
      <c r="D573"/>
      <c r="E573"/>
      <c r="F573"/>
      <c r="G573"/>
      <c r="H573"/>
      <c r="I573"/>
      <c r="J573"/>
      <c r="K573"/>
      <c r="L573"/>
      <c r="M573"/>
      <c r="N573"/>
      <c r="O573"/>
    </row>
    <row r="574" spans="1:15" x14ac:dyDescent="0.2">
      <c r="A574"/>
      <c r="B574"/>
      <c r="C574"/>
      <c r="D574"/>
      <c r="E574"/>
      <c r="F574"/>
      <c r="G574"/>
      <c r="H574"/>
      <c r="I574"/>
      <c r="J574"/>
      <c r="K574"/>
      <c r="L574"/>
      <c r="M574"/>
      <c r="N574"/>
      <c r="O574"/>
    </row>
    <row r="575" spans="1:15" x14ac:dyDescent="0.2">
      <c r="A575"/>
      <c r="B575"/>
      <c r="C575"/>
      <c r="D575"/>
      <c r="E575"/>
      <c r="F575"/>
      <c r="G575"/>
      <c r="H575"/>
      <c r="I575"/>
      <c r="J575"/>
      <c r="K575"/>
      <c r="L575"/>
      <c r="M575"/>
      <c r="N575"/>
      <c r="O575"/>
    </row>
    <row r="576" spans="1:15" x14ac:dyDescent="0.2">
      <c r="A576"/>
      <c r="B576"/>
      <c r="C576"/>
      <c r="D576"/>
      <c r="E576"/>
      <c r="F576"/>
      <c r="G576"/>
      <c r="H576"/>
      <c r="I576"/>
      <c r="J576"/>
      <c r="K576"/>
      <c r="L576"/>
      <c r="M576"/>
      <c r="N576"/>
      <c r="O576"/>
    </row>
    <row r="577" spans="1:15" x14ac:dyDescent="0.2">
      <c r="A577"/>
      <c r="B577"/>
      <c r="C577"/>
      <c r="D577"/>
      <c r="E577"/>
      <c r="F577"/>
      <c r="G577"/>
      <c r="H577"/>
      <c r="I577"/>
      <c r="J577"/>
      <c r="K577"/>
      <c r="L577"/>
      <c r="M577"/>
      <c r="N577"/>
      <c r="O577"/>
    </row>
    <row r="578" spans="1:15" x14ac:dyDescent="0.2">
      <c r="A578"/>
      <c r="B578"/>
      <c r="C578"/>
      <c r="D578"/>
      <c r="E578"/>
      <c r="F578"/>
      <c r="G578"/>
      <c r="H578"/>
      <c r="I578"/>
      <c r="J578"/>
      <c r="K578"/>
      <c r="L578"/>
      <c r="M578"/>
      <c r="N578"/>
      <c r="O578"/>
    </row>
    <row r="579" spans="1:15" x14ac:dyDescent="0.2">
      <c r="A579"/>
      <c r="B579"/>
      <c r="C579"/>
      <c r="D579"/>
      <c r="E579"/>
      <c r="F579"/>
      <c r="G579"/>
      <c r="H579"/>
      <c r="I579"/>
      <c r="J579"/>
      <c r="K579"/>
      <c r="L579"/>
      <c r="M579"/>
      <c r="N579"/>
      <c r="O579"/>
    </row>
    <row r="580" spans="1:15" x14ac:dyDescent="0.2">
      <c r="A580"/>
      <c r="B580"/>
      <c r="C580"/>
      <c r="D580"/>
      <c r="E580"/>
      <c r="F580"/>
      <c r="G580"/>
      <c r="H580"/>
      <c r="I580"/>
      <c r="J580"/>
      <c r="K580"/>
      <c r="L580"/>
      <c r="M580"/>
      <c r="N580"/>
      <c r="O580"/>
    </row>
    <row r="581" spans="1:15" x14ac:dyDescent="0.2">
      <c r="A581"/>
      <c r="B581"/>
      <c r="C581"/>
      <c r="D581"/>
      <c r="E581"/>
      <c r="F581"/>
      <c r="G581"/>
      <c r="H581"/>
      <c r="I581"/>
      <c r="J581"/>
      <c r="K581"/>
      <c r="L581"/>
      <c r="M581"/>
      <c r="N581"/>
      <c r="O581"/>
    </row>
    <row r="582" spans="1:15" x14ac:dyDescent="0.2">
      <c r="A582"/>
      <c r="B582"/>
      <c r="C582"/>
      <c r="D582"/>
      <c r="E582"/>
      <c r="F582"/>
      <c r="G582"/>
      <c r="H582"/>
      <c r="I582"/>
      <c r="J582"/>
      <c r="K582"/>
      <c r="L582"/>
      <c r="M582"/>
      <c r="N582"/>
      <c r="O582"/>
    </row>
    <row r="583" spans="1:15" x14ac:dyDescent="0.2">
      <c r="A583"/>
      <c r="B583"/>
      <c r="C583"/>
      <c r="D583"/>
      <c r="E583"/>
      <c r="F583"/>
      <c r="G583"/>
      <c r="H583"/>
      <c r="I583"/>
      <c r="J583"/>
      <c r="K583"/>
      <c r="L583"/>
      <c r="M583"/>
      <c r="N583"/>
      <c r="O583"/>
    </row>
    <row r="584" spans="1:15" x14ac:dyDescent="0.2">
      <c r="A584"/>
      <c r="B584"/>
      <c r="C584"/>
      <c r="D584"/>
      <c r="E584"/>
      <c r="F584"/>
      <c r="G584"/>
      <c r="H584"/>
      <c r="I584"/>
      <c r="J584"/>
      <c r="K584"/>
      <c r="L584"/>
      <c r="M584"/>
      <c r="N584"/>
      <c r="O584"/>
    </row>
    <row r="585" spans="1:15" x14ac:dyDescent="0.2">
      <c r="A585"/>
      <c r="B585"/>
      <c r="C585"/>
      <c r="D585"/>
      <c r="E585"/>
      <c r="F585"/>
      <c r="G585"/>
      <c r="H585"/>
      <c r="I585"/>
      <c r="J585"/>
      <c r="K585"/>
      <c r="L585"/>
      <c r="M585"/>
      <c r="N585"/>
      <c r="O585"/>
    </row>
    <row r="586" spans="1:15" x14ac:dyDescent="0.2">
      <c r="A586"/>
      <c r="B586"/>
      <c r="C586"/>
      <c r="D586"/>
      <c r="E586"/>
      <c r="F586"/>
      <c r="G586"/>
      <c r="H586"/>
      <c r="I586"/>
      <c r="J586"/>
      <c r="K586"/>
      <c r="L586"/>
      <c r="M586"/>
      <c r="N586"/>
      <c r="O586"/>
    </row>
    <row r="587" spans="1:15" x14ac:dyDescent="0.2">
      <c r="A587"/>
      <c r="B587"/>
      <c r="C587"/>
      <c r="D587"/>
      <c r="E587"/>
      <c r="F587"/>
      <c r="G587"/>
      <c r="H587"/>
      <c r="I587"/>
      <c r="J587"/>
      <c r="K587"/>
      <c r="L587"/>
      <c r="M587"/>
      <c r="N587"/>
      <c r="O587"/>
    </row>
    <row r="588" spans="1:15" x14ac:dyDescent="0.2">
      <c r="A588"/>
      <c r="B588"/>
      <c r="C588"/>
      <c r="D588"/>
      <c r="E588"/>
      <c r="F588"/>
      <c r="G588"/>
      <c r="H588"/>
      <c r="I588"/>
      <c r="J588"/>
      <c r="K588"/>
      <c r="L588"/>
      <c r="M588"/>
      <c r="N588"/>
      <c r="O588"/>
    </row>
    <row r="589" spans="1:15" x14ac:dyDescent="0.2">
      <c r="A589"/>
      <c r="B589"/>
      <c r="C589"/>
      <c r="D589"/>
      <c r="E589"/>
      <c r="F589"/>
      <c r="G589"/>
      <c r="H589"/>
      <c r="I589"/>
      <c r="J589"/>
      <c r="K589"/>
      <c r="L589"/>
      <c r="M589"/>
      <c r="N589"/>
      <c r="O589"/>
    </row>
    <row r="590" spans="1:15" x14ac:dyDescent="0.2">
      <c r="A590"/>
      <c r="B590"/>
      <c r="C590"/>
      <c r="D590"/>
      <c r="E590"/>
      <c r="F590"/>
      <c r="G590"/>
      <c r="H590"/>
      <c r="I590"/>
      <c r="J590"/>
      <c r="K590"/>
      <c r="L590"/>
      <c r="M590"/>
      <c r="N590"/>
      <c r="O590"/>
    </row>
    <row r="591" spans="1:15" x14ac:dyDescent="0.2">
      <c r="A591"/>
      <c r="B591"/>
      <c r="C591"/>
      <c r="D591"/>
      <c r="E591"/>
      <c r="F591"/>
      <c r="G591"/>
      <c r="H591"/>
      <c r="I591"/>
      <c r="J591"/>
      <c r="K591"/>
      <c r="L591"/>
      <c r="M591"/>
      <c r="N591"/>
      <c r="O591"/>
    </row>
    <row r="592" spans="1:15" x14ac:dyDescent="0.2">
      <c r="A592"/>
      <c r="B592"/>
      <c r="C592"/>
      <c r="D592"/>
      <c r="E592"/>
      <c r="F592"/>
      <c r="G592"/>
      <c r="H592"/>
      <c r="I592"/>
      <c r="J592"/>
      <c r="K592"/>
      <c r="L592"/>
      <c r="M592"/>
      <c r="N592"/>
      <c r="O592"/>
    </row>
    <row r="593" spans="1:15" x14ac:dyDescent="0.2">
      <c r="A593"/>
      <c r="B593"/>
      <c r="C593"/>
      <c r="D593"/>
      <c r="E593"/>
      <c r="F593"/>
      <c r="G593"/>
      <c r="H593"/>
      <c r="I593"/>
      <c r="J593"/>
      <c r="K593"/>
      <c r="L593"/>
      <c r="M593"/>
      <c r="N593"/>
      <c r="O593"/>
    </row>
    <row r="594" spans="1:15" x14ac:dyDescent="0.2">
      <c r="A594"/>
      <c r="B594"/>
      <c r="C594"/>
      <c r="D594"/>
      <c r="E594"/>
      <c r="F594"/>
      <c r="G594"/>
      <c r="H594"/>
      <c r="I594"/>
      <c r="J594"/>
      <c r="K594"/>
      <c r="L594"/>
      <c r="M594"/>
      <c r="N594"/>
      <c r="O594"/>
    </row>
    <row r="595" spans="1:15" x14ac:dyDescent="0.2">
      <c r="A595"/>
      <c r="B595"/>
      <c r="C595"/>
      <c r="D595"/>
      <c r="E595"/>
      <c r="F595"/>
      <c r="G595"/>
      <c r="H595"/>
      <c r="I595"/>
      <c r="J595"/>
      <c r="K595"/>
      <c r="L595"/>
      <c r="M595"/>
      <c r="N595"/>
      <c r="O595"/>
    </row>
    <row r="596" spans="1:15" x14ac:dyDescent="0.2">
      <c r="A596"/>
      <c r="B596"/>
      <c r="C596"/>
      <c r="D596"/>
      <c r="E596"/>
      <c r="F596"/>
      <c r="G596"/>
      <c r="H596"/>
      <c r="I596"/>
      <c r="J596"/>
      <c r="K596"/>
      <c r="L596"/>
      <c r="M596"/>
      <c r="N596"/>
      <c r="O596"/>
    </row>
    <row r="597" spans="1:15" x14ac:dyDescent="0.2">
      <c r="A597"/>
      <c r="B597"/>
      <c r="C597"/>
      <c r="D597"/>
      <c r="E597"/>
      <c r="F597"/>
      <c r="G597"/>
      <c r="H597"/>
      <c r="I597"/>
      <c r="J597"/>
      <c r="K597"/>
      <c r="L597"/>
      <c r="M597"/>
      <c r="N597"/>
      <c r="O597"/>
    </row>
    <row r="598" spans="1:15" x14ac:dyDescent="0.2">
      <c r="A598"/>
      <c r="B598"/>
      <c r="C598"/>
      <c r="D598"/>
      <c r="E598"/>
      <c r="F598"/>
      <c r="G598"/>
      <c r="H598"/>
      <c r="I598"/>
      <c r="J598"/>
      <c r="K598"/>
      <c r="L598"/>
      <c r="M598"/>
      <c r="N598"/>
      <c r="O598"/>
    </row>
    <row r="599" spans="1:15" x14ac:dyDescent="0.2">
      <c r="A599"/>
      <c r="B599"/>
      <c r="C599"/>
      <c r="D599"/>
      <c r="E599"/>
      <c r="F599"/>
      <c r="G599"/>
      <c r="H599"/>
      <c r="I599"/>
      <c r="J599"/>
      <c r="K599"/>
      <c r="L599"/>
      <c r="M599"/>
      <c r="N599"/>
      <c r="O599"/>
    </row>
    <row r="600" spans="1:15" x14ac:dyDescent="0.2">
      <c r="A600"/>
      <c r="B600"/>
      <c r="C600"/>
      <c r="D600"/>
      <c r="E600"/>
      <c r="F600"/>
      <c r="G600"/>
      <c r="H600"/>
      <c r="I600"/>
      <c r="J600"/>
      <c r="K600"/>
      <c r="L600"/>
      <c r="M600"/>
      <c r="N600"/>
      <c r="O600"/>
    </row>
    <row r="601" spans="1:15" x14ac:dyDescent="0.2">
      <c r="A601"/>
      <c r="B601"/>
      <c r="C601"/>
      <c r="D601"/>
      <c r="E601"/>
      <c r="F601"/>
      <c r="G601"/>
      <c r="H601"/>
      <c r="I601"/>
      <c r="J601"/>
      <c r="K601"/>
      <c r="L601"/>
      <c r="M601"/>
      <c r="N601"/>
      <c r="O601"/>
    </row>
    <row r="602" spans="1:15" x14ac:dyDescent="0.2">
      <c r="A602"/>
      <c r="B602"/>
      <c r="C602"/>
      <c r="D602"/>
      <c r="E602"/>
      <c r="F602"/>
      <c r="G602"/>
      <c r="H602"/>
      <c r="I602"/>
      <c r="J602"/>
      <c r="K602"/>
      <c r="L602"/>
      <c r="M602"/>
      <c r="N602"/>
      <c r="O602"/>
    </row>
    <row r="603" spans="1:15" x14ac:dyDescent="0.2">
      <c r="A603"/>
      <c r="B603"/>
      <c r="C603"/>
      <c r="D603"/>
      <c r="E603"/>
      <c r="F603"/>
      <c r="G603"/>
      <c r="H603"/>
      <c r="I603"/>
      <c r="J603"/>
      <c r="K603"/>
      <c r="L603"/>
      <c r="M603"/>
      <c r="N603"/>
      <c r="O603"/>
    </row>
    <row r="604" spans="1:15" x14ac:dyDescent="0.2">
      <c r="A604"/>
      <c r="B604"/>
      <c r="C604"/>
      <c r="D604"/>
      <c r="E604"/>
      <c r="F604"/>
      <c r="G604"/>
      <c r="H604"/>
      <c r="I604"/>
      <c r="J604"/>
      <c r="K604"/>
      <c r="L604"/>
      <c r="M604"/>
      <c r="N604"/>
      <c r="O604"/>
    </row>
    <row r="605" spans="1:15" x14ac:dyDescent="0.2">
      <c r="A605"/>
      <c r="B605"/>
      <c r="C605"/>
      <c r="D605"/>
      <c r="E605"/>
      <c r="F605"/>
      <c r="G605"/>
      <c r="H605"/>
      <c r="I605"/>
      <c r="J605"/>
      <c r="K605"/>
      <c r="L605"/>
      <c r="M605"/>
      <c r="N605"/>
      <c r="O605"/>
    </row>
    <row r="606" spans="1:15" x14ac:dyDescent="0.2">
      <c r="A606"/>
      <c r="B606"/>
      <c r="C606"/>
      <c r="D606"/>
      <c r="E606"/>
      <c r="F606"/>
      <c r="G606"/>
      <c r="H606"/>
      <c r="I606"/>
      <c r="J606"/>
      <c r="K606"/>
      <c r="L606"/>
      <c r="M606"/>
      <c r="N606"/>
      <c r="O606"/>
    </row>
    <row r="607" spans="1:15" x14ac:dyDescent="0.2">
      <c r="A607"/>
      <c r="B607"/>
      <c r="C607"/>
      <c r="D607"/>
      <c r="E607"/>
      <c r="F607"/>
      <c r="G607"/>
      <c r="H607"/>
      <c r="I607"/>
      <c r="J607"/>
      <c r="K607"/>
      <c r="L607"/>
      <c r="M607"/>
      <c r="N607"/>
      <c r="O607"/>
    </row>
    <row r="608" spans="1:15" x14ac:dyDescent="0.2">
      <c r="A608"/>
      <c r="B608"/>
      <c r="C608"/>
      <c r="D608"/>
      <c r="E608"/>
      <c r="F608"/>
      <c r="G608"/>
      <c r="H608"/>
      <c r="I608"/>
      <c r="J608"/>
      <c r="K608"/>
      <c r="L608"/>
      <c r="M608"/>
      <c r="N608"/>
      <c r="O608"/>
    </row>
    <row r="609" spans="1:15" x14ac:dyDescent="0.2">
      <c r="A609"/>
      <c r="B609"/>
      <c r="C609"/>
      <c r="D609"/>
      <c r="E609"/>
      <c r="F609"/>
      <c r="G609"/>
      <c r="H609"/>
      <c r="I609"/>
      <c r="J609"/>
      <c r="K609"/>
      <c r="L609"/>
      <c r="M609"/>
      <c r="N609"/>
      <c r="O609"/>
    </row>
    <row r="610" spans="1:15" x14ac:dyDescent="0.2">
      <c r="A610"/>
      <c r="B610"/>
      <c r="C610"/>
      <c r="D610"/>
      <c r="E610"/>
      <c r="F610"/>
      <c r="G610"/>
      <c r="H610"/>
      <c r="I610"/>
      <c r="J610"/>
      <c r="K610"/>
      <c r="L610"/>
      <c r="M610"/>
      <c r="N610"/>
      <c r="O610"/>
    </row>
    <row r="611" spans="1:15" x14ac:dyDescent="0.2">
      <c r="A611"/>
      <c r="B611"/>
      <c r="C611"/>
      <c r="D611"/>
      <c r="E611"/>
      <c r="F611"/>
      <c r="G611"/>
      <c r="H611"/>
      <c r="I611"/>
      <c r="J611"/>
      <c r="K611"/>
      <c r="L611"/>
      <c r="M611"/>
      <c r="N611"/>
      <c r="O611"/>
    </row>
    <row r="612" spans="1:15" x14ac:dyDescent="0.2">
      <c r="A612"/>
      <c r="B612"/>
      <c r="C612"/>
      <c r="D612"/>
      <c r="E612"/>
      <c r="F612"/>
      <c r="G612"/>
      <c r="H612"/>
      <c r="I612"/>
      <c r="J612"/>
      <c r="K612"/>
      <c r="L612"/>
      <c r="M612"/>
      <c r="N612"/>
      <c r="O612"/>
    </row>
    <row r="613" spans="1:15" x14ac:dyDescent="0.2">
      <c r="A613"/>
      <c r="B613"/>
      <c r="C613"/>
      <c r="D613"/>
      <c r="E613"/>
      <c r="F613"/>
      <c r="G613"/>
      <c r="H613"/>
      <c r="I613"/>
      <c r="J613"/>
      <c r="K613"/>
      <c r="L613"/>
      <c r="M613"/>
      <c r="N613"/>
      <c r="O613"/>
    </row>
    <row r="614" spans="1:15" x14ac:dyDescent="0.2">
      <c r="A614"/>
      <c r="B614"/>
      <c r="C614"/>
      <c r="D614"/>
      <c r="E614"/>
      <c r="F614"/>
      <c r="G614"/>
      <c r="H614"/>
      <c r="I614"/>
      <c r="J614"/>
      <c r="K614"/>
      <c r="L614"/>
      <c r="M614"/>
      <c r="N614"/>
      <c r="O614"/>
    </row>
    <row r="615" spans="1:15" x14ac:dyDescent="0.2">
      <c r="A615"/>
      <c r="B615"/>
      <c r="C615"/>
      <c r="D615"/>
      <c r="E615"/>
      <c r="F615"/>
      <c r="G615"/>
      <c r="H615"/>
      <c r="I615"/>
      <c r="J615"/>
      <c r="K615"/>
      <c r="L615"/>
      <c r="M615"/>
      <c r="N615"/>
      <c r="O615"/>
    </row>
    <row r="616" spans="1:15" x14ac:dyDescent="0.2">
      <c r="A616"/>
      <c r="B616"/>
      <c r="C616"/>
      <c r="D616"/>
      <c r="E616"/>
      <c r="F616"/>
      <c r="G616"/>
      <c r="H616"/>
      <c r="I616"/>
      <c r="J616"/>
      <c r="K616"/>
      <c r="L616"/>
      <c r="M616"/>
      <c r="N616"/>
      <c r="O616"/>
    </row>
    <row r="617" spans="1:15" x14ac:dyDescent="0.2">
      <c r="A617"/>
      <c r="B617"/>
      <c r="C617"/>
      <c r="D617"/>
      <c r="E617"/>
      <c r="F617"/>
      <c r="G617"/>
      <c r="H617"/>
      <c r="I617"/>
      <c r="J617"/>
      <c r="K617"/>
      <c r="L617"/>
      <c r="M617"/>
      <c r="N617"/>
      <c r="O617"/>
    </row>
    <row r="618" spans="1:15" x14ac:dyDescent="0.2">
      <c r="A618"/>
      <c r="B618"/>
      <c r="C618"/>
      <c r="D618"/>
      <c r="E618"/>
      <c r="F618"/>
      <c r="G618"/>
      <c r="H618"/>
      <c r="I618"/>
      <c r="J618"/>
      <c r="K618"/>
      <c r="L618"/>
      <c r="M618"/>
      <c r="N618"/>
      <c r="O618"/>
    </row>
    <row r="619" spans="1:15" x14ac:dyDescent="0.2">
      <c r="A619"/>
      <c r="B619"/>
      <c r="C619"/>
      <c r="D619"/>
      <c r="E619"/>
      <c r="F619"/>
      <c r="G619"/>
      <c r="H619"/>
      <c r="I619"/>
      <c r="J619"/>
      <c r="K619"/>
      <c r="L619"/>
      <c r="M619"/>
      <c r="N619"/>
      <c r="O619"/>
    </row>
    <row r="620" spans="1:15" x14ac:dyDescent="0.2">
      <c r="A620"/>
      <c r="B620"/>
      <c r="C620"/>
      <c r="D620"/>
      <c r="E620"/>
      <c r="F620"/>
      <c r="G620"/>
      <c r="H620"/>
      <c r="I620"/>
      <c r="J620"/>
      <c r="K620"/>
      <c r="L620"/>
      <c r="M620"/>
      <c r="N620"/>
      <c r="O620"/>
    </row>
    <row r="621" spans="1:15" x14ac:dyDescent="0.2">
      <c r="A621"/>
      <c r="B621"/>
      <c r="C621"/>
      <c r="D621"/>
      <c r="E621"/>
      <c r="F621"/>
      <c r="G621"/>
      <c r="H621"/>
      <c r="I621"/>
      <c r="J621"/>
      <c r="K621"/>
      <c r="L621"/>
      <c r="M621"/>
      <c r="N621"/>
      <c r="O621"/>
    </row>
    <row r="622" spans="1:15" x14ac:dyDescent="0.2">
      <c r="A622"/>
      <c r="B622"/>
      <c r="C622"/>
      <c r="D622"/>
      <c r="E622"/>
      <c r="F622"/>
      <c r="G622"/>
      <c r="H622"/>
      <c r="I622"/>
      <c r="J622"/>
      <c r="K622"/>
      <c r="L622"/>
      <c r="M622"/>
      <c r="N622"/>
      <c r="O622"/>
    </row>
    <row r="623" spans="1:15" x14ac:dyDescent="0.2">
      <c r="A623"/>
      <c r="B623"/>
      <c r="C623"/>
      <c r="D623"/>
      <c r="E623"/>
      <c r="F623"/>
      <c r="G623"/>
      <c r="H623"/>
      <c r="I623"/>
      <c r="J623"/>
      <c r="K623"/>
      <c r="L623"/>
      <c r="M623"/>
      <c r="N623"/>
      <c r="O623"/>
    </row>
    <row r="624" spans="1:15" x14ac:dyDescent="0.2">
      <c r="A624"/>
      <c r="B624"/>
      <c r="C624"/>
      <c r="D624"/>
      <c r="E624"/>
      <c r="F624"/>
      <c r="G624"/>
      <c r="H624"/>
      <c r="I624"/>
      <c r="J624"/>
      <c r="K624"/>
      <c r="L624"/>
      <c r="M624"/>
      <c r="N624"/>
      <c r="O624"/>
    </row>
    <row r="625" spans="1:15" x14ac:dyDescent="0.2">
      <c r="A625"/>
      <c r="B625"/>
      <c r="C625"/>
      <c r="D625"/>
      <c r="E625"/>
      <c r="F625"/>
      <c r="G625"/>
      <c r="H625"/>
      <c r="I625"/>
      <c r="J625"/>
      <c r="K625"/>
      <c r="L625"/>
      <c r="M625"/>
      <c r="N625"/>
      <c r="O625"/>
    </row>
    <row r="626" spans="1:15" x14ac:dyDescent="0.2">
      <c r="A626"/>
      <c r="B626"/>
      <c r="C626"/>
      <c r="D626"/>
      <c r="E626"/>
      <c r="F626"/>
      <c r="G626"/>
      <c r="H626"/>
      <c r="I626"/>
      <c r="J626"/>
      <c r="K626"/>
      <c r="L626"/>
      <c r="M626"/>
      <c r="N626"/>
      <c r="O626"/>
    </row>
    <row r="627" spans="1:15" x14ac:dyDescent="0.2">
      <c r="A627"/>
      <c r="B627"/>
      <c r="C627"/>
      <c r="D627"/>
      <c r="E627"/>
      <c r="F627"/>
      <c r="G627"/>
      <c r="H627"/>
      <c r="I627"/>
      <c r="J627"/>
      <c r="K627"/>
      <c r="L627"/>
      <c r="M627"/>
      <c r="N627"/>
      <c r="O627"/>
    </row>
    <row r="628" spans="1:15" x14ac:dyDescent="0.2">
      <c r="A628"/>
      <c r="B628"/>
      <c r="C628"/>
      <c r="D628"/>
      <c r="E628"/>
      <c r="F628"/>
      <c r="G628"/>
      <c r="H628"/>
      <c r="I628"/>
      <c r="J628"/>
      <c r="K628"/>
      <c r="L628"/>
      <c r="M628"/>
      <c r="N628"/>
      <c r="O628"/>
    </row>
    <row r="629" spans="1:15" x14ac:dyDescent="0.2">
      <c r="A629"/>
      <c r="B629"/>
      <c r="C629"/>
      <c r="D629"/>
      <c r="E629"/>
      <c r="F629"/>
      <c r="G629"/>
      <c r="H629"/>
      <c r="I629"/>
      <c r="J629"/>
      <c r="K629"/>
      <c r="L629"/>
      <c r="M629"/>
      <c r="N629"/>
      <c r="O629"/>
    </row>
    <row r="630" spans="1:15" x14ac:dyDescent="0.2">
      <c r="A630"/>
      <c r="B630"/>
      <c r="C630"/>
      <c r="D630"/>
      <c r="E630"/>
      <c r="F630"/>
      <c r="G630"/>
      <c r="H630"/>
      <c r="I630"/>
      <c r="J630"/>
      <c r="K630"/>
      <c r="L630"/>
      <c r="M630"/>
      <c r="N630"/>
      <c r="O630"/>
    </row>
    <row r="631" spans="1:15" x14ac:dyDescent="0.2">
      <c r="A631"/>
      <c r="B631"/>
      <c r="C631"/>
      <c r="D631"/>
      <c r="E631"/>
      <c r="F631"/>
      <c r="G631"/>
      <c r="H631"/>
      <c r="I631"/>
      <c r="J631"/>
      <c r="K631"/>
      <c r="L631"/>
      <c r="M631"/>
      <c r="N631"/>
      <c r="O631"/>
    </row>
    <row r="632" spans="1:15" x14ac:dyDescent="0.2">
      <c r="A632"/>
      <c r="B632"/>
      <c r="C632"/>
      <c r="D632"/>
      <c r="E632"/>
      <c r="F632"/>
      <c r="G632"/>
      <c r="H632"/>
      <c r="I632"/>
      <c r="J632"/>
      <c r="K632"/>
      <c r="L632"/>
      <c r="M632"/>
      <c r="N632"/>
      <c r="O632"/>
    </row>
    <row r="633" spans="1:15" x14ac:dyDescent="0.2">
      <c r="A633"/>
      <c r="B633"/>
      <c r="C633"/>
      <c r="D633"/>
      <c r="E633"/>
      <c r="F633"/>
      <c r="G633"/>
      <c r="H633"/>
      <c r="I633"/>
      <c r="J633"/>
      <c r="K633"/>
      <c r="L633"/>
      <c r="M633"/>
      <c r="N633"/>
      <c r="O633"/>
    </row>
    <row r="634" spans="1:15" x14ac:dyDescent="0.2">
      <c r="A634"/>
      <c r="B634"/>
      <c r="C634"/>
      <c r="D634"/>
      <c r="E634"/>
      <c r="F634"/>
      <c r="G634"/>
      <c r="H634"/>
      <c r="I634"/>
      <c r="J634"/>
      <c r="K634"/>
      <c r="L634"/>
      <c r="M634"/>
      <c r="N634"/>
      <c r="O634"/>
    </row>
    <row r="635" spans="1:15" x14ac:dyDescent="0.2">
      <c r="A635"/>
      <c r="B635"/>
      <c r="C635"/>
      <c r="D635"/>
      <c r="E635"/>
      <c r="F635"/>
      <c r="G635"/>
      <c r="H635"/>
      <c r="I635"/>
      <c r="J635"/>
      <c r="K635"/>
      <c r="L635"/>
      <c r="M635"/>
      <c r="N635"/>
      <c r="O635"/>
    </row>
    <row r="636" spans="1:15" x14ac:dyDescent="0.2">
      <c r="A636"/>
      <c r="B636"/>
      <c r="C636"/>
      <c r="D636"/>
      <c r="E636"/>
      <c r="F636"/>
      <c r="G636"/>
      <c r="H636"/>
      <c r="I636"/>
      <c r="J636"/>
      <c r="K636"/>
      <c r="L636"/>
      <c r="M636"/>
      <c r="N636"/>
      <c r="O636"/>
    </row>
    <row r="637" spans="1:15" x14ac:dyDescent="0.2">
      <c r="A637"/>
      <c r="B637"/>
      <c r="C637"/>
      <c r="D637"/>
      <c r="E637"/>
      <c r="F637"/>
      <c r="G637"/>
      <c r="H637"/>
      <c r="I637"/>
      <c r="J637"/>
      <c r="K637"/>
      <c r="L637"/>
      <c r="M637"/>
      <c r="N637"/>
      <c r="O637"/>
    </row>
    <row r="638" spans="1:15" x14ac:dyDescent="0.2">
      <c r="A638"/>
      <c r="B638"/>
      <c r="C638"/>
      <c r="D638"/>
      <c r="E638"/>
      <c r="F638"/>
      <c r="G638"/>
      <c r="H638"/>
      <c r="I638"/>
      <c r="J638"/>
      <c r="K638"/>
      <c r="L638"/>
      <c r="M638"/>
      <c r="N638"/>
      <c r="O638"/>
    </row>
    <row r="639" spans="1:15" x14ac:dyDescent="0.2">
      <c r="A639"/>
      <c r="B639"/>
      <c r="C639"/>
      <c r="D639"/>
      <c r="E639"/>
      <c r="F639"/>
      <c r="G639"/>
      <c r="H639"/>
      <c r="I639"/>
      <c r="J639"/>
      <c r="K639"/>
      <c r="L639"/>
      <c r="M639"/>
      <c r="N639"/>
      <c r="O639"/>
    </row>
    <row r="640" spans="1:15" x14ac:dyDescent="0.2">
      <c r="A640"/>
      <c r="B640"/>
      <c r="C640"/>
      <c r="D640"/>
      <c r="E640"/>
      <c r="F640"/>
      <c r="G640"/>
      <c r="H640"/>
      <c r="I640"/>
      <c r="J640"/>
      <c r="K640"/>
      <c r="L640"/>
      <c r="M640"/>
      <c r="N640"/>
      <c r="O640"/>
    </row>
    <row r="641" spans="1:15" x14ac:dyDescent="0.2">
      <c r="A641"/>
      <c r="B641"/>
      <c r="C641"/>
      <c r="D641"/>
      <c r="E641"/>
      <c r="F641"/>
      <c r="G641"/>
      <c r="H641"/>
      <c r="I641"/>
      <c r="J641"/>
      <c r="K641"/>
      <c r="L641"/>
      <c r="M641"/>
      <c r="N641"/>
      <c r="O641"/>
    </row>
    <row r="642" spans="1:15" x14ac:dyDescent="0.2">
      <c r="A642"/>
      <c r="B642"/>
      <c r="C642"/>
      <c r="D642"/>
      <c r="E642"/>
      <c r="F642"/>
      <c r="G642"/>
      <c r="H642"/>
      <c r="I642"/>
      <c r="J642"/>
      <c r="K642"/>
      <c r="L642"/>
      <c r="M642"/>
      <c r="N642"/>
      <c r="O642"/>
    </row>
    <row r="643" spans="1:15" x14ac:dyDescent="0.2">
      <c r="A643"/>
      <c r="B643"/>
      <c r="C643"/>
      <c r="D643"/>
      <c r="E643"/>
      <c r="F643"/>
      <c r="G643"/>
      <c r="H643"/>
      <c r="I643"/>
      <c r="J643"/>
      <c r="K643"/>
      <c r="L643"/>
      <c r="M643"/>
      <c r="N643"/>
      <c r="O643"/>
    </row>
    <row r="644" spans="1:15" x14ac:dyDescent="0.2">
      <c r="A644"/>
      <c r="B644"/>
      <c r="C644"/>
      <c r="D644"/>
      <c r="E644"/>
      <c r="F644"/>
      <c r="G644"/>
      <c r="H644"/>
      <c r="I644"/>
      <c r="J644"/>
      <c r="K644"/>
      <c r="L644"/>
      <c r="M644"/>
      <c r="N644"/>
      <c r="O644"/>
    </row>
    <row r="645" spans="1:15" x14ac:dyDescent="0.2">
      <c r="A645"/>
      <c r="B645"/>
      <c r="C645"/>
      <c r="D645"/>
      <c r="E645"/>
      <c r="F645"/>
      <c r="G645"/>
      <c r="H645"/>
      <c r="I645"/>
      <c r="J645"/>
      <c r="K645"/>
      <c r="L645"/>
      <c r="M645"/>
      <c r="N645"/>
      <c r="O645"/>
    </row>
    <row r="646" spans="1:15" x14ac:dyDescent="0.2">
      <c r="A646"/>
      <c r="B646"/>
      <c r="C646"/>
      <c r="D646"/>
      <c r="E646"/>
      <c r="F646"/>
      <c r="G646"/>
      <c r="H646"/>
      <c r="I646"/>
      <c r="J646"/>
      <c r="K646"/>
      <c r="L646"/>
      <c r="M646"/>
      <c r="N646"/>
      <c r="O646"/>
    </row>
    <row r="647" spans="1:15" x14ac:dyDescent="0.2">
      <c r="A647"/>
      <c r="B647"/>
      <c r="C647"/>
      <c r="D647"/>
      <c r="E647"/>
      <c r="F647"/>
      <c r="G647"/>
      <c r="H647"/>
      <c r="I647"/>
      <c r="J647"/>
      <c r="K647"/>
      <c r="L647"/>
      <c r="M647"/>
      <c r="N647"/>
      <c r="O647"/>
    </row>
    <row r="648" spans="1:15" x14ac:dyDescent="0.2">
      <c r="A648"/>
      <c r="B648"/>
      <c r="C648"/>
      <c r="D648"/>
      <c r="E648"/>
      <c r="F648"/>
      <c r="G648"/>
      <c r="H648"/>
      <c r="I648"/>
      <c r="J648"/>
      <c r="K648"/>
      <c r="L648"/>
      <c r="M648"/>
      <c r="N648"/>
      <c r="O648"/>
    </row>
    <row r="649" spans="1:15" x14ac:dyDescent="0.2">
      <c r="A649"/>
      <c r="B649"/>
      <c r="C649"/>
      <c r="D649"/>
      <c r="E649"/>
      <c r="F649"/>
      <c r="G649"/>
      <c r="H649"/>
      <c r="I649"/>
      <c r="J649"/>
      <c r="K649"/>
      <c r="L649"/>
      <c r="M649"/>
      <c r="N649"/>
      <c r="O649"/>
    </row>
    <row r="650" spans="1:15" x14ac:dyDescent="0.2">
      <c r="A650"/>
      <c r="B650"/>
      <c r="C650"/>
      <c r="D650"/>
      <c r="E650"/>
      <c r="F650"/>
      <c r="G650"/>
      <c r="H650"/>
      <c r="I650"/>
      <c r="J650"/>
      <c r="K650"/>
      <c r="L650"/>
      <c r="M650"/>
      <c r="N650"/>
      <c r="O650"/>
    </row>
    <row r="651" spans="1:15" x14ac:dyDescent="0.2">
      <c r="A651"/>
      <c r="B651"/>
      <c r="C651"/>
      <c r="D651"/>
      <c r="E651"/>
      <c r="F651"/>
      <c r="G651"/>
      <c r="H651"/>
      <c r="I651"/>
      <c r="J651"/>
      <c r="K651"/>
      <c r="L651"/>
      <c r="M651"/>
      <c r="N651"/>
      <c r="O651"/>
    </row>
    <row r="652" spans="1:15" x14ac:dyDescent="0.2">
      <c r="A652"/>
      <c r="B652"/>
      <c r="C652"/>
      <c r="D652"/>
      <c r="E652"/>
      <c r="F652"/>
      <c r="G652"/>
      <c r="H652"/>
      <c r="I652"/>
      <c r="J652"/>
      <c r="K652"/>
      <c r="L652"/>
      <c r="M652"/>
      <c r="N652"/>
      <c r="O652"/>
    </row>
    <row r="653" spans="1:15" x14ac:dyDescent="0.2">
      <c r="A653"/>
      <c r="B653"/>
      <c r="C653"/>
      <c r="D653"/>
      <c r="E653"/>
      <c r="F653"/>
      <c r="G653"/>
      <c r="H653"/>
      <c r="I653"/>
      <c r="J653"/>
      <c r="K653"/>
      <c r="L653"/>
      <c r="M653"/>
      <c r="N653"/>
      <c r="O653"/>
    </row>
    <row r="654" spans="1:15" x14ac:dyDescent="0.2">
      <c r="A654"/>
      <c r="B654"/>
      <c r="C654"/>
      <c r="D654"/>
      <c r="E654"/>
      <c r="F654"/>
      <c r="G654"/>
      <c r="H654"/>
      <c r="I654"/>
      <c r="J654"/>
      <c r="K654"/>
      <c r="L654"/>
      <c r="M654"/>
      <c r="N654"/>
      <c r="O654"/>
    </row>
    <row r="655" spans="1:15" x14ac:dyDescent="0.2">
      <c r="A655"/>
      <c r="B655"/>
      <c r="C655"/>
      <c r="D655"/>
      <c r="E655"/>
      <c r="F655"/>
      <c r="G655"/>
      <c r="H655"/>
      <c r="I655"/>
      <c r="J655"/>
      <c r="K655"/>
      <c r="L655"/>
      <c r="M655"/>
      <c r="N655"/>
      <c r="O655"/>
    </row>
    <row r="656" spans="1:15" x14ac:dyDescent="0.2">
      <c r="A656"/>
      <c r="B656"/>
      <c r="C656"/>
      <c r="D656"/>
      <c r="E656"/>
      <c r="F656"/>
      <c r="G656"/>
      <c r="H656"/>
      <c r="I656"/>
      <c r="J656"/>
      <c r="K656"/>
      <c r="L656"/>
      <c r="M656"/>
      <c r="N656"/>
      <c r="O656"/>
    </row>
    <row r="657" spans="1:15" x14ac:dyDescent="0.2">
      <c r="A657"/>
      <c r="B657"/>
      <c r="C657"/>
      <c r="D657"/>
      <c r="E657"/>
      <c r="F657"/>
      <c r="G657"/>
      <c r="H657"/>
      <c r="I657"/>
      <c r="J657"/>
      <c r="K657"/>
      <c r="L657"/>
      <c r="M657"/>
      <c r="N657"/>
      <c r="O657"/>
    </row>
    <row r="658" spans="1:15" x14ac:dyDescent="0.2">
      <c r="A658"/>
      <c r="B658"/>
      <c r="C658"/>
      <c r="D658"/>
      <c r="E658"/>
      <c r="F658"/>
      <c r="G658"/>
      <c r="H658"/>
      <c r="I658"/>
      <c r="J658"/>
      <c r="K658"/>
      <c r="L658"/>
      <c r="M658"/>
      <c r="N658"/>
      <c r="O658"/>
    </row>
    <row r="659" spans="1:15" x14ac:dyDescent="0.2">
      <c r="A659"/>
      <c r="B659"/>
      <c r="C659"/>
      <c r="D659"/>
      <c r="E659"/>
      <c r="F659"/>
      <c r="G659"/>
      <c r="H659"/>
      <c r="I659"/>
      <c r="J659"/>
      <c r="K659"/>
      <c r="L659"/>
      <c r="M659"/>
      <c r="N659"/>
      <c r="O659"/>
    </row>
    <row r="660" spans="1:15" x14ac:dyDescent="0.2">
      <c r="A660"/>
      <c r="B660"/>
      <c r="C660"/>
      <c r="D660"/>
      <c r="E660"/>
      <c r="F660"/>
      <c r="G660"/>
      <c r="H660"/>
      <c r="I660"/>
      <c r="J660"/>
      <c r="K660"/>
      <c r="L660"/>
      <c r="M660"/>
      <c r="N660"/>
      <c r="O660"/>
    </row>
    <row r="661" spans="1:15" x14ac:dyDescent="0.2">
      <c r="A661"/>
      <c r="B661"/>
      <c r="C661"/>
      <c r="D661"/>
      <c r="E661"/>
      <c r="F661"/>
      <c r="G661"/>
      <c r="H661"/>
      <c r="I661"/>
      <c r="J661"/>
      <c r="K661"/>
      <c r="L661"/>
      <c r="M661"/>
      <c r="N661"/>
      <c r="O661"/>
    </row>
    <row r="662" spans="1:15" x14ac:dyDescent="0.2">
      <c r="A662"/>
      <c r="B662"/>
      <c r="C662"/>
      <c r="D662"/>
      <c r="E662"/>
      <c r="F662"/>
      <c r="G662"/>
      <c r="H662"/>
      <c r="I662"/>
      <c r="J662"/>
      <c r="K662"/>
      <c r="L662"/>
      <c r="M662"/>
      <c r="N662"/>
      <c r="O662"/>
    </row>
    <row r="663" spans="1:15" x14ac:dyDescent="0.2">
      <c r="A663"/>
      <c r="B663"/>
      <c r="C663"/>
      <c r="D663"/>
      <c r="E663"/>
      <c r="F663"/>
      <c r="G663"/>
      <c r="H663"/>
      <c r="I663"/>
      <c r="J663"/>
      <c r="K663"/>
      <c r="L663"/>
      <c r="M663"/>
      <c r="N663"/>
      <c r="O663"/>
    </row>
    <row r="664" spans="1:15" x14ac:dyDescent="0.2">
      <c r="A664"/>
      <c r="B664"/>
      <c r="C664"/>
      <c r="D664"/>
      <c r="E664"/>
      <c r="F664"/>
      <c r="G664"/>
      <c r="H664"/>
      <c r="I664"/>
      <c r="J664"/>
      <c r="K664"/>
      <c r="L664"/>
      <c r="M664"/>
      <c r="N664"/>
      <c r="O664"/>
    </row>
    <row r="665" spans="1:15" x14ac:dyDescent="0.2">
      <c r="A665"/>
      <c r="B665"/>
      <c r="C665"/>
      <c r="D665"/>
      <c r="E665"/>
      <c r="F665"/>
      <c r="G665"/>
      <c r="H665"/>
      <c r="I665"/>
      <c r="J665"/>
      <c r="K665"/>
      <c r="L665"/>
      <c r="M665"/>
      <c r="N665"/>
      <c r="O665"/>
    </row>
    <row r="666" spans="1:15" x14ac:dyDescent="0.2">
      <c r="A666"/>
      <c r="B666"/>
      <c r="C666"/>
      <c r="D666"/>
      <c r="E666"/>
      <c r="F666"/>
      <c r="G666"/>
      <c r="H666"/>
      <c r="I666"/>
      <c r="J666"/>
      <c r="K666"/>
      <c r="L666"/>
      <c r="M666"/>
      <c r="N666"/>
      <c r="O666"/>
    </row>
    <row r="667" spans="1:15" x14ac:dyDescent="0.2">
      <c r="A667"/>
      <c r="B667"/>
      <c r="C667"/>
      <c r="D667"/>
      <c r="E667"/>
      <c r="F667"/>
      <c r="G667"/>
      <c r="H667"/>
      <c r="I667"/>
      <c r="J667"/>
      <c r="K667"/>
      <c r="L667"/>
      <c r="M667"/>
      <c r="N667"/>
      <c r="O667"/>
    </row>
    <row r="668" spans="1:15" x14ac:dyDescent="0.2">
      <c r="A668"/>
      <c r="B668"/>
      <c r="C668"/>
      <c r="D668"/>
      <c r="E668"/>
      <c r="F668"/>
      <c r="G668"/>
      <c r="H668"/>
      <c r="I668"/>
      <c r="J668"/>
      <c r="K668"/>
      <c r="L668"/>
      <c r="M668"/>
      <c r="N668"/>
      <c r="O668"/>
    </row>
    <row r="669" spans="1:15" x14ac:dyDescent="0.2">
      <c r="A669"/>
      <c r="B669"/>
      <c r="C669"/>
      <c r="D669"/>
      <c r="E669"/>
      <c r="F669"/>
      <c r="G669"/>
      <c r="H669"/>
      <c r="I669"/>
      <c r="J669"/>
      <c r="K669"/>
      <c r="L669"/>
      <c r="M669"/>
      <c r="N669"/>
      <c r="O669"/>
    </row>
    <row r="670" spans="1:15" x14ac:dyDescent="0.2">
      <c r="A670"/>
      <c r="B670"/>
      <c r="C670"/>
      <c r="D670"/>
      <c r="E670"/>
      <c r="F670"/>
      <c r="G670"/>
      <c r="H670"/>
      <c r="I670"/>
      <c r="J670"/>
      <c r="K670"/>
      <c r="L670"/>
      <c r="M670"/>
      <c r="N670"/>
      <c r="O670"/>
    </row>
    <row r="671" spans="1:15" x14ac:dyDescent="0.2">
      <c r="A671"/>
      <c r="B671"/>
      <c r="C671"/>
      <c r="D671"/>
      <c r="E671"/>
      <c r="F671"/>
      <c r="G671"/>
      <c r="H671"/>
      <c r="I671"/>
      <c r="J671"/>
      <c r="K671"/>
      <c r="L671"/>
      <c r="M671"/>
      <c r="N671"/>
      <c r="O671"/>
    </row>
    <row r="672" spans="1:15" x14ac:dyDescent="0.2">
      <c r="A672"/>
      <c r="B672"/>
      <c r="C672"/>
      <c r="D672"/>
      <c r="E672"/>
      <c r="F672"/>
      <c r="G672"/>
      <c r="H672"/>
      <c r="I672"/>
      <c r="J672"/>
      <c r="K672"/>
      <c r="L672"/>
      <c r="M672"/>
      <c r="N672"/>
      <c r="O672"/>
    </row>
    <row r="673" spans="1:15" x14ac:dyDescent="0.2">
      <c r="A673"/>
      <c r="B673"/>
      <c r="C673"/>
      <c r="D673"/>
      <c r="E673"/>
      <c r="F673"/>
      <c r="G673"/>
      <c r="H673"/>
      <c r="I673"/>
      <c r="J673"/>
      <c r="K673"/>
      <c r="L673"/>
      <c r="M673"/>
      <c r="N673"/>
      <c r="O673"/>
    </row>
    <row r="674" spans="1:15" x14ac:dyDescent="0.2">
      <c r="A674"/>
      <c r="B674"/>
      <c r="C674"/>
      <c r="D674"/>
      <c r="E674"/>
      <c r="F674"/>
      <c r="G674"/>
      <c r="H674"/>
      <c r="I674"/>
      <c r="J674"/>
      <c r="K674"/>
      <c r="L674"/>
      <c r="M674"/>
      <c r="N674"/>
      <c r="O674"/>
    </row>
    <row r="675" spans="1:15" x14ac:dyDescent="0.2">
      <c r="A675"/>
      <c r="B675"/>
      <c r="C675"/>
      <c r="D675"/>
      <c r="E675"/>
      <c r="F675"/>
      <c r="G675"/>
      <c r="H675"/>
      <c r="I675"/>
      <c r="J675"/>
      <c r="K675"/>
      <c r="L675"/>
      <c r="M675"/>
      <c r="N675"/>
      <c r="O675"/>
    </row>
    <row r="676" spans="1:15" x14ac:dyDescent="0.2">
      <c r="A676"/>
      <c r="B676"/>
      <c r="C676"/>
      <c r="D676"/>
      <c r="E676"/>
      <c r="F676"/>
      <c r="G676"/>
      <c r="H676"/>
      <c r="I676"/>
      <c r="J676"/>
      <c r="K676"/>
      <c r="L676"/>
      <c r="M676"/>
      <c r="N676"/>
      <c r="O676"/>
    </row>
    <row r="677" spans="1:15" x14ac:dyDescent="0.2">
      <c r="A677"/>
      <c r="B677"/>
      <c r="C677"/>
      <c r="D677"/>
      <c r="E677"/>
      <c r="F677"/>
      <c r="G677"/>
      <c r="H677"/>
      <c r="I677"/>
      <c r="J677"/>
      <c r="K677"/>
      <c r="L677"/>
      <c r="M677"/>
      <c r="N677"/>
      <c r="O677"/>
    </row>
    <row r="678" spans="1:15" x14ac:dyDescent="0.2">
      <c r="A678"/>
      <c r="B678"/>
      <c r="C678"/>
      <c r="D678"/>
      <c r="E678"/>
      <c r="F678"/>
      <c r="G678"/>
      <c r="H678"/>
      <c r="I678"/>
      <c r="J678"/>
      <c r="K678"/>
      <c r="L678"/>
      <c r="M678"/>
      <c r="N678"/>
      <c r="O678"/>
    </row>
    <row r="679" spans="1:15" x14ac:dyDescent="0.2">
      <c r="A679"/>
      <c r="B679"/>
      <c r="C679"/>
      <c r="D679"/>
      <c r="E679"/>
      <c r="F679"/>
      <c r="G679"/>
      <c r="H679"/>
      <c r="I679"/>
      <c r="J679"/>
      <c r="K679"/>
      <c r="L679"/>
      <c r="M679"/>
      <c r="N679"/>
      <c r="O679"/>
    </row>
    <row r="680" spans="1:15" x14ac:dyDescent="0.2">
      <c r="A680"/>
      <c r="B680"/>
      <c r="C680"/>
      <c r="D680"/>
      <c r="E680"/>
      <c r="F680"/>
      <c r="G680"/>
      <c r="H680"/>
      <c r="I680"/>
      <c r="J680"/>
      <c r="K680"/>
      <c r="L680"/>
      <c r="M680"/>
      <c r="N680"/>
      <c r="O680"/>
    </row>
    <row r="681" spans="1:15" x14ac:dyDescent="0.2">
      <c r="A681"/>
      <c r="B681"/>
      <c r="C681"/>
      <c r="D681"/>
      <c r="E681"/>
      <c r="F681"/>
      <c r="G681"/>
      <c r="H681"/>
      <c r="I681"/>
      <c r="J681"/>
      <c r="K681"/>
      <c r="L681"/>
      <c r="M681"/>
      <c r="N681"/>
      <c r="O681"/>
    </row>
    <row r="682" spans="1:15" x14ac:dyDescent="0.2">
      <c r="A682"/>
      <c r="B682"/>
      <c r="C682"/>
      <c r="D682"/>
      <c r="E682"/>
      <c r="F682"/>
      <c r="G682"/>
      <c r="H682"/>
      <c r="I682"/>
      <c r="J682"/>
      <c r="K682"/>
      <c r="L682"/>
      <c r="M682"/>
      <c r="N682"/>
      <c r="O682"/>
    </row>
    <row r="683" spans="1:15" x14ac:dyDescent="0.2">
      <c r="A683"/>
      <c r="B683"/>
      <c r="C683"/>
      <c r="D683"/>
      <c r="E683"/>
      <c r="F683"/>
      <c r="G683"/>
      <c r="H683"/>
      <c r="I683"/>
      <c r="J683"/>
      <c r="K683"/>
      <c r="L683"/>
      <c r="M683"/>
      <c r="N683"/>
      <c r="O683"/>
    </row>
    <row r="684" spans="1:15" x14ac:dyDescent="0.2">
      <c r="A684"/>
      <c r="B684"/>
      <c r="C684"/>
      <c r="D684"/>
      <c r="E684"/>
      <c r="F684"/>
      <c r="G684"/>
      <c r="H684"/>
      <c r="I684"/>
      <c r="J684"/>
      <c r="K684"/>
      <c r="L684"/>
      <c r="M684"/>
      <c r="N684"/>
      <c r="O684"/>
    </row>
    <row r="685" spans="1:15" x14ac:dyDescent="0.2">
      <c r="A685"/>
      <c r="B685"/>
      <c r="C685"/>
      <c r="D685"/>
      <c r="E685"/>
      <c r="F685"/>
      <c r="G685"/>
      <c r="H685"/>
      <c r="I685"/>
      <c r="J685"/>
      <c r="K685"/>
      <c r="L685"/>
      <c r="M685"/>
      <c r="N685"/>
      <c r="O685"/>
    </row>
    <row r="686" spans="1:15" x14ac:dyDescent="0.2">
      <c r="A686"/>
      <c r="B686"/>
      <c r="C686"/>
      <c r="D686"/>
      <c r="E686"/>
      <c r="F686"/>
      <c r="G686"/>
      <c r="H686"/>
      <c r="I686"/>
      <c r="J686"/>
      <c r="K686"/>
      <c r="L686"/>
      <c r="M686"/>
      <c r="N686"/>
      <c r="O686"/>
    </row>
    <row r="687" spans="1:15" x14ac:dyDescent="0.2">
      <c r="A687"/>
      <c r="B687"/>
      <c r="C687"/>
      <c r="D687"/>
      <c r="E687"/>
      <c r="F687"/>
      <c r="G687"/>
      <c r="H687"/>
      <c r="I687"/>
      <c r="J687"/>
      <c r="K687"/>
      <c r="L687"/>
      <c r="M687"/>
      <c r="N687"/>
      <c r="O687"/>
    </row>
    <row r="688" spans="1:15" x14ac:dyDescent="0.2">
      <c r="A688"/>
      <c r="B688"/>
      <c r="C688"/>
      <c r="D688"/>
      <c r="E688"/>
      <c r="F688"/>
      <c r="G688"/>
      <c r="H688"/>
      <c r="I688"/>
      <c r="J688"/>
      <c r="K688"/>
      <c r="L688"/>
      <c r="M688"/>
      <c r="N688"/>
      <c r="O688"/>
    </row>
    <row r="689" spans="1:15" x14ac:dyDescent="0.2">
      <c r="A689"/>
      <c r="B689"/>
      <c r="C689"/>
      <c r="D689"/>
      <c r="E689"/>
      <c r="F689"/>
      <c r="G689"/>
      <c r="H689"/>
      <c r="I689"/>
      <c r="J689"/>
      <c r="K689"/>
      <c r="L689"/>
      <c r="M689"/>
      <c r="N689"/>
      <c r="O689"/>
    </row>
    <row r="690" spans="1:15" x14ac:dyDescent="0.2">
      <c r="A690"/>
      <c r="B690"/>
      <c r="C690"/>
      <c r="D690"/>
      <c r="E690"/>
      <c r="F690"/>
      <c r="G690"/>
      <c r="H690"/>
      <c r="I690"/>
      <c r="J690"/>
      <c r="K690"/>
      <c r="L690"/>
      <c r="M690"/>
      <c r="N690"/>
      <c r="O690"/>
    </row>
    <row r="691" spans="1:15" x14ac:dyDescent="0.2">
      <c r="A691"/>
      <c r="B691"/>
      <c r="C691"/>
      <c r="D691"/>
      <c r="E691"/>
      <c r="F691"/>
      <c r="G691"/>
      <c r="H691"/>
      <c r="I691"/>
      <c r="J691"/>
      <c r="K691"/>
      <c r="L691"/>
      <c r="M691"/>
      <c r="N691"/>
      <c r="O691"/>
    </row>
    <row r="692" spans="1:15" x14ac:dyDescent="0.2">
      <c r="A692"/>
      <c r="B692"/>
      <c r="C692"/>
      <c r="D692"/>
      <c r="E692"/>
      <c r="F692"/>
      <c r="G692"/>
      <c r="H692"/>
      <c r="I692"/>
      <c r="J692"/>
      <c r="K692"/>
      <c r="L692"/>
      <c r="M692"/>
      <c r="N692"/>
      <c r="O692"/>
    </row>
    <row r="693" spans="1:15" x14ac:dyDescent="0.2">
      <c r="A693"/>
      <c r="B693"/>
      <c r="C693"/>
      <c r="D693"/>
      <c r="E693"/>
      <c r="F693"/>
      <c r="G693"/>
      <c r="H693"/>
      <c r="I693"/>
      <c r="J693"/>
      <c r="K693"/>
      <c r="L693"/>
      <c r="M693"/>
      <c r="N693"/>
      <c r="O693"/>
    </row>
    <row r="694" spans="1:15" x14ac:dyDescent="0.2">
      <c r="A694"/>
      <c r="B694"/>
      <c r="C694"/>
      <c r="D694"/>
      <c r="E694"/>
      <c r="F694"/>
      <c r="G694"/>
      <c r="H694"/>
      <c r="I694"/>
      <c r="J694"/>
      <c r="K694"/>
      <c r="L694"/>
      <c r="M694"/>
      <c r="N694"/>
      <c r="O694"/>
    </row>
    <row r="695" spans="1:15" x14ac:dyDescent="0.2">
      <c r="A695"/>
      <c r="B695"/>
      <c r="C695"/>
      <c r="D695"/>
      <c r="E695"/>
      <c r="F695"/>
      <c r="G695"/>
      <c r="H695"/>
      <c r="I695"/>
      <c r="J695"/>
      <c r="K695"/>
      <c r="L695"/>
      <c r="M695"/>
      <c r="N695"/>
      <c r="O695"/>
    </row>
    <row r="696" spans="1:15" x14ac:dyDescent="0.2">
      <c r="A696"/>
      <c r="B696"/>
      <c r="C696"/>
      <c r="D696"/>
      <c r="E696"/>
      <c r="F696"/>
      <c r="G696"/>
      <c r="H696"/>
      <c r="I696"/>
      <c r="J696"/>
      <c r="K696"/>
      <c r="L696"/>
      <c r="M696"/>
      <c r="N696"/>
      <c r="O696"/>
    </row>
    <row r="697" spans="1:15" x14ac:dyDescent="0.2">
      <c r="A697"/>
      <c r="B697"/>
      <c r="C697"/>
      <c r="D697"/>
      <c r="E697"/>
      <c r="F697"/>
      <c r="G697"/>
      <c r="H697"/>
      <c r="I697"/>
      <c r="J697"/>
      <c r="K697"/>
      <c r="L697"/>
      <c r="M697"/>
      <c r="N697"/>
      <c r="O697"/>
    </row>
    <row r="698" spans="1:15" x14ac:dyDescent="0.2">
      <c r="A698"/>
      <c r="B698"/>
      <c r="C698"/>
      <c r="D698"/>
      <c r="E698"/>
      <c r="F698"/>
      <c r="G698"/>
      <c r="H698"/>
      <c r="I698"/>
      <c r="J698"/>
      <c r="K698"/>
      <c r="L698"/>
      <c r="M698"/>
      <c r="N698"/>
      <c r="O698"/>
    </row>
    <row r="699" spans="1:15" x14ac:dyDescent="0.2">
      <c r="A699"/>
      <c r="B699"/>
      <c r="C699"/>
      <c r="D699"/>
      <c r="E699"/>
      <c r="F699"/>
      <c r="G699"/>
      <c r="H699"/>
      <c r="I699"/>
      <c r="J699"/>
      <c r="K699"/>
      <c r="L699"/>
      <c r="M699"/>
      <c r="N699"/>
      <c r="O699"/>
    </row>
    <row r="700" spans="1:15" x14ac:dyDescent="0.2">
      <c r="A700"/>
      <c r="B700"/>
      <c r="C700"/>
      <c r="D700"/>
      <c r="E700"/>
      <c r="F700"/>
      <c r="G700"/>
      <c r="H700"/>
      <c r="I700"/>
      <c r="J700"/>
      <c r="K700"/>
      <c r="L700"/>
      <c r="M700"/>
      <c r="N700"/>
      <c r="O700"/>
    </row>
    <row r="701" spans="1:15" x14ac:dyDescent="0.2">
      <c r="A701"/>
      <c r="B701"/>
      <c r="C701"/>
      <c r="D701"/>
      <c r="E701"/>
      <c r="F701"/>
      <c r="G701"/>
      <c r="H701"/>
      <c r="I701"/>
      <c r="J701"/>
      <c r="K701"/>
      <c r="L701"/>
      <c r="M701"/>
      <c r="N701"/>
      <c r="O701"/>
    </row>
    <row r="702" spans="1:15" x14ac:dyDescent="0.2">
      <c r="A702"/>
      <c r="B702"/>
      <c r="C702"/>
      <c r="D702"/>
      <c r="E702"/>
      <c r="F702"/>
      <c r="G702"/>
      <c r="H702"/>
      <c r="I702"/>
      <c r="J702"/>
      <c r="K702"/>
      <c r="L702"/>
      <c r="M702"/>
      <c r="N702"/>
      <c r="O702"/>
    </row>
    <row r="703" spans="1:15" x14ac:dyDescent="0.2">
      <c r="A703"/>
      <c r="B703"/>
      <c r="C703"/>
      <c r="D703"/>
      <c r="E703"/>
      <c r="F703"/>
      <c r="G703"/>
      <c r="H703"/>
      <c r="I703"/>
      <c r="J703"/>
      <c r="K703"/>
      <c r="L703"/>
      <c r="M703"/>
      <c r="N703"/>
      <c r="O703"/>
    </row>
    <row r="704" spans="1:15" x14ac:dyDescent="0.2">
      <c r="A704"/>
      <c r="B704"/>
      <c r="C704"/>
      <c r="D704"/>
      <c r="E704"/>
      <c r="F704"/>
      <c r="G704"/>
      <c r="H704"/>
      <c r="I704"/>
      <c r="J704"/>
      <c r="K704"/>
      <c r="L704"/>
      <c r="M704"/>
      <c r="N704"/>
      <c r="O704"/>
    </row>
    <row r="705" spans="1:15" x14ac:dyDescent="0.2">
      <c r="A705"/>
      <c r="B705"/>
      <c r="C705"/>
      <c r="D705"/>
      <c r="E705"/>
      <c r="F705"/>
      <c r="G705"/>
      <c r="H705"/>
      <c r="I705"/>
      <c r="J705"/>
      <c r="K705"/>
      <c r="L705"/>
      <c r="M705"/>
      <c r="N705"/>
      <c r="O705"/>
    </row>
    <row r="706" spans="1:15" x14ac:dyDescent="0.2">
      <c r="A706"/>
      <c r="B706"/>
      <c r="C706"/>
      <c r="D706"/>
      <c r="E706"/>
      <c r="F706"/>
      <c r="G706"/>
      <c r="H706"/>
      <c r="I706"/>
      <c r="J706"/>
      <c r="K706"/>
      <c r="L706"/>
      <c r="M706"/>
      <c r="N706"/>
      <c r="O706"/>
    </row>
    <row r="707" spans="1:15" x14ac:dyDescent="0.2">
      <c r="A707"/>
      <c r="B707"/>
      <c r="C707"/>
      <c r="D707"/>
      <c r="E707"/>
      <c r="F707"/>
      <c r="G707"/>
      <c r="H707"/>
      <c r="I707"/>
      <c r="J707"/>
      <c r="K707"/>
      <c r="L707"/>
      <c r="M707"/>
      <c r="N707"/>
      <c r="O707"/>
    </row>
    <row r="708" spans="1:15" x14ac:dyDescent="0.2">
      <c r="A708"/>
      <c r="B708"/>
      <c r="C708"/>
      <c r="D708"/>
      <c r="E708"/>
      <c r="F708"/>
      <c r="G708"/>
      <c r="H708"/>
      <c r="I708"/>
      <c r="J708"/>
      <c r="K708"/>
      <c r="L708"/>
      <c r="M708"/>
      <c r="N708"/>
      <c r="O708"/>
    </row>
    <row r="709" spans="1:15" x14ac:dyDescent="0.2">
      <c r="A709"/>
      <c r="B709"/>
      <c r="C709"/>
      <c r="D709"/>
      <c r="E709"/>
      <c r="F709"/>
      <c r="G709"/>
      <c r="H709"/>
      <c r="I709"/>
      <c r="J709"/>
      <c r="K709"/>
      <c r="L709"/>
      <c r="M709"/>
      <c r="N709"/>
      <c r="O709"/>
    </row>
    <row r="710" spans="1:15" x14ac:dyDescent="0.2">
      <c r="A710"/>
      <c r="B710"/>
      <c r="C710"/>
      <c r="D710"/>
      <c r="E710"/>
      <c r="F710"/>
      <c r="G710"/>
      <c r="H710"/>
      <c r="I710"/>
      <c r="J710"/>
      <c r="K710"/>
      <c r="L710"/>
      <c r="M710"/>
      <c r="N710"/>
      <c r="O710"/>
    </row>
    <row r="711" spans="1:15" x14ac:dyDescent="0.2">
      <c r="A711"/>
      <c r="B711"/>
      <c r="C711"/>
      <c r="D711"/>
      <c r="E711"/>
      <c r="F711"/>
      <c r="G711"/>
      <c r="H711"/>
      <c r="I711"/>
      <c r="J711"/>
      <c r="K711"/>
      <c r="L711"/>
      <c r="M711"/>
      <c r="N711"/>
      <c r="O711"/>
    </row>
    <row r="712" spans="1:15" x14ac:dyDescent="0.2">
      <c r="A712"/>
      <c r="B712"/>
      <c r="C712"/>
      <c r="D712"/>
      <c r="E712"/>
      <c r="F712"/>
      <c r="G712"/>
      <c r="H712"/>
      <c r="I712"/>
      <c r="J712"/>
      <c r="K712"/>
      <c r="L712"/>
      <c r="M712"/>
      <c r="N712"/>
      <c r="O712"/>
    </row>
    <row r="713" spans="1:15" x14ac:dyDescent="0.2">
      <c r="A713"/>
      <c r="B713"/>
      <c r="C713"/>
      <c r="D713"/>
      <c r="E713"/>
      <c r="F713"/>
      <c r="G713"/>
      <c r="H713"/>
      <c r="I713"/>
      <c r="J713"/>
      <c r="K713"/>
      <c r="L713"/>
      <c r="M713"/>
      <c r="N713"/>
      <c r="O713"/>
    </row>
    <row r="714" spans="1:15" x14ac:dyDescent="0.2">
      <c r="A714"/>
      <c r="B714"/>
      <c r="C714"/>
      <c r="D714"/>
      <c r="E714"/>
      <c r="F714"/>
      <c r="G714"/>
      <c r="H714"/>
      <c r="I714"/>
      <c r="J714"/>
      <c r="K714"/>
      <c r="L714"/>
      <c r="M714"/>
      <c r="N714"/>
      <c r="O714"/>
    </row>
    <row r="715" spans="1:15" x14ac:dyDescent="0.2">
      <c r="A715"/>
      <c r="B715"/>
      <c r="C715"/>
      <c r="D715"/>
      <c r="E715"/>
      <c r="F715"/>
      <c r="G715"/>
      <c r="H715"/>
      <c r="I715"/>
      <c r="J715"/>
      <c r="K715"/>
      <c r="L715"/>
      <c r="M715"/>
      <c r="N715"/>
      <c r="O715"/>
    </row>
    <row r="716" spans="1:15" x14ac:dyDescent="0.2">
      <c r="A716"/>
      <c r="B716"/>
      <c r="C716"/>
      <c r="D716"/>
      <c r="E716"/>
      <c r="F716"/>
      <c r="G716"/>
      <c r="H716"/>
      <c r="I716"/>
      <c r="J716"/>
      <c r="K716"/>
      <c r="L716"/>
      <c r="M716"/>
      <c r="N716"/>
      <c r="O716"/>
    </row>
    <row r="717" spans="1:15" x14ac:dyDescent="0.2">
      <c r="A717"/>
      <c r="B717"/>
      <c r="C717"/>
      <c r="D717"/>
      <c r="E717"/>
      <c r="F717"/>
      <c r="G717"/>
      <c r="H717"/>
      <c r="I717"/>
      <c r="J717"/>
      <c r="K717"/>
      <c r="L717"/>
      <c r="M717"/>
      <c r="N717"/>
      <c r="O717"/>
    </row>
    <row r="718" spans="1:15" x14ac:dyDescent="0.2">
      <c r="A718"/>
      <c r="B718"/>
      <c r="C718"/>
      <c r="D718"/>
      <c r="E718"/>
      <c r="F718"/>
      <c r="G718"/>
      <c r="H718"/>
      <c r="I718"/>
      <c r="J718"/>
      <c r="K718"/>
      <c r="L718"/>
      <c r="M718"/>
      <c r="N718"/>
      <c r="O718"/>
    </row>
    <row r="719" spans="1:15" x14ac:dyDescent="0.2">
      <c r="A719"/>
      <c r="B719"/>
      <c r="C719"/>
      <c r="D719"/>
      <c r="E719"/>
      <c r="F719"/>
      <c r="G719"/>
      <c r="H719"/>
      <c r="I719"/>
      <c r="J719"/>
      <c r="K719"/>
      <c r="L719"/>
      <c r="M719"/>
      <c r="N719"/>
      <c r="O719"/>
    </row>
    <row r="720" spans="1:15" x14ac:dyDescent="0.2">
      <c r="A720"/>
      <c r="B720"/>
      <c r="C720"/>
      <c r="D720"/>
      <c r="E720"/>
      <c r="F720"/>
      <c r="G720"/>
      <c r="H720"/>
      <c r="I720"/>
      <c r="J720"/>
      <c r="K720"/>
      <c r="L720"/>
      <c r="M720"/>
      <c r="N720"/>
      <c r="O720"/>
    </row>
    <row r="721" spans="1:15" x14ac:dyDescent="0.2">
      <c r="A721"/>
      <c r="B721"/>
      <c r="C721"/>
      <c r="D721"/>
      <c r="E721"/>
      <c r="F721"/>
      <c r="G721"/>
      <c r="H721"/>
      <c r="I721"/>
      <c r="J721"/>
      <c r="K721"/>
      <c r="L721"/>
      <c r="M721"/>
      <c r="N721"/>
      <c r="O721"/>
    </row>
    <row r="722" spans="1:15" x14ac:dyDescent="0.2">
      <c r="A722"/>
      <c r="B722"/>
      <c r="C722"/>
      <c r="D722"/>
      <c r="E722"/>
      <c r="F722"/>
      <c r="G722"/>
      <c r="H722"/>
      <c r="I722"/>
      <c r="J722"/>
      <c r="K722"/>
      <c r="L722"/>
      <c r="M722"/>
      <c r="N722"/>
      <c r="O722"/>
    </row>
    <row r="723" spans="1:15" x14ac:dyDescent="0.2">
      <c r="A723"/>
      <c r="B723"/>
      <c r="C723"/>
      <c r="D723"/>
      <c r="E723"/>
      <c r="F723"/>
      <c r="G723"/>
      <c r="H723"/>
      <c r="I723"/>
      <c r="J723"/>
      <c r="K723"/>
      <c r="L723"/>
      <c r="M723"/>
      <c r="N723"/>
      <c r="O723"/>
    </row>
    <row r="724" spans="1:15" x14ac:dyDescent="0.2">
      <c r="A724"/>
      <c r="B724"/>
      <c r="C724"/>
      <c r="D724"/>
      <c r="E724"/>
      <c r="F724"/>
      <c r="G724"/>
      <c r="H724"/>
      <c r="I724"/>
      <c r="J724"/>
      <c r="K724"/>
      <c r="L724"/>
      <c r="M724"/>
      <c r="N724"/>
      <c r="O724"/>
    </row>
    <row r="725" spans="1:15" x14ac:dyDescent="0.2">
      <c r="A725"/>
      <c r="B725"/>
      <c r="C725"/>
      <c r="D725"/>
      <c r="E725"/>
      <c r="F725"/>
      <c r="G725"/>
      <c r="H725"/>
      <c r="I725"/>
      <c r="J725"/>
      <c r="K725"/>
      <c r="L725"/>
      <c r="M725"/>
      <c r="N725"/>
      <c r="O725"/>
    </row>
    <row r="726" spans="1:15" x14ac:dyDescent="0.2">
      <c r="A726"/>
      <c r="B726"/>
      <c r="C726"/>
      <c r="D726"/>
      <c r="E726"/>
      <c r="F726"/>
      <c r="G726"/>
      <c r="H726"/>
      <c r="I726"/>
      <c r="J726"/>
      <c r="K726"/>
      <c r="L726"/>
      <c r="M726"/>
      <c r="N726"/>
      <c r="O726"/>
    </row>
    <row r="727" spans="1:15" x14ac:dyDescent="0.2">
      <c r="A727"/>
      <c r="B727"/>
      <c r="C727"/>
      <c r="D727"/>
      <c r="E727"/>
      <c r="F727"/>
      <c r="G727"/>
      <c r="H727"/>
      <c r="I727"/>
      <c r="J727"/>
      <c r="K727"/>
      <c r="L727"/>
      <c r="M727"/>
      <c r="N727"/>
      <c r="O727"/>
    </row>
    <row r="728" spans="1:15" x14ac:dyDescent="0.2">
      <c r="A728"/>
      <c r="B728"/>
      <c r="C728"/>
      <c r="D728"/>
      <c r="E728"/>
      <c r="F728"/>
      <c r="G728"/>
      <c r="H728"/>
      <c r="I728"/>
      <c r="J728"/>
      <c r="K728"/>
      <c r="L728"/>
      <c r="M728"/>
      <c r="N728"/>
      <c r="O728"/>
    </row>
    <row r="729" spans="1:15" x14ac:dyDescent="0.2">
      <c r="A729"/>
      <c r="B729"/>
      <c r="C729"/>
      <c r="D729"/>
      <c r="E729"/>
      <c r="F729"/>
      <c r="G729"/>
      <c r="H729"/>
      <c r="I729"/>
      <c r="J729"/>
      <c r="K729"/>
      <c r="L729"/>
      <c r="M729"/>
      <c r="N729"/>
      <c r="O729"/>
    </row>
    <row r="730" spans="1:15" x14ac:dyDescent="0.2">
      <c r="A730"/>
      <c r="B730"/>
      <c r="C730"/>
      <c r="D730"/>
      <c r="E730"/>
      <c r="F730"/>
      <c r="G730"/>
      <c r="H730"/>
      <c r="I730"/>
      <c r="J730"/>
      <c r="K730"/>
      <c r="L730"/>
      <c r="M730"/>
      <c r="N730"/>
      <c r="O730"/>
    </row>
    <row r="731" spans="1:15" x14ac:dyDescent="0.2">
      <c r="A731"/>
      <c r="B731"/>
      <c r="C731"/>
      <c r="D731"/>
      <c r="E731"/>
      <c r="F731"/>
      <c r="G731"/>
      <c r="H731"/>
      <c r="I731"/>
      <c r="J731"/>
      <c r="K731"/>
      <c r="L731"/>
      <c r="M731"/>
      <c r="N731"/>
      <c r="O731"/>
    </row>
    <row r="732" spans="1:15" x14ac:dyDescent="0.2">
      <c r="A732"/>
      <c r="B732"/>
      <c r="C732"/>
      <c r="D732"/>
      <c r="E732"/>
      <c r="F732"/>
      <c r="G732"/>
      <c r="H732"/>
      <c r="I732"/>
      <c r="J732"/>
      <c r="K732"/>
      <c r="L732"/>
      <c r="M732"/>
      <c r="N732"/>
      <c r="O732"/>
    </row>
    <row r="733" spans="1:15" x14ac:dyDescent="0.2">
      <c r="A733"/>
      <c r="B733"/>
      <c r="C733"/>
      <c r="D733"/>
      <c r="E733"/>
      <c r="F733"/>
      <c r="G733"/>
      <c r="H733"/>
      <c r="I733"/>
      <c r="J733"/>
      <c r="K733"/>
      <c r="L733"/>
      <c r="M733"/>
      <c r="N733"/>
      <c r="O733"/>
    </row>
    <row r="734" spans="1:15" x14ac:dyDescent="0.2">
      <c r="A734"/>
      <c r="B734"/>
      <c r="C734"/>
      <c r="D734"/>
      <c r="E734"/>
      <c r="F734"/>
      <c r="G734"/>
      <c r="H734"/>
      <c r="I734"/>
      <c r="J734"/>
      <c r="K734"/>
      <c r="L734"/>
      <c r="M734"/>
      <c r="N734"/>
      <c r="O734"/>
    </row>
    <row r="735" spans="1:15" x14ac:dyDescent="0.2">
      <c r="A735"/>
      <c r="B735"/>
      <c r="C735"/>
      <c r="D735"/>
      <c r="E735"/>
      <c r="F735"/>
      <c r="G735"/>
      <c r="H735"/>
      <c r="I735"/>
      <c r="J735"/>
      <c r="K735"/>
      <c r="L735"/>
      <c r="M735"/>
      <c r="N735"/>
      <c r="O735"/>
    </row>
    <row r="736" spans="1:15" x14ac:dyDescent="0.2">
      <c r="A736"/>
      <c r="B736"/>
      <c r="C736"/>
      <c r="D736"/>
      <c r="E736"/>
      <c r="F736"/>
      <c r="G736"/>
      <c r="H736"/>
      <c r="I736"/>
      <c r="J736"/>
      <c r="K736"/>
      <c r="L736"/>
      <c r="M736"/>
      <c r="N736"/>
      <c r="O736"/>
    </row>
    <row r="737" spans="1:15" x14ac:dyDescent="0.2">
      <c r="A737"/>
      <c r="B737"/>
      <c r="C737"/>
      <c r="D737"/>
      <c r="E737"/>
      <c r="F737"/>
      <c r="G737"/>
      <c r="H737"/>
      <c r="I737"/>
      <c r="J737"/>
      <c r="K737"/>
      <c r="L737"/>
      <c r="M737"/>
      <c r="N737"/>
      <c r="O737"/>
    </row>
    <row r="738" spans="1:15" x14ac:dyDescent="0.2">
      <c r="A738"/>
      <c r="B738"/>
      <c r="C738"/>
      <c r="D738"/>
      <c r="E738"/>
      <c r="F738"/>
      <c r="G738"/>
      <c r="H738"/>
      <c r="I738"/>
      <c r="J738"/>
      <c r="K738"/>
      <c r="L738"/>
      <c r="M738"/>
      <c r="N738"/>
      <c r="O738"/>
    </row>
    <row r="739" spans="1:15" x14ac:dyDescent="0.2">
      <c r="A739"/>
      <c r="B739"/>
      <c r="C739"/>
      <c r="D739"/>
      <c r="E739"/>
      <c r="F739"/>
      <c r="G739"/>
      <c r="H739"/>
      <c r="I739"/>
      <c r="J739"/>
      <c r="K739"/>
      <c r="L739"/>
      <c r="M739"/>
      <c r="N739"/>
      <c r="O739"/>
    </row>
    <row r="740" spans="1:15" x14ac:dyDescent="0.2">
      <c r="A740"/>
      <c r="B740"/>
      <c r="C740"/>
      <c r="D740"/>
      <c r="E740"/>
      <c r="F740"/>
      <c r="G740"/>
      <c r="H740"/>
      <c r="I740"/>
      <c r="J740"/>
      <c r="K740"/>
      <c r="L740"/>
      <c r="M740"/>
      <c r="N740"/>
      <c r="O740"/>
    </row>
    <row r="741" spans="1:15" x14ac:dyDescent="0.2">
      <c r="A741"/>
      <c r="B741"/>
      <c r="C741"/>
      <c r="D741"/>
      <c r="E741"/>
      <c r="F741"/>
      <c r="G741"/>
      <c r="H741"/>
      <c r="I741"/>
      <c r="J741"/>
      <c r="K741"/>
      <c r="L741"/>
      <c r="M741"/>
      <c r="N741"/>
      <c r="O741"/>
    </row>
    <row r="742" spans="1:15" x14ac:dyDescent="0.2">
      <c r="A742"/>
      <c r="B742"/>
      <c r="C742"/>
      <c r="D742"/>
      <c r="E742"/>
      <c r="F742"/>
      <c r="G742"/>
      <c r="H742"/>
      <c r="I742"/>
      <c r="J742"/>
      <c r="K742"/>
      <c r="L742"/>
      <c r="M742"/>
      <c r="N742"/>
      <c r="O742"/>
    </row>
    <row r="743" spans="1:15" x14ac:dyDescent="0.2">
      <c r="A743"/>
      <c r="B743"/>
      <c r="C743"/>
      <c r="D743"/>
      <c r="E743"/>
      <c r="F743"/>
      <c r="G743"/>
      <c r="H743"/>
      <c r="I743"/>
      <c r="J743"/>
      <c r="K743"/>
      <c r="L743"/>
      <c r="M743"/>
      <c r="N743"/>
      <c r="O743"/>
    </row>
    <row r="744" spans="1:15" x14ac:dyDescent="0.2">
      <c r="A744"/>
      <c r="B744"/>
      <c r="C744"/>
      <c r="D744"/>
      <c r="E744"/>
      <c r="F744"/>
      <c r="G744"/>
      <c r="H744"/>
      <c r="I744"/>
      <c r="J744"/>
      <c r="K744"/>
      <c r="L744"/>
      <c r="M744"/>
      <c r="N744"/>
      <c r="O744"/>
    </row>
    <row r="745" spans="1:15" x14ac:dyDescent="0.2">
      <c r="A745"/>
      <c r="B745"/>
      <c r="C745"/>
      <c r="D745"/>
      <c r="E745"/>
      <c r="F745"/>
      <c r="G745"/>
      <c r="H745"/>
      <c r="I745"/>
      <c r="J745"/>
      <c r="K745"/>
      <c r="L745"/>
      <c r="M745"/>
      <c r="N745"/>
      <c r="O745"/>
    </row>
    <row r="746" spans="1:15" x14ac:dyDescent="0.2">
      <c r="A746"/>
      <c r="B746"/>
      <c r="C746"/>
      <c r="D746"/>
      <c r="E746"/>
      <c r="F746"/>
      <c r="G746"/>
      <c r="H746"/>
      <c r="I746"/>
      <c r="J746"/>
      <c r="K746"/>
      <c r="L746"/>
      <c r="M746"/>
      <c r="N746"/>
      <c r="O746"/>
    </row>
    <row r="747" spans="1:15" x14ac:dyDescent="0.2">
      <c r="A747"/>
      <c r="B747"/>
      <c r="C747"/>
      <c r="D747"/>
      <c r="E747"/>
      <c r="F747"/>
      <c r="G747"/>
      <c r="H747"/>
      <c r="I747"/>
      <c r="J747"/>
      <c r="K747"/>
      <c r="L747"/>
      <c r="M747"/>
      <c r="N747"/>
      <c r="O747"/>
    </row>
    <row r="748" spans="1:15" x14ac:dyDescent="0.2">
      <c r="A748"/>
      <c r="B748"/>
      <c r="C748"/>
      <c r="D748"/>
      <c r="E748"/>
      <c r="F748"/>
      <c r="G748"/>
      <c r="H748"/>
      <c r="I748"/>
      <c r="J748"/>
      <c r="K748"/>
      <c r="L748"/>
      <c r="M748"/>
      <c r="N748"/>
      <c r="O748"/>
    </row>
    <row r="749" spans="1:15" x14ac:dyDescent="0.2">
      <c r="A749"/>
      <c r="B749"/>
      <c r="C749"/>
      <c r="D749"/>
      <c r="E749"/>
      <c r="F749"/>
      <c r="G749"/>
      <c r="H749"/>
      <c r="I749"/>
      <c r="J749"/>
      <c r="K749"/>
      <c r="L749"/>
      <c r="M749"/>
      <c r="N749"/>
      <c r="O749"/>
    </row>
    <row r="750" spans="1:15" x14ac:dyDescent="0.2">
      <c r="A750"/>
      <c r="B750"/>
      <c r="C750"/>
      <c r="D750"/>
      <c r="E750"/>
      <c r="F750"/>
      <c r="G750"/>
      <c r="H750"/>
      <c r="I750"/>
      <c r="J750"/>
      <c r="K750"/>
      <c r="L750"/>
      <c r="M750"/>
      <c r="N750"/>
      <c r="O750"/>
    </row>
    <row r="751" spans="1:15" x14ac:dyDescent="0.2">
      <c r="A751"/>
      <c r="B751"/>
      <c r="C751"/>
      <c r="D751"/>
      <c r="E751"/>
      <c r="F751"/>
      <c r="G751"/>
      <c r="H751"/>
      <c r="I751"/>
      <c r="J751"/>
      <c r="K751"/>
      <c r="L751"/>
      <c r="M751"/>
      <c r="N751"/>
      <c r="O751"/>
    </row>
    <row r="752" spans="1:15" x14ac:dyDescent="0.2">
      <c r="A752"/>
      <c r="B752"/>
      <c r="C752"/>
      <c r="D752"/>
      <c r="E752"/>
      <c r="F752"/>
      <c r="G752"/>
      <c r="H752"/>
      <c r="I752"/>
      <c r="J752"/>
      <c r="K752"/>
      <c r="L752"/>
      <c r="M752"/>
      <c r="N752"/>
      <c r="O752"/>
    </row>
    <row r="753" spans="1:15" x14ac:dyDescent="0.2">
      <c r="A753"/>
      <c r="B753"/>
      <c r="C753"/>
      <c r="D753"/>
      <c r="E753"/>
      <c r="F753"/>
      <c r="G753"/>
      <c r="H753"/>
      <c r="I753"/>
      <c r="J753"/>
      <c r="K753"/>
      <c r="L753"/>
      <c r="M753"/>
      <c r="N753"/>
      <c r="O753"/>
    </row>
    <row r="754" spans="1:15" x14ac:dyDescent="0.2">
      <c r="A754"/>
      <c r="B754"/>
      <c r="C754"/>
      <c r="D754"/>
      <c r="E754"/>
      <c r="F754"/>
      <c r="G754"/>
      <c r="H754"/>
      <c r="I754"/>
      <c r="J754"/>
      <c r="K754"/>
      <c r="L754"/>
      <c r="M754"/>
      <c r="N754"/>
      <c r="O754"/>
    </row>
    <row r="755" spans="1:15" x14ac:dyDescent="0.2">
      <c r="A755"/>
      <c r="B755"/>
      <c r="C755"/>
      <c r="D755"/>
      <c r="E755"/>
      <c r="F755"/>
      <c r="G755"/>
      <c r="H755"/>
      <c r="I755"/>
      <c r="J755"/>
      <c r="K755"/>
      <c r="L755"/>
      <c r="M755"/>
      <c r="N755"/>
      <c r="O755"/>
    </row>
    <row r="756" spans="1:15" x14ac:dyDescent="0.2">
      <c r="A756"/>
      <c r="B756"/>
      <c r="C756"/>
      <c r="D756"/>
      <c r="E756"/>
      <c r="F756"/>
      <c r="G756"/>
      <c r="H756"/>
      <c r="I756"/>
      <c r="J756"/>
      <c r="K756"/>
      <c r="L756"/>
      <c r="M756"/>
      <c r="N756"/>
      <c r="O756"/>
    </row>
    <row r="757" spans="1:15" x14ac:dyDescent="0.2">
      <c r="A757"/>
      <c r="B757"/>
      <c r="C757"/>
      <c r="D757"/>
      <c r="E757"/>
      <c r="F757"/>
      <c r="G757"/>
      <c r="H757"/>
      <c r="I757"/>
      <c r="J757"/>
      <c r="K757"/>
      <c r="L757"/>
      <c r="M757"/>
      <c r="N757"/>
      <c r="O757"/>
    </row>
    <row r="758" spans="1:15" x14ac:dyDescent="0.2">
      <c r="A758"/>
      <c r="B758"/>
      <c r="C758"/>
      <c r="D758"/>
      <c r="E758"/>
      <c r="F758"/>
      <c r="G758"/>
      <c r="H758"/>
      <c r="I758"/>
      <c r="J758"/>
      <c r="K758"/>
      <c r="L758"/>
      <c r="M758"/>
      <c r="N758"/>
      <c r="O758"/>
    </row>
    <row r="759" spans="1:15" x14ac:dyDescent="0.2">
      <c r="A759"/>
      <c r="B759"/>
      <c r="C759"/>
      <c r="D759"/>
      <c r="E759"/>
      <c r="F759"/>
      <c r="G759"/>
      <c r="H759"/>
      <c r="I759"/>
      <c r="J759"/>
      <c r="K759"/>
      <c r="L759"/>
      <c r="M759"/>
      <c r="N759"/>
      <c r="O759"/>
    </row>
    <row r="760" spans="1:15" x14ac:dyDescent="0.2">
      <c r="A760"/>
      <c r="B760"/>
      <c r="C760"/>
      <c r="D760"/>
      <c r="E760"/>
      <c r="F760"/>
      <c r="G760"/>
      <c r="H760"/>
      <c r="I760"/>
      <c r="J760"/>
      <c r="K760"/>
      <c r="L760"/>
      <c r="M760"/>
      <c r="N760"/>
      <c r="O760"/>
    </row>
    <row r="761" spans="1:15" x14ac:dyDescent="0.2">
      <c r="A761"/>
      <c r="B761"/>
      <c r="C761"/>
      <c r="D761"/>
      <c r="E761"/>
      <c r="F761"/>
      <c r="G761"/>
      <c r="H761"/>
      <c r="I761"/>
      <c r="J761"/>
      <c r="K761"/>
      <c r="L761"/>
      <c r="M761"/>
      <c r="N761"/>
      <c r="O761"/>
    </row>
    <row r="762" spans="1:15" x14ac:dyDescent="0.2">
      <c r="A762"/>
      <c r="B762"/>
      <c r="C762"/>
      <c r="D762"/>
      <c r="E762"/>
      <c r="F762"/>
      <c r="G762"/>
      <c r="H762"/>
      <c r="I762"/>
      <c r="J762"/>
      <c r="K762"/>
      <c r="L762"/>
      <c r="M762"/>
      <c r="N762"/>
      <c r="O762"/>
    </row>
    <row r="763" spans="1:15" x14ac:dyDescent="0.2">
      <c r="A763"/>
      <c r="B763"/>
      <c r="C763"/>
      <c r="D763"/>
      <c r="E763"/>
      <c r="F763"/>
      <c r="G763"/>
      <c r="H763"/>
      <c r="I763"/>
      <c r="J763"/>
      <c r="K763"/>
      <c r="L763"/>
      <c r="M763"/>
      <c r="N763"/>
      <c r="O763"/>
    </row>
    <row r="764" spans="1:15" x14ac:dyDescent="0.2">
      <c r="A764"/>
      <c r="B764"/>
      <c r="C764"/>
      <c r="D764"/>
      <c r="E764"/>
      <c r="F764"/>
      <c r="G764"/>
      <c r="H764"/>
      <c r="I764"/>
      <c r="J764"/>
      <c r="K764"/>
      <c r="L764"/>
      <c r="M764"/>
      <c r="N764"/>
      <c r="O764"/>
    </row>
    <row r="765" spans="1:15" x14ac:dyDescent="0.2">
      <c r="A765"/>
      <c r="B765"/>
      <c r="C765"/>
      <c r="D765"/>
      <c r="E765"/>
      <c r="F765"/>
      <c r="G765"/>
      <c r="H765"/>
      <c r="I765"/>
      <c r="J765"/>
      <c r="K765"/>
      <c r="L765"/>
      <c r="M765"/>
      <c r="N765"/>
      <c r="O765"/>
    </row>
    <row r="766" spans="1:15" x14ac:dyDescent="0.2">
      <c r="A766"/>
      <c r="B766"/>
      <c r="C766"/>
      <c r="D766"/>
      <c r="E766"/>
      <c r="F766"/>
      <c r="G766"/>
      <c r="H766"/>
      <c r="I766"/>
      <c r="J766"/>
      <c r="K766"/>
      <c r="L766"/>
      <c r="M766"/>
      <c r="N766"/>
      <c r="O766"/>
    </row>
    <row r="767" spans="1:15" x14ac:dyDescent="0.2">
      <c r="A767"/>
      <c r="B767"/>
      <c r="C767"/>
      <c r="D767"/>
      <c r="E767"/>
      <c r="F767"/>
      <c r="G767"/>
      <c r="H767"/>
      <c r="I767"/>
      <c r="J767"/>
      <c r="K767"/>
      <c r="L767"/>
      <c r="M767"/>
      <c r="N767"/>
      <c r="O767"/>
    </row>
    <row r="768" spans="1:15" x14ac:dyDescent="0.2">
      <c r="A768"/>
      <c r="B768"/>
      <c r="C768"/>
      <c r="D768"/>
      <c r="E768"/>
      <c r="F768"/>
      <c r="G768"/>
      <c r="H768"/>
      <c r="I768"/>
      <c r="J768"/>
      <c r="K768"/>
      <c r="L768"/>
      <c r="M768"/>
      <c r="N768"/>
      <c r="O768"/>
    </row>
    <row r="769" spans="1:15" x14ac:dyDescent="0.2">
      <c r="A769"/>
      <c r="B769"/>
      <c r="C769"/>
      <c r="D769"/>
      <c r="E769"/>
      <c r="F769"/>
      <c r="G769"/>
      <c r="H769"/>
      <c r="I769"/>
      <c r="J769"/>
      <c r="K769"/>
      <c r="L769"/>
      <c r="M769"/>
      <c r="N769"/>
      <c r="O769"/>
    </row>
    <row r="770" spans="1:15" x14ac:dyDescent="0.2">
      <c r="A770"/>
      <c r="B770"/>
      <c r="C770"/>
      <c r="D770"/>
      <c r="E770"/>
      <c r="F770"/>
      <c r="G770"/>
      <c r="H770"/>
      <c r="I770"/>
      <c r="J770"/>
      <c r="K770"/>
      <c r="L770"/>
      <c r="M770"/>
      <c r="N770"/>
      <c r="O770"/>
    </row>
    <row r="771" spans="1:15" x14ac:dyDescent="0.2">
      <c r="A771"/>
      <c r="B771"/>
      <c r="C771"/>
      <c r="D771"/>
      <c r="E771"/>
      <c r="F771"/>
      <c r="G771"/>
      <c r="H771"/>
      <c r="I771"/>
      <c r="J771"/>
      <c r="K771"/>
      <c r="L771"/>
      <c r="M771"/>
      <c r="N771"/>
      <c r="O771"/>
    </row>
    <row r="772" spans="1:15" x14ac:dyDescent="0.2">
      <c r="A772"/>
      <c r="B772"/>
      <c r="C772"/>
      <c r="D772"/>
      <c r="E772"/>
      <c r="F772"/>
      <c r="G772"/>
      <c r="H772"/>
      <c r="I772"/>
      <c r="J772"/>
      <c r="K772"/>
      <c r="L772"/>
      <c r="M772"/>
      <c r="N772"/>
      <c r="O772"/>
    </row>
    <row r="773" spans="1:15" x14ac:dyDescent="0.2">
      <c r="A773"/>
      <c r="B773"/>
      <c r="C773"/>
      <c r="D773"/>
      <c r="E773"/>
      <c r="F773"/>
      <c r="G773"/>
      <c r="H773"/>
      <c r="I773"/>
      <c r="J773"/>
      <c r="K773"/>
      <c r="L773"/>
      <c r="M773"/>
      <c r="N773"/>
      <c r="O773"/>
    </row>
    <row r="774" spans="1:15" x14ac:dyDescent="0.2">
      <c r="A774"/>
      <c r="B774"/>
      <c r="C774"/>
      <c r="D774"/>
      <c r="E774"/>
      <c r="F774"/>
      <c r="G774"/>
      <c r="H774"/>
      <c r="I774"/>
      <c r="J774"/>
      <c r="K774"/>
      <c r="L774"/>
      <c r="M774"/>
      <c r="N774"/>
      <c r="O774"/>
    </row>
    <row r="775" spans="1:15" x14ac:dyDescent="0.2">
      <c r="A775"/>
      <c r="B775"/>
      <c r="C775"/>
      <c r="D775"/>
      <c r="E775"/>
      <c r="F775"/>
      <c r="G775"/>
      <c r="H775"/>
      <c r="I775"/>
      <c r="J775"/>
      <c r="K775"/>
      <c r="L775"/>
      <c r="M775"/>
      <c r="N775"/>
      <c r="O775"/>
    </row>
    <row r="776" spans="1:15" x14ac:dyDescent="0.2">
      <c r="A776"/>
      <c r="B776"/>
      <c r="C776"/>
      <c r="D776"/>
      <c r="E776"/>
      <c r="F776"/>
      <c r="G776"/>
      <c r="H776"/>
      <c r="I776"/>
      <c r="J776"/>
      <c r="K776"/>
      <c r="L776"/>
      <c r="M776"/>
      <c r="N776"/>
      <c r="O776"/>
    </row>
    <row r="777" spans="1:15" x14ac:dyDescent="0.2">
      <c r="A777"/>
      <c r="B777"/>
      <c r="C777"/>
      <c r="D777"/>
      <c r="E777"/>
      <c r="F777"/>
      <c r="G777"/>
      <c r="H777"/>
      <c r="I777"/>
      <c r="J777"/>
      <c r="K777"/>
      <c r="L777"/>
      <c r="M777"/>
      <c r="N777"/>
      <c r="O777"/>
    </row>
    <row r="778" spans="1:15" x14ac:dyDescent="0.2">
      <c r="A778"/>
      <c r="B778"/>
      <c r="C778"/>
      <c r="D778"/>
      <c r="E778"/>
      <c r="F778"/>
      <c r="G778"/>
      <c r="H778"/>
      <c r="I778"/>
      <c r="J778"/>
      <c r="K778"/>
      <c r="L778"/>
      <c r="M778"/>
      <c r="N778"/>
      <c r="O778"/>
    </row>
    <row r="779" spans="1:15" x14ac:dyDescent="0.2">
      <c r="A779"/>
      <c r="B779"/>
      <c r="C779"/>
      <c r="D779"/>
      <c r="E779"/>
      <c r="F779"/>
      <c r="G779"/>
      <c r="H779"/>
      <c r="I779"/>
      <c r="J779"/>
      <c r="K779"/>
      <c r="L779"/>
      <c r="M779"/>
      <c r="N779"/>
      <c r="O779"/>
    </row>
    <row r="780" spans="1:15" x14ac:dyDescent="0.2">
      <c r="A780"/>
      <c r="B780"/>
      <c r="C780"/>
      <c r="D780"/>
      <c r="E780"/>
      <c r="F780"/>
      <c r="G780"/>
      <c r="H780"/>
      <c r="I780"/>
      <c r="J780"/>
      <c r="K780"/>
      <c r="L780"/>
      <c r="M780"/>
      <c r="N780"/>
      <c r="O780"/>
    </row>
    <row r="781" spans="1:15" x14ac:dyDescent="0.2">
      <c r="A781"/>
      <c r="B781"/>
      <c r="C781"/>
      <c r="D781"/>
      <c r="E781"/>
      <c r="F781"/>
      <c r="G781"/>
      <c r="H781"/>
      <c r="I781"/>
      <c r="J781"/>
      <c r="K781"/>
      <c r="L781"/>
      <c r="M781"/>
      <c r="N781"/>
      <c r="O781"/>
    </row>
    <row r="782" spans="1:15" x14ac:dyDescent="0.2">
      <c r="A782"/>
      <c r="B782"/>
      <c r="C782"/>
      <c r="D782"/>
      <c r="E782"/>
      <c r="F782"/>
      <c r="G782"/>
      <c r="H782"/>
      <c r="I782"/>
      <c r="J782"/>
      <c r="K782"/>
      <c r="L782"/>
      <c r="M782"/>
      <c r="N782"/>
      <c r="O782"/>
    </row>
    <row r="783" spans="1:15" x14ac:dyDescent="0.2">
      <c r="A783"/>
      <c r="B783"/>
      <c r="C783"/>
      <c r="D783"/>
      <c r="E783"/>
      <c r="F783"/>
      <c r="G783"/>
      <c r="H783"/>
      <c r="I783"/>
      <c r="J783"/>
      <c r="K783"/>
      <c r="L783"/>
      <c r="M783"/>
      <c r="N783"/>
      <c r="O783"/>
    </row>
    <row r="784" spans="1:15" x14ac:dyDescent="0.2">
      <c r="A784"/>
      <c r="B784"/>
      <c r="C784"/>
      <c r="D784"/>
      <c r="E784"/>
      <c r="F784"/>
      <c r="G784"/>
      <c r="H784"/>
      <c r="I784"/>
      <c r="J784"/>
      <c r="K784"/>
      <c r="L784"/>
      <c r="M784"/>
      <c r="N784"/>
      <c r="O784"/>
    </row>
    <row r="785" spans="1:15" x14ac:dyDescent="0.2">
      <c r="A785"/>
      <c r="B785"/>
      <c r="C785"/>
      <c r="D785"/>
      <c r="E785"/>
      <c r="F785"/>
      <c r="G785"/>
      <c r="H785"/>
      <c r="I785"/>
      <c r="J785"/>
      <c r="K785"/>
      <c r="L785"/>
      <c r="M785"/>
      <c r="N785"/>
      <c r="O785"/>
    </row>
    <row r="786" spans="1:15" x14ac:dyDescent="0.2">
      <c r="A786"/>
      <c r="B786"/>
      <c r="C786"/>
      <c r="D786"/>
      <c r="E786"/>
      <c r="F786"/>
      <c r="G786"/>
      <c r="H786"/>
      <c r="I786"/>
      <c r="J786"/>
      <c r="K786"/>
      <c r="L786"/>
      <c r="M786"/>
      <c r="N786"/>
      <c r="O786"/>
    </row>
    <row r="787" spans="1:15" x14ac:dyDescent="0.2">
      <c r="A787"/>
      <c r="B787"/>
      <c r="C787"/>
      <c r="D787"/>
      <c r="E787"/>
      <c r="F787"/>
      <c r="G787"/>
      <c r="H787"/>
      <c r="I787"/>
      <c r="J787"/>
      <c r="K787"/>
      <c r="L787"/>
      <c r="M787"/>
      <c r="N787"/>
      <c r="O787"/>
    </row>
    <row r="788" spans="1:15" x14ac:dyDescent="0.2">
      <c r="A788"/>
      <c r="B788"/>
      <c r="C788"/>
      <c r="D788"/>
      <c r="E788"/>
      <c r="F788"/>
      <c r="G788"/>
      <c r="H788"/>
      <c r="I788"/>
      <c r="J788"/>
      <c r="K788"/>
      <c r="L788"/>
      <c r="M788"/>
      <c r="N788"/>
      <c r="O788"/>
    </row>
    <row r="789" spans="1:15" x14ac:dyDescent="0.2">
      <c r="A789"/>
      <c r="B789"/>
      <c r="C789"/>
      <c r="D789"/>
      <c r="E789"/>
      <c r="F789"/>
      <c r="G789"/>
      <c r="H789"/>
      <c r="I789"/>
      <c r="J789"/>
      <c r="K789"/>
      <c r="L789"/>
      <c r="M789"/>
      <c r="N789"/>
      <c r="O789"/>
    </row>
    <row r="790" spans="1:15" x14ac:dyDescent="0.2">
      <c r="A790"/>
      <c r="B790"/>
      <c r="C790"/>
      <c r="D790"/>
      <c r="E790"/>
      <c r="F790"/>
      <c r="G790"/>
      <c r="H790"/>
      <c r="I790"/>
      <c r="J790"/>
      <c r="K790"/>
      <c r="L790"/>
      <c r="M790"/>
      <c r="N790"/>
      <c r="O790"/>
    </row>
    <row r="791" spans="1:15" x14ac:dyDescent="0.2">
      <c r="A791"/>
      <c r="B791"/>
      <c r="C791"/>
      <c r="D791"/>
      <c r="E791"/>
      <c r="F791"/>
      <c r="G791"/>
      <c r="H791"/>
      <c r="I791"/>
      <c r="J791"/>
      <c r="K791"/>
      <c r="L791"/>
      <c r="M791"/>
      <c r="N791"/>
      <c r="O791"/>
    </row>
    <row r="792" spans="1:15" x14ac:dyDescent="0.2">
      <c r="A792"/>
      <c r="B792"/>
      <c r="C792"/>
      <c r="D792"/>
      <c r="E792"/>
      <c r="F792"/>
      <c r="G792"/>
      <c r="H792"/>
      <c r="I792"/>
      <c r="J792"/>
      <c r="K792"/>
      <c r="L792"/>
      <c r="M792"/>
      <c r="N792"/>
      <c r="O792"/>
    </row>
    <row r="793" spans="1:15" x14ac:dyDescent="0.2">
      <c r="A793"/>
      <c r="B793"/>
      <c r="C793"/>
      <c r="D793"/>
      <c r="E793"/>
      <c r="F793"/>
      <c r="G793"/>
      <c r="H793"/>
      <c r="I793"/>
      <c r="J793"/>
      <c r="K793"/>
      <c r="L793"/>
      <c r="M793"/>
      <c r="N793"/>
      <c r="O793"/>
    </row>
    <row r="794" spans="1:15" x14ac:dyDescent="0.2">
      <c r="A794"/>
      <c r="B794"/>
      <c r="C794"/>
      <c r="D794"/>
      <c r="E794"/>
      <c r="F794"/>
      <c r="G794"/>
      <c r="H794"/>
      <c r="I794"/>
      <c r="J794"/>
      <c r="K794"/>
      <c r="L794"/>
      <c r="M794"/>
      <c r="N794"/>
      <c r="O794"/>
    </row>
    <row r="795" spans="1:15" x14ac:dyDescent="0.2">
      <c r="A795"/>
      <c r="B795"/>
      <c r="C795"/>
      <c r="D795"/>
      <c r="E795"/>
      <c r="F795"/>
      <c r="G795"/>
      <c r="H795"/>
      <c r="I795"/>
      <c r="J795"/>
      <c r="K795"/>
      <c r="L795"/>
      <c r="M795"/>
      <c r="N795"/>
      <c r="O795"/>
    </row>
    <row r="796" spans="1:15" x14ac:dyDescent="0.2">
      <c r="A796"/>
      <c r="B796"/>
      <c r="C796"/>
      <c r="D796"/>
      <c r="E796"/>
      <c r="F796"/>
      <c r="G796"/>
      <c r="H796"/>
      <c r="I796"/>
      <c r="J796"/>
      <c r="K796"/>
      <c r="L796"/>
      <c r="M796"/>
      <c r="N796"/>
      <c r="O796"/>
    </row>
    <row r="797" spans="1:15" x14ac:dyDescent="0.2">
      <c r="A797"/>
      <c r="B797"/>
      <c r="C797"/>
      <c r="D797"/>
      <c r="E797"/>
      <c r="F797"/>
      <c r="G797"/>
      <c r="H797"/>
      <c r="I797"/>
      <c r="J797"/>
      <c r="K797"/>
      <c r="L797"/>
      <c r="M797"/>
      <c r="N797"/>
      <c r="O797"/>
    </row>
    <row r="798" spans="1:15" x14ac:dyDescent="0.2">
      <c r="A798"/>
      <c r="B798"/>
      <c r="C798"/>
      <c r="D798"/>
      <c r="E798"/>
      <c r="F798"/>
      <c r="G798"/>
      <c r="H798"/>
      <c r="I798"/>
      <c r="J798"/>
      <c r="K798"/>
      <c r="L798"/>
      <c r="M798"/>
      <c r="N798"/>
      <c r="O798"/>
    </row>
    <row r="799" spans="1:15" x14ac:dyDescent="0.2">
      <c r="A799"/>
      <c r="B799"/>
      <c r="C799"/>
      <c r="D799"/>
      <c r="E799"/>
      <c r="F799"/>
      <c r="G799"/>
      <c r="H799"/>
      <c r="I799"/>
      <c r="J799"/>
      <c r="K799"/>
      <c r="L799"/>
      <c r="M799"/>
      <c r="N799"/>
      <c r="O799"/>
    </row>
    <row r="800" spans="1:15" x14ac:dyDescent="0.2">
      <c r="A800"/>
      <c r="B800"/>
      <c r="C800"/>
      <c r="D800"/>
      <c r="E800"/>
      <c r="F800"/>
      <c r="G800"/>
      <c r="H800"/>
      <c r="I800"/>
      <c r="J800"/>
      <c r="K800"/>
      <c r="L800"/>
      <c r="M800"/>
      <c r="N800"/>
      <c r="O800"/>
    </row>
    <row r="801" spans="1:15" x14ac:dyDescent="0.2">
      <c r="A801"/>
      <c r="B801"/>
      <c r="C801"/>
      <c r="D801"/>
      <c r="E801"/>
      <c r="F801"/>
      <c r="G801"/>
      <c r="H801"/>
      <c r="I801"/>
      <c r="J801"/>
      <c r="K801"/>
      <c r="L801"/>
      <c r="M801"/>
      <c r="N801"/>
      <c r="O801"/>
    </row>
    <row r="802" spans="1:15" x14ac:dyDescent="0.2">
      <c r="A802"/>
      <c r="B802"/>
      <c r="C802"/>
      <c r="D802"/>
      <c r="E802"/>
      <c r="F802"/>
      <c r="G802"/>
      <c r="H802"/>
      <c r="I802"/>
      <c r="J802"/>
      <c r="K802"/>
      <c r="L802"/>
      <c r="M802"/>
      <c r="N802"/>
      <c r="O802"/>
    </row>
    <row r="803" spans="1:15" x14ac:dyDescent="0.2">
      <c r="A803"/>
      <c r="B803"/>
      <c r="C803"/>
      <c r="D803"/>
      <c r="E803"/>
      <c r="F803"/>
      <c r="G803"/>
      <c r="H803"/>
      <c r="I803"/>
      <c r="J803"/>
      <c r="K803"/>
      <c r="L803"/>
      <c r="M803"/>
      <c r="N803"/>
      <c r="O803"/>
    </row>
    <row r="804" spans="1:15" x14ac:dyDescent="0.2">
      <c r="A804"/>
      <c r="B804"/>
      <c r="C804"/>
      <c r="D804"/>
      <c r="E804"/>
      <c r="F804"/>
      <c r="G804"/>
      <c r="H804"/>
      <c r="I804"/>
      <c r="J804"/>
      <c r="K804"/>
      <c r="L804"/>
      <c r="M804"/>
      <c r="N804"/>
      <c r="O804"/>
    </row>
    <row r="805" spans="1:15" x14ac:dyDescent="0.2">
      <c r="A805"/>
      <c r="B805"/>
      <c r="C805"/>
      <c r="D805"/>
      <c r="E805"/>
      <c r="F805"/>
      <c r="G805"/>
      <c r="H805"/>
      <c r="I805"/>
      <c r="J805"/>
      <c r="K805"/>
      <c r="L805"/>
      <c r="M805"/>
      <c r="N805"/>
      <c r="O805"/>
    </row>
    <row r="806" spans="1:15" x14ac:dyDescent="0.2">
      <c r="A806"/>
      <c r="B806"/>
      <c r="C806"/>
      <c r="D806"/>
      <c r="E806"/>
      <c r="F806"/>
      <c r="G806"/>
      <c r="H806"/>
      <c r="I806"/>
      <c r="J806"/>
      <c r="K806"/>
      <c r="L806"/>
      <c r="M806"/>
      <c r="N806"/>
      <c r="O806"/>
    </row>
    <row r="807" spans="1:15" x14ac:dyDescent="0.2">
      <c r="A807"/>
      <c r="B807"/>
      <c r="C807"/>
      <c r="D807"/>
      <c r="E807"/>
      <c r="F807"/>
      <c r="G807"/>
      <c r="H807"/>
      <c r="I807"/>
      <c r="J807"/>
      <c r="K807"/>
      <c r="L807"/>
      <c r="M807"/>
      <c r="N807"/>
      <c r="O807"/>
    </row>
    <row r="808" spans="1:15" x14ac:dyDescent="0.2">
      <c r="A808"/>
      <c r="B808"/>
      <c r="C808"/>
      <c r="D808"/>
      <c r="E808"/>
      <c r="F808"/>
      <c r="G808"/>
      <c r="H808"/>
      <c r="I808"/>
      <c r="J808"/>
      <c r="K808"/>
      <c r="L808"/>
      <c r="M808"/>
      <c r="N808"/>
      <c r="O808"/>
    </row>
    <row r="809" spans="1:15" x14ac:dyDescent="0.2">
      <c r="A809"/>
      <c r="B809"/>
      <c r="C809"/>
      <c r="D809"/>
      <c r="E809"/>
      <c r="F809"/>
      <c r="G809"/>
      <c r="H809"/>
      <c r="I809"/>
      <c r="J809"/>
      <c r="K809"/>
      <c r="L809"/>
      <c r="M809"/>
      <c r="N809"/>
      <c r="O809"/>
    </row>
    <row r="810" spans="1:15" x14ac:dyDescent="0.2">
      <c r="A810"/>
      <c r="B810"/>
      <c r="C810"/>
      <c r="D810"/>
      <c r="E810"/>
      <c r="F810"/>
      <c r="G810"/>
      <c r="H810"/>
      <c r="I810"/>
      <c r="J810"/>
      <c r="K810"/>
      <c r="L810"/>
      <c r="M810"/>
      <c r="N810"/>
      <c r="O810"/>
    </row>
    <row r="811" spans="1:15" x14ac:dyDescent="0.2">
      <c r="A811"/>
      <c r="B811"/>
      <c r="C811"/>
      <c r="D811"/>
      <c r="E811"/>
      <c r="F811"/>
      <c r="G811"/>
      <c r="H811"/>
      <c r="I811"/>
      <c r="J811"/>
      <c r="K811"/>
      <c r="L811"/>
      <c r="M811"/>
      <c r="N811"/>
      <c r="O811"/>
    </row>
    <row r="812" spans="1:15" x14ac:dyDescent="0.2">
      <c r="A812"/>
      <c r="B812"/>
      <c r="C812"/>
      <c r="D812"/>
      <c r="E812"/>
      <c r="F812"/>
      <c r="G812"/>
      <c r="H812"/>
      <c r="I812"/>
      <c r="J812"/>
      <c r="K812"/>
      <c r="L812"/>
      <c r="M812"/>
      <c r="N812"/>
      <c r="O812"/>
    </row>
    <row r="813" spans="1:15" x14ac:dyDescent="0.2">
      <c r="A813"/>
      <c r="B813"/>
      <c r="C813"/>
      <c r="D813"/>
      <c r="E813"/>
      <c r="F813"/>
      <c r="G813"/>
      <c r="H813"/>
      <c r="I813"/>
      <c r="J813"/>
      <c r="K813"/>
      <c r="L813"/>
      <c r="M813"/>
      <c r="N813"/>
      <c r="O813"/>
    </row>
    <row r="814" spans="1:15" x14ac:dyDescent="0.2">
      <c r="A814"/>
      <c r="B814"/>
      <c r="C814"/>
      <c r="D814"/>
      <c r="E814"/>
      <c r="F814"/>
      <c r="G814"/>
      <c r="H814"/>
      <c r="I814"/>
      <c r="J814"/>
      <c r="K814"/>
      <c r="L814"/>
      <c r="M814"/>
      <c r="N814"/>
      <c r="O814"/>
    </row>
    <row r="815" spans="1:15" x14ac:dyDescent="0.2">
      <c r="A815"/>
      <c r="B815"/>
      <c r="C815"/>
      <c r="D815"/>
      <c r="E815"/>
      <c r="F815"/>
      <c r="G815"/>
      <c r="H815"/>
      <c r="I815"/>
      <c r="J815"/>
      <c r="K815"/>
      <c r="L815"/>
      <c r="M815"/>
      <c r="N815"/>
      <c r="O815"/>
    </row>
    <row r="816" spans="1:15" x14ac:dyDescent="0.2">
      <c r="A816"/>
      <c r="B816"/>
      <c r="C816"/>
      <c r="D816"/>
      <c r="E816"/>
      <c r="F816"/>
      <c r="G816"/>
      <c r="H816"/>
      <c r="I816"/>
      <c r="J816"/>
      <c r="K816"/>
      <c r="L816"/>
      <c r="M816"/>
      <c r="N816"/>
      <c r="O816"/>
    </row>
    <row r="817" spans="1:15" x14ac:dyDescent="0.2">
      <c r="A817"/>
      <c r="B817"/>
      <c r="C817"/>
      <c r="D817"/>
      <c r="E817"/>
      <c r="F817"/>
      <c r="G817"/>
      <c r="H817"/>
      <c r="I817"/>
      <c r="J817"/>
      <c r="K817"/>
      <c r="L817"/>
      <c r="M817"/>
      <c r="N817"/>
      <c r="O817"/>
    </row>
    <row r="818" spans="1:15" x14ac:dyDescent="0.2">
      <c r="A818"/>
      <c r="B818"/>
      <c r="C818"/>
      <c r="D818"/>
      <c r="E818"/>
      <c r="F818"/>
      <c r="G818"/>
      <c r="H818"/>
      <c r="I818"/>
      <c r="J818"/>
      <c r="K818"/>
      <c r="L818"/>
      <c r="M818"/>
      <c r="N818"/>
      <c r="O818"/>
    </row>
    <row r="819" spans="1:15" x14ac:dyDescent="0.2">
      <c r="A819"/>
      <c r="B819"/>
      <c r="C819"/>
      <c r="D819"/>
      <c r="E819"/>
      <c r="F819"/>
      <c r="G819"/>
      <c r="H819"/>
      <c r="I819"/>
      <c r="J819"/>
      <c r="K819"/>
      <c r="L819"/>
      <c r="M819"/>
      <c r="N819"/>
      <c r="O819"/>
    </row>
    <row r="820" spans="1:15" x14ac:dyDescent="0.2">
      <c r="A820"/>
      <c r="B820"/>
      <c r="C820"/>
      <c r="D820"/>
      <c r="E820"/>
      <c r="F820"/>
      <c r="G820"/>
      <c r="H820"/>
      <c r="I820"/>
      <c r="J820"/>
      <c r="K820"/>
      <c r="L820"/>
      <c r="M820"/>
      <c r="N820"/>
      <c r="O820"/>
    </row>
    <row r="821" spans="1:15" x14ac:dyDescent="0.2">
      <c r="A821"/>
      <c r="B821"/>
      <c r="C821"/>
      <c r="D821"/>
      <c r="E821"/>
      <c r="F821"/>
      <c r="G821"/>
      <c r="H821"/>
      <c r="I821"/>
      <c r="J821"/>
      <c r="K821"/>
      <c r="L821"/>
      <c r="M821"/>
      <c r="N821"/>
      <c r="O821"/>
    </row>
    <row r="822" spans="1:15" x14ac:dyDescent="0.2">
      <c r="A822"/>
      <c r="B822"/>
      <c r="C822"/>
      <c r="D822"/>
      <c r="E822"/>
      <c r="F822"/>
      <c r="G822"/>
      <c r="H822"/>
      <c r="I822"/>
      <c r="J822"/>
      <c r="K822"/>
      <c r="L822"/>
      <c r="M822"/>
      <c r="N822"/>
      <c r="O822"/>
    </row>
    <row r="823" spans="1:15" x14ac:dyDescent="0.2">
      <c r="A823"/>
      <c r="B823"/>
      <c r="C823"/>
      <c r="D823"/>
      <c r="E823"/>
      <c r="F823"/>
      <c r="G823"/>
      <c r="H823"/>
      <c r="I823"/>
      <c r="J823"/>
      <c r="K823"/>
      <c r="L823"/>
      <c r="M823"/>
      <c r="N823"/>
      <c r="O823"/>
    </row>
    <row r="824" spans="1:15" x14ac:dyDescent="0.2">
      <c r="A824"/>
      <c r="B824"/>
      <c r="C824"/>
      <c r="D824"/>
      <c r="E824"/>
      <c r="F824"/>
      <c r="G824"/>
      <c r="H824"/>
      <c r="I824"/>
      <c r="J824"/>
      <c r="K824"/>
      <c r="L824"/>
      <c r="M824"/>
      <c r="N824"/>
      <c r="O824"/>
    </row>
    <row r="825" spans="1:15" x14ac:dyDescent="0.2">
      <c r="A825"/>
      <c r="B825"/>
      <c r="C825"/>
      <c r="D825"/>
      <c r="E825"/>
      <c r="F825"/>
      <c r="G825"/>
      <c r="H825"/>
      <c r="I825"/>
      <c r="J825"/>
      <c r="K825"/>
      <c r="L825"/>
      <c r="M825"/>
      <c r="N825"/>
      <c r="O825"/>
    </row>
    <row r="826" spans="1:15" x14ac:dyDescent="0.2">
      <c r="A826"/>
      <c r="B826"/>
      <c r="C826"/>
      <c r="D826"/>
      <c r="E826"/>
      <c r="F826"/>
      <c r="G826"/>
      <c r="H826"/>
      <c r="I826"/>
      <c r="J826"/>
      <c r="K826"/>
      <c r="L826"/>
      <c r="M826"/>
      <c r="N826"/>
      <c r="O826"/>
    </row>
    <row r="827" spans="1:15" x14ac:dyDescent="0.2">
      <c r="A827"/>
      <c r="B827"/>
      <c r="C827"/>
      <c r="D827"/>
      <c r="E827"/>
      <c r="F827"/>
      <c r="G827"/>
      <c r="H827"/>
      <c r="I827"/>
      <c r="J827"/>
      <c r="K827"/>
      <c r="L827"/>
      <c r="M827"/>
      <c r="N827"/>
      <c r="O827"/>
    </row>
    <row r="828" spans="1:15" x14ac:dyDescent="0.2">
      <c r="A828"/>
      <c r="B828"/>
      <c r="C828"/>
      <c r="D828"/>
      <c r="E828"/>
      <c r="F828"/>
      <c r="G828"/>
      <c r="H828"/>
      <c r="I828"/>
      <c r="J828"/>
      <c r="K828"/>
      <c r="L828"/>
      <c r="M828"/>
      <c r="N828"/>
      <c r="O828"/>
    </row>
    <row r="829" spans="1:15" x14ac:dyDescent="0.2">
      <c r="A829"/>
      <c r="B829"/>
      <c r="C829"/>
      <c r="D829"/>
      <c r="E829"/>
      <c r="F829"/>
      <c r="G829"/>
      <c r="H829"/>
      <c r="I829"/>
      <c r="J829"/>
      <c r="K829"/>
      <c r="L829"/>
      <c r="M829"/>
      <c r="N829"/>
      <c r="O829"/>
    </row>
    <row r="830" spans="1:15" x14ac:dyDescent="0.2">
      <c r="A830"/>
      <c r="B830"/>
      <c r="C830"/>
      <c r="D830"/>
      <c r="E830"/>
      <c r="F830"/>
      <c r="G830"/>
      <c r="H830"/>
      <c r="I830"/>
      <c r="J830"/>
      <c r="K830"/>
      <c r="L830"/>
      <c r="M830"/>
      <c r="N830"/>
      <c r="O830"/>
    </row>
    <row r="831" spans="1:15" x14ac:dyDescent="0.2">
      <c r="A831"/>
      <c r="B831"/>
      <c r="C831"/>
      <c r="D831"/>
      <c r="E831"/>
      <c r="F831"/>
      <c r="G831"/>
      <c r="H831"/>
      <c r="I831"/>
      <c r="J831"/>
      <c r="K831"/>
      <c r="L831"/>
      <c r="M831"/>
      <c r="N831"/>
      <c r="O831"/>
    </row>
    <row r="832" spans="1:15" x14ac:dyDescent="0.2">
      <c r="A832"/>
      <c r="B832"/>
      <c r="C832"/>
      <c r="D832"/>
      <c r="E832"/>
      <c r="F832"/>
      <c r="G832"/>
      <c r="H832"/>
      <c r="I832"/>
      <c r="J832"/>
      <c r="K832"/>
      <c r="L832"/>
      <c r="M832"/>
      <c r="N832"/>
      <c r="O832"/>
    </row>
    <row r="833" spans="1:15" x14ac:dyDescent="0.2">
      <c r="A833"/>
      <c r="B833"/>
      <c r="C833"/>
      <c r="D833"/>
      <c r="E833"/>
      <c r="F833"/>
      <c r="G833"/>
      <c r="H833"/>
      <c r="I833"/>
      <c r="J833"/>
      <c r="K833"/>
      <c r="L833"/>
      <c r="M833"/>
      <c r="N833"/>
      <c r="O833"/>
    </row>
    <row r="834" spans="1:15" x14ac:dyDescent="0.2">
      <c r="A834"/>
      <c r="B834"/>
      <c r="C834"/>
      <c r="D834"/>
      <c r="E834"/>
      <c r="F834"/>
      <c r="G834"/>
      <c r="H834"/>
      <c r="I834"/>
      <c r="J834"/>
      <c r="K834"/>
      <c r="L834"/>
      <c r="M834"/>
      <c r="N834"/>
      <c r="O834"/>
    </row>
    <row r="835" spans="1:15" x14ac:dyDescent="0.2">
      <c r="A835"/>
      <c r="B835"/>
      <c r="C835"/>
      <c r="D835"/>
      <c r="E835"/>
      <c r="F835"/>
      <c r="G835"/>
      <c r="H835"/>
      <c r="I835"/>
      <c r="J835"/>
      <c r="K835"/>
      <c r="L835"/>
      <c r="M835"/>
      <c r="N835"/>
      <c r="O835"/>
    </row>
    <row r="836" spans="1:15" x14ac:dyDescent="0.2">
      <c r="A836"/>
      <c r="B836"/>
      <c r="C836"/>
      <c r="D836"/>
      <c r="E836"/>
      <c r="F836"/>
      <c r="G836"/>
      <c r="H836"/>
      <c r="I836"/>
      <c r="J836"/>
      <c r="K836"/>
      <c r="L836"/>
      <c r="M836"/>
      <c r="N836"/>
      <c r="O836"/>
    </row>
    <row r="837" spans="1:15" x14ac:dyDescent="0.2">
      <c r="A837"/>
      <c r="B837"/>
      <c r="C837"/>
      <c r="D837"/>
      <c r="E837"/>
      <c r="F837"/>
      <c r="G837"/>
      <c r="H837"/>
      <c r="I837"/>
      <c r="J837"/>
      <c r="K837"/>
      <c r="L837"/>
      <c r="M837"/>
      <c r="N837"/>
      <c r="O837"/>
    </row>
    <row r="838" spans="1:15" x14ac:dyDescent="0.2">
      <c r="A838"/>
      <c r="B838"/>
      <c r="C838"/>
      <c r="D838"/>
      <c r="E838"/>
      <c r="F838"/>
      <c r="G838"/>
      <c r="H838"/>
      <c r="I838"/>
      <c r="J838"/>
      <c r="K838"/>
      <c r="L838"/>
      <c r="M838"/>
      <c r="N838"/>
      <c r="O838"/>
    </row>
    <row r="839" spans="1:15" x14ac:dyDescent="0.2">
      <c r="A839"/>
      <c r="B839"/>
      <c r="C839"/>
      <c r="D839"/>
      <c r="E839"/>
      <c r="F839"/>
      <c r="G839"/>
      <c r="H839"/>
      <c r="I839"/>
      <c r="J839"/>
      <c r="K839"/>
      <c r="L839"/>
      <c r="M839"/>
      <c r="N839"/>
      <c r="O839"/>
    </row>
    <row r="840" spans="1:15" x14ac:dyDescent="0.2">
      <c r="A840"/>
      <c r="B840"/>
      <c r="C840"/>
      <c r="D840"/>
      <c r="E840"/>
      <c r="F840"/>
      <c r="G840"/>
      <c r="H840"/>
      <c r="I840"/>
      <c r="J840"/>
      <c r="K840"/>
      <c r="L840"/>
      <c r="M840"/>
      <c r="N840"/>
      <c r="O840"/>
    </row>
    <row r="841" spans="1:15" x14ac:dyDescent="0.2">
      <c r="A841"/>
      <c r="B841"/>
      <c r="C841"/>
      <c r="D841"/>
      <c r="E841"/>
      <c r="F841"/>
      <c r="G841"/>
      <c r="H841"/>
      <c r="I841"/>
      <c r="J841"/>
      <c r="K841"/>
      <c r="L841"/>
      <c r="M841"/>
      <c r="N841"/>
      <c r="O841"/>
    </row>
    <row r="842" spans="1:15" x14ac:dyDescent="0.2">
      <c r="A842"/>
      <c r="B842"/>
      <c r="C842"/>
      <c r="D842"/>
      <c r="E842"/>
      <c r="F842"/>
      <c r="G842"/>
      <c r="H842"/>
      <c r="I842"/>
      <c r="J842"/>
      <c r="K842"/>
      <c r="L842"/>
      <c r="M842"/>
      <c r="N842"/>
      <c r="O842"/>
    </row>
    <row r="843" spans="1:15" x14ac:dyDescent="0.2">
      <c r="A843"/>
      <c r="B843"/>
      <c r="C843"/>
      <c r="D843"/>
      <c r="E843"/>
      <c r="F843"/>
      <c r="G843"/>
      <c r="H843"/>
      <c r="I843"/>
      <c r="J843"/>
      <c r="K843"/>
      <c r="L843"/>
      <c r="M843"/>
      <c r="N843"/>
      <c r="O843"/>
    </row>
    <row r="844" spans="1:15" x14ac:dyDescent="0.2">
      <c r="A844"/>
      <c r="B844"/>
      <c r="C844"/>
      <c r="D844"/>
      <c r="E844"/>
      <c r="F844"/>
      <c r="G844"/>
      <c r="H844"/>
      <c r="I844"/>
      <c r="J844"/>
      <c r="K844"/>
      <c r="L844"/>
      <c r="M844"/>
      <c r="N844"/>
      <c r="O844"/>
    </row>
    <row r="845" spans="1:15" x14ac:dyDescent="0.2">
      <c r="A845"/>
      <c r="B845"/>
      <c r="C845"/>
      <c r="D845"/>
      <c r="E845"/>
      <c r="F845"/>
      <c r="G845"/>
      <c r="H845"/>
      <c r="I845"/>
      <c r="J845"/>
      <c r="K845"/>
      <c r="L845"/>
      <c r="M845"/>
      <c r="N845"/>
      <c r="O845"/>
    </row>
    <row r="846" spans="1:15" x14ac:dyDescent="0.2">
      <c r="A846"/>
      <c r="B846"/>
      <c r="C846"/>
      <c r="D846"/>
      <c r="E846"/>
      <c r="F846"/>
      <c r="G846"/>
      <c r="H846"/>
      <c r="I846"/>
      <c r="J846"/>
      <c r="K846"/>
      <c r="L846"/>
      <c r="M846"/>
      <c r="N846"/>
      <c r="O846"/>
    </row>
    <row r="847" spans="1:15" x14ac:dyDescent="0.2">
      <c r="A847"/>
      <c r="B847"/>
      <c r="C847"/>
      <c r="D847"/>
      <c r="E847"/>
      <c r="F847"/>
      <c r="G847"/>
      <c r="H847"/>
      <c r="I847"/>
      <c r="J847"/>
      <c r="K847"/>
      <c r="L847"/>
      <c r="M847"/>
      <c r="N847"/>
      <c r="O847"/>
    </row>
    <row r="848" spans="1:15" x14ac:dyDescent="0.2">
      <c r="A848"/>
      <c r="B848"/>
      <c r="C848"/>
      <c r="D848"/>
      <c r="E848"/>
      <c r="F848"/>
      <c r="G848"/>
      <c r="H848"/>
      <c r="I848"/>
      <c r="J848"/>
      <c r="K848"/>
      <c r="L848"/>
      <c r="M848"/>
      <c r="N848"/>
      <c r="O848"/>
    </row>
    <row r="849" spans="1:15" x14ac:dyDescent="0.2">
      <c r="A849"/>
      <c r="B849"/>
      <c r="C849"/>
      <c r="D849"/>
      <c r="E849"/>
      <c r="F849"/>
      <c r="G849"/>
      <c r="H849"/>
      <c r="I849"/>
      <c r="J849"/>
      <c r="K849"/>
      <c r="L849"/>
      <c r="M849"/>
      <c r="N849"/>
      <c r="O849"/>
    </row>
    <row r="850" spans="1:15" x14ac:dyDescent="0.2">
      <c r="A850"/>
      <c r="B850"/>
      <c r="C850"/>
      <c r="D850"/>
      <c r="E850"/>
      <c r="F850"/>
      <c r="G850"/>
      <c r="H850"/>
      <c r="I850"/>
      <c r="J850"/>
      <c r="K850"/>
      <c r="L850"/>
      <c r="M850"/>
      <c r="N850"/>
      <c r="O850"/>
    </row>
    <row r="851" spans="1:15" x14ac:dyDescent="0.2">
      <c r="A851"/>
      <c r="B851"/>
      <c r="C851"/>
      <c r="D851"/>
      <c r="E851"/>
      <c r="F851"/>
      <c r="G851"/>
      <c r="H851"/>
      <c r="I851"/>
      <c r="J851"/>
      <c r="K851"/>
      <c r="L851"/>
      <c r="M851"/>
      <c r="N851"/>
      <c r="O851"/>
    </row>
    <row r="852" spans="1:15" x14ac:dyDescent="0.2">
      <c r="A852"/>
      <c r="B852"/>
      <c r="C852"/>
      <c r="D852"/>
      <c r="E852"/>
      <c r="F852"/>
      <c r="G852"/>
      <c r="H852"/>
      <c r="I852"/>
      <c r="J852"/>
      <c r="K852"/>
      <c r="L852"/>
      <c r="M852"/>
      <c r="N852"/>
      <c r="O852"/>
    </row>
    <row r="853" spans="1:15" x14ac:dyDescent="0.2">
      <c r="A853"/>
      <c r="B853"/>
      <c r="C853"/>
      <c r="D853"/>
      <c r="E853"/>
      <c r="F853"/>
      <c r="G853"/>
      <c r="H853"/>
      <c r="I853"/>
      <c r="J853"/>
      <c r="K853"/>
      <c r="L853"/>
      <c r="M853"/>
      <c r="N853"/>
      <c r="O853"/>
    </row>
    <row r="854" spans="1:15" x14ac:dyDescent="0.2">
      <c r="A854"/>
      <c r="B854"/>
      <c r="C854"/>
      <c r="D854"/>
      <c r="E854"/>
      <c r="F854"/>
      <c r="G854"/>
      <c r="H854"/>
      <c r="I854"/>
      <c r="J854"/>
      <c r="K854"/>
      <c r="L854"/>
      <c r="M854"/>
      <c r="N854"/>
      <c r="O854"/>
    </row>
    <row r="855" spans="1:15" x14ac:dyDescent="0.2">
      <c r="A855"/>
      <c r="B855"/>
      <c r="C855"/>
      <c r="D855"/>
      <c r="E855"/>
      <c r="F855"/>
      <c r="G855"/>
      <c r="H855"/>
      <c r="I855"/>
      <c r="J855"/>
      <c r="K855"/>
      <c r="L855"/>
      <c r="M855"/>
      <c r="N855"/>
      <c r="O855"/>
    </row>
    <row r="856" spans="1:15" x14ac:dyDescent="0.2">
      <c r="A856"/>
      <c r="B856"/>
      <c r="C856"/>
      <c r="D856"/>
      <c r="E856"/>
      <c r="F856"/>
      <c r="G856"/>
      <c r="H856"/>
      <c r="I856"/>
      <c r="J856"/>
      <c r="K856"/>
      <c r="L856"/>
      <c r="M856"/>
      <c r="N856"/>
      <c r="O856"/>
    </row>
    <row r="857" spans="1:15" x14ac:dyDescent="0.2">
      <c r="A857"/>
      <c r="B857"/>
      <c r="C857"/>
      <c r="D857"/>
      <c r="E857"/>
      <c r="F857"/>
      <c r="G857"/>
      <c r="H857"/>
      <c r="I857"/>
      <c r="J857"/>
      <c r="K857"/>
      <c r="L857"/>
      <c r="M857"/>
      <c r="N857"/>
      <c r="O857"/>
    </row>
    <row r="858" spans="1:15" x14ac:dyDescent="0.2">
      <c r="A858"/>
      <c r="B858"/>
      <c r="C858"/>
      <c r="D858"/>
      <c r="E858"/>
      <c r="F858"/>
      <c r="G858"/>
      <c r="H858"/>
      <c r="I858"/>
      <c r="J858"/>
      <c r="K858"/>
      <c r="L858"/>
      <c r="M858"/>
      <c r="N858"/>
      <c r="O858"/>
    </row>
    <row r="859" spans="1:15" x14ac:dyDescent="0.2">
      <c r="A859"/>
      <c r="B859"/>
      <c r="C859"/>
      <c r="D859"/>
      <c r="E859"/>
      <c r="F859"/>
      <c r="G859"/>
      <c r="H859"/>
      <c r="I859"/>
      <c r="J859"/>
      <c r="K859"/>
      <c r="L859"/>
      <c r="M859"/>
      <c r="N859"/>
      <c r="O859"/>
    </row>
    <row r="860" spans="1:15" x14ac:dyDescent="0.2">
      <c r="A860"/>
      <c r="B860"/>
      <c r="C860"/>
      <c r="D860"/>
      <c r="E860"/>
      <c r="F860"/>
      <c r="G860"/>
      <c r="H860"/>
      <c r="I860"/>
      <c r="J860"/>
      <c r="K860"/>
      <c r="L860"/>
      <c r="M860"/>
      <c r="N860"/>
      <c r="O860"/>
    </row>
    <row r="861" spans="1:15" x14ac:dyDescent="0.2">
      <c r="A861"/>
      <c r="B861"/>
      <c r="C861"/>
      <c r="D861"/>
      <c r="E861"/>
      <c r="F861"/>
      <c r="G861"/>
      <c r="H861"/>
      <c r="I861"/>
      <c r="J861"/>
      <c r="K861"/>
      <c r="L861"/>
      <c r="M861"/>
      <c r="N861"/>
      <c r="O861"/>
    </row>
    <row r="862" spans="1:15" x14ac:dyDescent="0.2">
      <c r="A862"/>
      <c r="B862"/>
      <c r="C862"/>
      <c r="D862"/>
      <c r="E862"/>
      <c r="F862"/>
      <c r="G862"/>
      <c r="H862"/>
      <c r="I862"/>
      <c r="J862"/>
      <c r="K862"/>
      <c r="L862"/>
      <c r="M862"/>
      <c r="N862"/>
      <c r="O862"/>
    </row>
    <row r="863" spans="1:15" x14ac:dyDescent="0.2">
      <c r="A863"/>
      <c r="B863"/>
      <c r="C863"/>
      <c r="D863"/>
      <c r="E863"/>
      <c r="F863"/>
      <c r="G863"/>
      <c r="H863"/>
      <c r="I863"/>
      <c r="J863"/>
      <c r="K863"/>
      <c r="L863"/>
      <c r="M863"/>
      <c r="N863"/>
      <c r="O863"/>
    </row>
    <row r="864" spans="1:15" x14ac:dyDescent="0.2">
      <c r="A864"/>
      <c r="B864"/>
      <c r="C864"/>
      <c r="D864"/>
      <c r="E864"/>
      <c r="F864"/>
      <c r="G864"/>
      <c r="H864"/>
      <c r="I864"/>
      <c r="J864"/>
      <c r="K864"/>
      <c r="L864"/>
      <c r="M864"/>
      <c r="N864"/>
      <c r="O864"/>
    </row>
    <row r="865" spans="1:15" x14ac:dyDescent="0.2">
      <c r="A865"/>
      <c r="B865"/>
      <c r="C865"/>
      <c r="D865"/>
      <c r="E865"/>
      <c r="F865"/>
      <c r="G865"/>
      <c r="H865"/>
      <c r="I865"/>
      <c r="J865"/>
      <c r="K865"/>
      <c r="L865"/>
      <c r="M865"/>
      <c r="N865"/>
      <c r="O865"/>
    </row>
    <row r="866" spans="1:15" x14ac:dyDescent="0.2">
      <c r="A866"/>
      <c r="B866"/>
      <c r="C866"/>
      <c r="D866"/>
      <c r="E866"/>
      <c r="F866"/>
      <c r="G866"/>
      <c r="H866"/>
      <c r="I866"/>
      <c r="J866"/>
      <c r="K866"/>
      <c r="L866"/>
      <c r="M866"/>
      <c r="N866"/>
      <c r="O866"/>
    </row>
    <row r="867" spans="1:15" x14ac:dyDescent="0.2">
      <c r="A867"/>
      <c r="B867"/>
      <c r="C867"/>
      <c r="D867"/>
      <c r="E867"/>
      <c r="F867"/>
      <c r="G867"/>
      <c r="H867"/>
      <c r="I867"/>
      <c r="J867"/>
      <c r="K867"/>
      <c r="L867"/>
      <c r="M867"/>
      <c r="N867"/>
      <c r="O867"/>
    </row>
    <row r="868" spans="1:15" x14ac:dyDescent="0.2">
      <c r="A868"/>
      <c r="B868"/>
      <c r="C868"/>
      <c r="D868"/>
      <c r="E868"/>
      <c r="F868"/>
      <c r="G868"/>
      <c r="H868"/>
      <c r="I868"/>
      <c r="J868"/>
      <c r="K868"/>
      <c r="L868"/>
      <c r="M868"/>
      <c r="N868"/>
      <c r="O868"/>
    </row>
    <row r="869" spans="1:15" x14ac:dyDescent="0.2">
      <c r="A869"/>
      <c r="B869"/>
      <c r="C869"/>
      <c r="D869"/>
      <c r="E869"/>
      <c r="F869"/>
      <c r="G869"/>
      <c r="H869"/>
      <c r="I869"/>
      <c r="J869"/>
      <c r="K869"/>
      <c r="L869"/>
      <c r="M869"/>
      <c r="N869"/>
      <c r="O869"/>
    </row>
    <row r="870" spans="1:15" x14ac:dyDescent="0.2">
      <c r="A870"/>
      <c r="B870"/>
      <c r="C870"/>
      <c r="D870"/>
      <c r="E870"/>
      <c r="F870"/>
      <c r="G870"/>
      <c r="H870"/>
      <c r="I870"/>
      <c r="J870"/>
      <c r="K870"/>
      <c r="L870"/>
      <c r="M870"/>
      <c r="N870"/>
      <c r="O870"/>
    </row>
    <row r="871" spans="1:15" x14ac:dyDescent="0.2">
      <c r="A871"/>
      <c r="B871"/>
      <c r="C871"/>
      <c r="D871"/>
      <c r="E871"/>
      <c r="F871"/>
      <c r="G871"/>
      <c r="H871"/>
      <c r="I871"/>
      <c r="J871"/>
      <c r="K871"/>
      <c r="L871"/>
      <c r="M871"/>
      <c r="N871"/>
      <c r="O871"/>
    </row>
    <row r="872" spans="1:15" x14ac:dyDescent="0.2">
      <c r="A872"/>
      <c r="B872"/>
      <c r="C872"/>
      <c r="D872"/>
      <c r="E872"/>
      <c r="F872"/>
      <c r="G872"/>
      <c r="H872"/>
      <c r="I872"/>
      <c r="J872"/>
      <c r="K872"/>
      <c r="L872"/>
      <c r="M872"/>
      <c r="N872"/>
      <c r="O872"/>
    </row>
    <row r="873" spans="1:15" x14ac:dyDescent="0.2">
      <c r="A873"/>
      <c r="B873"/>
      <c r="C873"/>
      <c r="D873"/>
      <c r="E873"/>
      <c r="F873"/>
      <c r="G873"/>
      <c r="H873"/>
      <c r="I873"/>
      <c r="J873"/>
      <c r="K873"/>
      <c r="L873"/>
      <c r="M873"/>
      <c r="N873"/>
      <c r="O873"/>
    </row>
    <row r="874" spans="1:15" x14ac:dyDescent="0.2">
      <c r="A874"/>
      <c r="B874"/>
      <c r="C874"/>
      <c r="D874"/>
      <c r="E874"/>
      <c r="F874"/>
      <c r="G874"/>
      <c r="H874"/>
      <c r="I874"/>
      <c r="J874"/>
      <c r="K874"/>
      <c r="L874"/>
      <c r="M874"/>
      <c r="N874"/>
      <c r="O874"/>
    </row>
    <row r="875" spans="1:15" x14ac:dyDescent="0.2">
      <c r="A875"/>
      <c r="B875"/>
      <c r="C875"/>
      <c r="D875"/>
      <c r="E875"/>
      <c r="F875"/>
      <c r="G875"/>
      <c r="H875"/>
      <c r="I875"/>
      <c r="J875"/>
      <c r="K875"/>
      <c r="L875"/>
      <c r="M875"/>
      <c r="N875"/>
      <c r="O875"/>
    </row>
    <row r="876" spans="1:15" x14ac:dyDescent="0.2">
      <c r="A876"/>
      <c r="B876"/>
      <c r="C876"/>
      <c r="D876"/>
      <c r="E876"/>
      <c r="F876"/>
      <c r="G876"/>
      <c r="H876"/>
      <c r="I876"/>
      <c r="J876"/>
      <c r="K876"/>
      <c r="L876"/>
      <c r="M876"/>
      <c r="N876"/>
      <c r="O876"/>
    </row>
    <row r="877" spans="1:15" x14ac:dyDescent="0.2">
      <c r="A877"/>
      <c r="B877"/>
      <c r="C877"/>
      <c r="D877"/>
      <c r="E877"/>
      <c r="F877"/>
      <c r="G877"/>
      <c r="H877"/>
      <c r="I877"/>
      <c r="J877"/>
      <c r="K877"/>
      <c r="L877"/>
      <c r="M877"/>
      <c r="N877"/>
      <c r="O877"/>
    </row>
    <row r="878" spans="1:15" x14ac:dyDescent="0.2">
      <c r="A878"/>
      <c r="B878"/>
      <c r="C878"/>
      <c r="D878"/>
      <c r="E878"/>
      <c r="F878"/>
      <c r="G878"/>
      <c r="H878"/>
      <c r="I878"/>
      <c r="J878"/>
      <c r="K878"/>
      <c r="L878"/>
      <c r="M878"/>
      <c r="N878"/>
      <c r="O878"/>
    </row>
    <row r="879" spans="1:15" x14ac:dyDescent="0.2">
      <c r="A879"/>
      <c r="B879"/>
      <c r="C879"/>
      <c r="D879"/>
      <c r="E879"/>
      <c r="F879"/>
      <c r="G879"/>
      <c r="H879"/>
      <c r="I879"/>
      <c r="J879"/>
      <c r="K879"/>
      <c r="L879"/>
      <c r="M879"/>
      <c r="N879"/>
      <c r="O879"/>
    </row>
    <row r="880" spans="1:15" x14ac:dyDescent="0.2">
      <c r="A880"/>
      <c r="B880"/>
      <c r="C880"/>
      <c r="D880"/>
      <c r="E880"/>
      <c r="F880"/>
      <c r="G880"/>
      <c r="H880"/>
      <c r="I880"/>
      <c r="J880"/>
      <c r="K880"/>
      <c r="L880"/>
      <c r="M880"/>
      <c r="N880"/>
      <c r="O880"/>
    </row>
    <row r="881" spans="1:15" x14ac:dyDescent="0.2">
      <c r="A881"/>
      <c r="B881"/>
      <c r="C881"/>
      <c r="D881"/>
      <c r="E881"/>
      <c r="F881"/>
      <c r="G881"/>
      <c r="H881"/>
      <c r="I881"/>
      <c r="J881"/>
      <c r="K881"/>
      <c r="L881"/>
      <c r="M881"/>
      <c r="N881"/>
      <c r="O881"/>
    </row>
    <row r="882" spans="1:15" x14ac:dyDescent="0.2">
      <c r="A882"/>
      <c r="B882"/>
      <c r="C882"/>
      <c r="D882"/>
      <c r="E882"/>
      <c r="F882"/>
      <c r="G882"/>
      <c r="H882"/>
      <c r="I882"/>
      <c r="J882"/>
      <c r="K882"/>
      <c r="L882"/>
      <c r="M882"/>
      <c r="N882"/>
      <c r="O882"/>
    </row>
    <row r="883" spans="1:15" x14ac:dyDescent="0.2">
      <c r="A883"/>
      <c r="B883"/>
      <c r="C883"/>
      <c r="D883"/>
      <c r="E883"/>
      <c r="F883"/>
      <c r="G883"/>
      <c r="H883"/>
      <c r="I883"/>
      <c r="J883"/>
      <c r="K883"/>
      <c r="L883"/>
      <c r="M883"/>
      <c r="N883"/>
      <c r="O883"/>
    </row>
    <row r="884" spans="1:15" x14ac:dyDescent="0.2">
      <c r="A884"/>
      <c r="B884"/>
      <c r="C884"/>
      <c r="D884"/>
      <c r="E884"/>
      <c r="F884"/>
      <c r="G884"/>
      <c r="H884"/>
      <c r="I884"/>
      <c r="J884"/>
      <c r="K884"/>
      <c r="L884"/>
      <c r="M884"/>
      <c r="N884"/>
      <c r="O884"/>
    </row>
    <row r="885" spans="1:15" x14ac:dyDescent="0.2">
      <c r="A885"/>
      <c r="B885"/>
      <c r="C885"/>
      <c r="D885"/>
      <c r="E885"/>
      <c r="F885"/>
      <c r="G885"/>
      <c r="H885"/>
      <c r="I885"/>
      <c r="J885"/>
      <c r="K885"/>
      <c r="L885"/>
      <c r="M885"/>
      <c r="N885"/>
      <c r="O885"/>
    </row>
    <row r="886" spans="1:15" x14ac:dyDescent="0.2">
      <c r="A886"/>
      <c r="B886"/>
      <c r="C886"/>
      <c r="D886"/>
      <c r="E886"/>
      <c r="F886"/>
      <c r="G886"/>
      <c r="H886"/>
      <c r="I886"/>
      <c r="J886"/>
      <c r="K886"/>
      <c r="L886"/>
      <c r="M886"/>
      <c r="N886"/>
      <c r="O886"/>
    </row>
    <row r="887" spans="1:15" x14ac:dyDescent="0.2">
      <c r="A887"/>
      <c r="B887"/>
      <c r="C887"/>
      <c r="D887"/>
      <c r="E887"/>
      <c r="F887"/>
      <c r="G887"/>
      <c r="H887"/>
      <c r="I887"/>
      <c r="J887"/>
      <c r="K887"/>
      <c r="L887"/>
      <c r="M887"/>
      <c r="N887"/>
      <c r="O887"/>
    </row>
    <row r="888" spans="1:15" x14ac:dyDescent="0.2">
      <c r="A888"/>
      <c r="B888"/>
      <c r="C888"/>
      <c r="D888"/>
      <c r="E888"/>
      <c r="F888"/>
      <c r="G888"/>
      <c r="H888"/>
      <c r="I888"/>
      <c r="J888"/>
      <c r="K888"/>
      <c r="L888"/>
      <c r="M888"/>
      <c r="N888"/>
      <c r="O888"/>
    </row>
    <row r="889" spans="1:15" x14ac:dyDescent="0.2">
      <c r="A889"/>
      <c r="B889"/>
      <c r="C889"/>
      <c r="D889"/>
      <c r="E889"/>
      <c r="F889"/>
      <c r="G889"/>
      <c r="H889"/>
      <c r="I889"/>
      <c r="J889"/>
      <c r="K889"/>
      <c r="L889"/>
      <c r="M889"/>
      <c r="N889"/>
      <c r="O889"/>
    </row>
    <row r="890" spans="1:15" x14ac:dyDescent="0.2">
      <c r="A890"/>
      <c r="B890"/>
      <c r="C890"/>
      <c r="D890"/>
      <c r="E890"/>
      <c r="F890"/>
      <c r="G890"/>
      <c r="H890"/>
      <c r="I890"/>
      <c r="J890"/>
      <c r="K890"/>
      <c r="L890"/>
      <c r="M890"/>
      <c r="N890"/>
      <c r="O890"/>
    </row>
    <row r="891" spans="1:15" x14ac:dyDescent="0.2">
      <c r="A891"/>
      <c r="B891"/>
      <c r="C891"/>
      <c r="D891"/>
      <c r="E891"/>
      <c r="F891"/>
      <c r="G891"/>
      <c r="H891"/>
      <c r="I891"/>
      <c r="J891"/>
      <c r="K891"/>
      <c r="L891"/>
      <c r="M891"/>
      <c r="N891"/>
      <c r="O891"/>
    </row>
    <row r="892" spans="1:15" x14ac:dyDescent="0.2">
      <c r="A892"/>
      <c r="B892"/>
      <c r="C892"/>
      <c r="D892"/>
      <c r="E892"/>
      <c r="F892"/>
      <c r="G892"/>
      <c r="H892"/>
      <c r="I892"/>
      <c r="J892"/>
      <c r="K892"/>
      <c r="L892"/>
      <c r="M892"/>
      <c r="N892"/>
      <c r="O892"/>
    </row>
    <row r="893" spans="1:15" x14ac:dyDescent="0.2">
      <c r="A893"/>
      <c r="B893"/>
      <c r="C893"/>
      <c r="D893"/>
      <c r="E893"/>
      <c r="F893"/>
      <c r="G893"/>
      <c r="H893"/>
      <c r="I893"/>
      <c r="J893"/>
      <c r="K893"/>
      <c r="L893"/>
      <c r="M893"/>
      <c r="N893"/>
      <c r="O893"/>
    </row>
    <row r="894" spans="1:15" x14ac:dyDescent="0.2">
      <c r="A894"/>
      <c r="B894"/>
      <c r="C894"/>
      <c r="D894"/>
      <c r="E894"/>
      <c r="F894"/>
      <c r="G894"/>
      <c r="H894"/>
      <c r="I894"/>
      <c r="J894"/>
      <c r="K894"/>
      <c r="L894"/>
      <c r="M894"/>
      <c r="N894"/>
      <c r="O894"/>
    </row>
    <row r="895" spans="1:15" x14ac:dyDescent="0.2">
      <c r="A895"/>
      <c r="B895"/>
      <c r="C895"/>
      <c r="D895"/>
      <c r="E895"/>
      <c r="F895"/>
      <c r="G895"/>
      <c r="H895"/>
      <c r="I895"/>
      <c r="J895"/>
      <c r="K895"/>
      <c r="L895"/>
      <c r="M895"/>
      <c r="N895"/>
      <c r="O895"/>
    </row>
    <row r="896" spans="1:15" x14ac:dyDescent="0.2">
      <c r="A896"/>
      <c r="B896"/>
      <c r="C896"/>
      <c r="D896"/>
      <c r="E896"/>
      <c r="F896"/>
      <c r="G896"/>
      <c r="H896"/>
      <c r="I896"/>
      <c r="J896"/>
      <c r="K896"/>
      <c r="L896"/>
      <c r="M896"/>
      <c r="N896"/>
      <c r="O896"/>
    </row>
    <row r="897" spans="1:15" x14ac:dyDescent="0.2">
      <c r="A897"/>
      <c r="B897"/>
      <c r="C897"/>
      <c r="D897"/>
      <c r="E897"/>
      <c r="F897"/>
      <c r="G897"/>
      <c r="H897"/>
      <c r="I897"/>
      <c r="J897"/>
      <c r="K897"/>
      <c r="L897"/>
      <c r="M897"/>
      <c r="N897"/>
      <c r="O897"/>
    </row>
    <row r="898" spans="1:15" x14ac:dyDescent="0.2">
      <c r="A898"/>
      <c r="B898"/>
      <c r="C898"/>
      <c r="D898"/>
      <c r="E898"/>
      <c r="F898"/>
      <c r="G898"/>
      <c r="H898"/>
      <c r="I898"/>
      <c r="J898"/>
      <c r="K898"/>
      <c r="L898"/>
      <c r="M898"/>
      <c r="N898"/>
      <c r="O898"/>
    </row>
    <row r="899" spans="1:15" x14ac:dyDescent="0.2">
      <c r="A899"/>
      <c r="B899"/>
      <c r="C899"/>
      <c r="D899"/>
      <c r="E899"/>
      <c r="F899"/>
      <c r="G899"/>
      <c r="H899"/>
      <c r="I899"/>
      <c r="J899"/>
      <c r="K899"/>
      <c r="L899"/>
      <c r="M899"/>
      <c r="N899"/>
      <c r="O899"/>
    </row>
    <row r="900" spans="1:15" x14ac:dyDescent="0.2">
      <c r="A900"/>
      <c r="B900"/>
      <c r="C900"/>
      <c r="D900"/>
      <c r="E900"/>
      <c r="F900"/>
      <c r="G900"/>
      <c r="H900"/>
      <c r="I900"/>
      <c r="J900"/>
      <c r="K900"/>
      <c r="L900"/>
      <c r="M900"/>
      <c r="N900"/>
      <c r="O900"/>
    </row>
    <row r="901" spans="1:15" x14ac:dyDescent="0.2">
      <c r="A901"/>
      <c r="B901"/>
      <c r="C901"/>
      <c r="D901"/>
      <c r="E901"/>
      <c r="F901"/>
      <c r="G901"/>
      <c r="H901"/>
      <c r="I901"/>
      <c r="J901"/>
      <c r="K901"/>
      <c r="L901"/>
      <c r="M901"/>
      <c r="N901"/>
      <c r="O901"/>
    </row>
    <row r="902" spans="1:15" x14ac:dyDescent="0.2">
      <c r="A902"/>
      <c r="B902"/>
      <c r="C902"/>
      <c r="D902"/>
      <c r="E902"/>
      <c r="F902"/>
      <c r="G902"/>
      <c r="H902"/>
      <c r="I902"/>
      <c r="J902"/>
      <c r="K902"/>
      <c r="L902"/>
      <c r="M902"/>
      <c r="N902"/>
      <c r="O902"/>
    </row>
    <row r="903" spans="1:15" x14ac:dyDescent="0.2">
      <c r="A903"/>
      <c r="B903"/>
      <c r="C903"/>
      <c r="D903"/>
      <c r="E903"/>
      <c r="F903"/>
      <c r="G903"/>
      <c r="H903"/>
      <c r="I903"/>
      <c r="J903"/>
      <c r="K903"/>
      <c r="L903"/>
      <c r="M903"/>
      <c r="N903"/>
      <c r="O903"/>
    </row>
    <row r="904" spans="1:15" x14ac:dyDescent="0.2">
      <c r="A904"/>
      <c r="B904"/>
      <c r="C904"/>
      <c r="D904"/>
      <c r="E904"/>
      <c r="F904"/>
      <c r="G904"/>
      <c r="H904"/>
      <c r="I904"/>
      <c r="J904"/>
      <c r="K904"/>
      <c r="L904"/>
      <c r="M904"/>
      <c r="N904"/>
      <c r="O904"/>
    </row>
    <row r="905" spans="1:15" x14ac:dyDescent="0.2">
      <c r="A905"/>
      <c r="B905"/>
      <c r="C905"/>
      <c r="D905"/>
      <c r="E905"/>
      <c r="F905"/>
      <c r="G905"/>
      <c r="H905"/>
      <c r="I905"/>
      <c r="J905"/>
      <c r="K905"/>
      <c r="L905"/>
      <c r="M905"/>
      <c r="N905"/>
      <c r="O905"/>
    </row>
    <row r="906" spans="1:15" x14ac:dyDescent="0.2">
      <c r="A906"/>
      <c r="B906"/>
      <c r="C906"/>
      <c r="D906"/>
      <c r="E906"/>
      <c r="F906"/>
      <c r="G906"/>
      <c r="H906"/>
      <c r="I906"/>
      <c r="J906"/>
      <c r="K906"/>
      <c r="L906"/>
      <c r="M906"/>
      <c r="N906"/>
      <c r="O906"/>
    </row>
    <row r="907" spans="1:15" x14ac:dyDescent="0.2">
      <c r="A907"/>
      <c r="B907"/>
      <c r="C907"/>
      <c r="D907"/>
      <c r="E907"/>
      <c r="F907"/>
      <c r="G907"/>
      <c r="H907"/>
      <c r="I907"/>
      <c r="J907"/>
      <c r="K907"/>
      <c r="L907"/>
      <c r="M907"/>
      <c r="N907"/>
      <c r="O907"/>
    </row>
    <row r="908" spans="1:15" x14ac:dyDescent="0.2">
      <c r="A908"/>
      <c r="B908"/>
      <c r="C908"/>
      <c r="D908"/>
      <c r="E908"/>
      <c r="F908"/>
      <c r="G908"/>
      <c r="H908"/>
      <c r="I908"/>
      <c r="J908"/>
      <c r="K908"/>
      <c r="L908"/>
      <c r="M908"/>
      <c r="N908"/>
      <c r="O908"/>
    </row>
    <row r="909" spans="1:15" x14ac:dyDescent="0.2">
      <c r="A909"/>
      <c r="B909"/>
      <c r="C909"/>
      <c r="D909"/>
      <c r="E909"/>
      <c r="F909"/>
      <c r="G909"/>
      <c r="H909"/>
      <c r="I909"/>
      <c r="J909"/>
      <c r="K909"/>
      <c r="L909"/>
      <c r="M909"/>
      <c r="N909"/>
      <c r="O909"/>
    </row>
    <row r="910" spans="1:15" x14ac:dyDescent="0.2">
      <c r="A910"/>
      <c r="B910"/>
      <c r="C910"/>
      <c r="D910"/>
      <c r="E910"/>
      <c r="F910"/>
      <c r="G910"/>
      <c r="H910"/>
      <c r="I910"/>
      <c r="J910"/>
      <c r="K910"/>
      <c r="L910"/>
      <c r="M910"/>
      <c r="N910"/>
      <c r="O910"/>
    </row>
    <row r="911" spans="1:15" x14ac:dyDescent="0.2">
      <c r="A911"/>
      <c r="B911"/>
      <c r="C911"/>
      <c r="D911"/>
      <c r="E911"/>
      <c r="F911"/>
      <c r="G911"/>
      <c r="H911"/>
      <c r="I911"/>
      <c r="J911"/>
      <c r="K911"/>
      <c r="L911"/>
      <c r="M911"/>
      <c r="N911"/>
      <c r="O911"/>
    </row>
    <row r="912" spans="1:15" x14ac:dyDescent="0.2">
      <c r="A912"/>
      <c r="B912"/>
      <c r="C912"/>
      <c r="D912"/>
      <c r="E912"/>
      <c r="F912"/>
      <c r="G912"/>
      <c r="H912"/>
      <c r="I912"/>
      <c r="J912"/>
      <c r="K912"/>
      <c r="L912"/>
      <c r="M912"/>
      <c r="N912"/>
      <c r="O912"/>
    </row>
    <row r="913" spans="1:15" x14ac:dyDescent="0.2">
      <c r="A913"/>
      <c r="B913"/>
      <c r="C913"/>
      <c r="D913"/>
      <c r="E913"/>
      <c r="F913"/>
      <c r="G913"/>
      <c r="H913"/>
      <c r="I913"/>
      <c r="J913"/>
      <c r="K913"/>
      <c r="L913"/>
      <c r="M913"/>
      <c r="N913"/>
      <c r="O913"/>
    </row>
    <row r="914" spans="1:15" x14ac:dyDescent="0.2">
      <c r="A914"/>
      <c r="B914"/>
      <c r="C914"/>
      <c r="D914"/>
      <c r="E914"/>
      <c r="F914"/>
      <c r="G914"/>
      <c r="H914"/>
      <c r="I914"/>
      <c r="J914"/>
      <c r="K914"/>
      <c r="L914"/>
      <c r="M914"/>
      <c r="N914"/>
      <c r="O914"/>
    </row>
    <row r="915" spans="1:15" x14ac:dyDescent="0.2">
      <c r="A915"/>
      <c r="B915"/>
      <c r="C915"/>
      <c r="D915"/>
      <c r="E915"/>
      <c r="F915"/>
      <c r="G915"/>
      <c r="H915"/>
      <c r="I915"/>
      <c r="J915"/>
      <c r="K915"/>
      <c r="L915"/>
      <c r="M915"/>
      <c r="N915"/>
      <c r="O915"/>
    </row>
    <row r="916" spans="1:15" x14ac:dyDescent="0.2">
      <c r="A916"/>
      <c r="B916"/>
      <c r="C916"/>
      <c r="D916"/>
      <c r="E916"/>
      <c r="F916"/>
      <c r="G916"/>
      <c r="H916"/>
      <c r="I916"/>
      <c r="J916"/>
      <c r="K916"/>
      <c r="L916"/>
      <c r="M916"/>
      <c r="N916"/>
      <c r="O916"/>
    </row>
    <row r="917" spans="1:15" x14ac:dyDescent="0.2">
      <c r="A917"/>
      <c r="B917"/>
      <c r="C917"/>
      <c r="D917"/>
      <c r="E917"/>
      <c r="F917"/>
      <c r="G917"/>
      <c r="H917"/>
      <c r="I917"/>
      <c r="J917"/>
      <c r="K917"/>
      <c r="L917"/>
      <c r="M917"/>
      <c r="N917"/>
      <c r="O917"/>
    </row>
    <row r="918" spans="1:15" x14ac:dyDescent="0.2">
      <c r="A918"/>
      <c r="B918"/>
      <c r="C918"/>
      <c r="D918"/>
      <c r="E918"/>
      <c r="F918"/>
      <c r="G918"/>
      <c r="H918"/>
      <c r="I918"/>
      <c r="J918"/>
      <c r="K918"/>
      <c r="L918"/>
      <c r="M918"/>
      <c r="N918"/>
      <c r="O918"/>
    </row>
    <row r="919" spans="1:15" x14ac:dyDescent="0.2">
      <c r="A919"/>
      <c r="B919"/>
      <c r="C919"/>
      <c r="D919"/>
      <c r="E919"/>
      <c r="F919"/>
      <c r="G919"/>
      <c r="H919"/>
      <c r="I919"/>
      <c r="J919"/>
      <c r="K919"/>
      <c r="L919"/>
      <c r="M919"/>
      <c r="N919"/>
      <c r="O919"/>
    </row>
    <row r="920" spans="1:15" x14ac:dyDescent="0.2">
      <c r="A920"/>
      <c r="B920"/>
      <c r="C920"/>
      <c r="D920"/>
      <c r="E920"/>
      <c r="F920"/>
      <c r="G920"/>
      <c r="H920"/>
      <c r="I920"/>
      <c r="J920"/>
      <c r="K920"/>
      <c r="L920"/>
      <c r="M920"/>
      <c r="N920"/>
      <c r="O920"/>
    </row>
    <row r="921" spans="1:15" x14ac:dyDescent="0.2">
      <c r="A921"/>
      <c r="B921"/>
      <c r="C921"/>
      <c r="D921"/>
      <c r="E921"/>
      <c r="F921"/>
      <c r="G921"/>
      <c r="H921"/>
      <c r="I921"/>
      <c r="J921"/>
      <c r="K921"/>
      <c r="L921"/>
      <c r="M921"/>
      <c r="N921"/>
      <c r="O921"/>
    </row>
    <row r="922" spans="1:15" x14ac:dyDescent="0.2">
      <c r="A922"/>
      <c r="B922"/>
      <c r="C922"/>
      <c r="D922"/>
      <c r="E922"/>
      <c r="F922"/>
      <c r="G922"/>
      <c r="H922"/>
      <c r="I922"/>
      <c r="J922"/>
      <c r="K922"/>
      <c r="L922"/>
      <c r="M922"/>
      <c r="N922"/>
      <c r="O922"/>
    </row>
    <row r="923" spans="1:15" x14ac:dyDescent="0.2">
      <c r="A923"/>
      <c r="B923"/>
      <c r="C923"/>
      <c r="D923"/>
      <c r="E923"/>
      <c r="F923"/>
      <c r="G923"/>
      <c r="H923"/>
      <c r="I923"/>
      <c r="J923"/>
      <c r="K923"/>
      <c r="L923"/>
      <c r="M923"/>
      <c r="N923"/>
      <c r="O923"/>
    </row>
    <row r="924" spans="1:15" x14ac:dyDescent="0.2">
      <c r="A924"/>
      <c r="B924"/>
      <c r="C924"/>
      <c r="D924"/>
      <c r="E924"/>
      <c r="F924"/>
      <c r="G924"/>
      <c r="H924"/>
      <c r="I924"/>
      <c r="J924"/>
      <c r="K924"/>
      <c r="L924"/>
      <c r="M924"/>
      <c r="N924"/>
      <c r="O924"/>
    </row>
    <row r="925" spans="1:15" x14ac:dyDescent="0.2">
      <c r="A925"/>
      <c r="B925"/>
      <c r="C925"/>
      <c r="D925"/>
      <c r="E925"/>
      <c r="F925"/>
      <c r="G925"/>
      <c r="H925"/>
      <c r="I925"/>
      <c r="J925"/>
      <c r="K925"/>
      <c r="L925"/>
      <c r="M925"/>
      <c r="N925"/>
      <c r="O925"/>
    </row>
    <row r="926" spans="1:15" x14ac:dyDescent="0.2">
      <c r="A926"/>
      <c r="B926"/>
      <c r="C926"/>
      <c r="D926"/>
      <c r="E926"/>
      <c r="F926"/>
      <c r="G926"/>
      <c r="H926"/>
      <c r="I926"/>
      <c r="J926"/>
      <c r="K926"/>
      <c r="L926"/>
      <c r="M926"/>
      <c r="N926"/>
      <c r="O926"/>
    </row>
    <row r="927" spans="1:15" x14ac:dyDescent="0.2">
      <c r="A927"/>
      <c r="B927"/>
      <c r="C927"/>
      <c r="D927"/>
      <c r="E927"/>
      <c r="F927"/>
      <c r="G927"/>
      <c r="H927"/>
      <c r="I927"/>
      <c r="J927"/>
      <c r="K927"/>
      <c r="L927"/>
      <c r="M927"/>
      <c r="N927"/>
      <c r="O927"/>
    </row>
    <row r="928" spans="1:15" x14ac:dyDescent="0.2">
      <c r="A928"/>
      <c r="B928"/>
      <c r="C928"/>
      <c r="D928"/>
      <c r="E928"/>
      <c r="F928"/>
      <c r="G928"/>
      <c r="H928"/>
      <c r="I928"/>
      <c r="J928"/>
      <c r="K928"/>
      <c r="L928"/>
      <c r="M928"/>
      <c r="N928"/>
      <c r="O928"/>
    </row>
    <row r="929" spans="1:15" x14ac:dyDescent="0.2">
      <c r="A929"/>
      <c r="B929"/>
      <c r="C929"/>
      <c r="D929"/>
      <c r="E929"/>
      <c r="F929"/>
      <c r="G929"/>
      <c r="H929"/>
      <c r="I929"/>
      <c r="J929"/>
      <c r="K929"/>
      <c r="L929"/>
      <c r="M929"/>
      <c r="N929"/>
      <c r="O929"/>
    </row>
    <row r="930" spans="1:15" x14ac:dyDescent="0.2">
      <c r="A930"/>
      <c r="B930"/>
      <c r="C930"/>
      <c r="D930"/>
      <c r="E930"/>
      <c r="F930"/>
      <c r="G930"/>
      <c r="H930"/>
      <c r="I930"/>
      <c r="J930"/>
      <c r="K930"/>
      <c r="L930"/>
      <c r="M930"/>
      <c r="N930"/>
      <c r="O930"/>
    </row>
    <row r="931" spans="1:15" x14ac:dyDescent="0.2">
      <c r="A931"/>
      <c r="B931"/>
      <c r="C931"/>
      <c r="D931"/>
      <c r="E931"/>
      <c r="F931"/>
      <c r="G931"/>
      <c r="H931"/>
      <c r="I931"/>
      <c r="J931"/>
      <c r="K931"/>
      <c r="L931"/>
      <c r="M931"/>
      <c r="N931"/>
      <c r="O931"/>
    </row>
    <row r="932" spans="1:15" x14ac:dyDescent="0.2">
      <c r="A932"/>
      <c r="B932"/>
      <c r="C932"/>
      <c r="D932"/>
      <c r="E932"/>
      <c r="F932"/>
      <c r="G932"/>
      <c r="H932"/>
      <c r="I932"/>
      <c r="J932"/>
      <c r="K932"/>
      <c r="L932"/>
      <c r="M932"/>
      <c r="N932"/>
      <c r="O932"/>
    </row>
    <row r="933" spans="1:15" x14ac:dyDescent="0.2">
      <c r="A933"/>
      <c r="B933"/>
      <c r="C933"/>
      <c r="D933"/>
      <c r="E933"/>
      <c r="F933"/>
      <c r="G933"/>
      <c r="H933"/>
      <c r="I933"/>
      <c r="J933"/>
      <c r="K933"/>
      <c r="L933"/>
      <c r="M933"/>
      <c r="N933"/>
      <c r="O933"/>
    </row>
    <row r="934" spans="1:15" x14ac:dyDescent="0.2">
      <c r="A934"/>
      <c r="B934"/>
      <c r="C934"/>
      <c r="D934"/>
      <c r="E934"/>
      <c r="F934"/>
      <c r="G934"/>
      <c r="H934"/>
      <c r="I934"/>
      <c r="J934"/>
      <c r="K934"/>
      <c r="L934"/>
      <c r="M934"/>
      <c r="N934"/>
      <c r="O934"/>
    </row>
    <row r="935" spans="1:15" x14ac:dyDescent="0.2">
      <c r="A935"/>
      <c r="B935"/>
      <c r="C935"/>
      <c r="D935"/>
      <c r="E935"/>
      <c r="F935"/>
      <c r="G935"/>
      <c r="H935"/>
      <c r="I935"/>
      <c r="J935"/>
      <c r="K935"/>
      <c r="L935"/>
      <c r="M935"/>
      <c r="N935"/>
      <c r="O935"/>
    </row>
    <row r="936" spans="1:15" x14ac:dyDescent="0.2">
      <c r="A936"/>
      <c r="B936"/>
      <c r="C936"/>
      <c r="D936"/>
      <c r="E936"/>
      <c r="F936"/>
      <c r="G936"/>
      <c r="H936"/>
      <c r="I936"/>
      <c r="J936"/>
      <c r="K936"/>
      <c r="L936"/>
      <c r="M936"/>
      <c r="N936"/>
      <c r="O936"/>
    </row>
    <row r="937" spans="1:15" x14ac:dyDescent="0.2">
      <c r="A937"/>
      <c r="B937"/>
      <c r="C937"/>
      <c r="D937"/>
      <c r="E937"/>
      <c r="F937"/>
      <c r="G937"/>
      <c r="H937"/>
      <c r="I937"/>
      <c r="J937"/>
      <c r="K937"/>
      <c r="L937"/>
      <c r="M937"/>
      <c r="N937"/>
      <c r="O937"/>
    </row>
    <row r="938" spans="1:15" x14ac:dyDescent="0.2">
      <c r="A938"/>
      <c r="B938"/>
      <c r="C938"/>
      <c r="D938"/>
      <c r="E938"/>
      <c r="F938"/>
      <c r="G938"/>
      <c r="H938"/>
      <c r="I938"/>
      <c r="J938"/>
      <c r="K938"/>
      <c r="L938"/>
      <c r="M938"/>
      <c r="N938"/>
      <c r="O938"/>
    </row>
    <row r="939" spans="1:15" x14ac:dyDescent="0.2">
      <c r="A939"/>
      <c r="B939"/>
      <c r="C939"/>
      <c r="D939"/>
      <c r="E939"/>
      <c r="F939"/>
      <c r="G939"/>
      <c r="H939"/>
      <c r="I939"/>
      <c r="J939"/>
      <c r="K939"/>
      <c r="L939"/>
      <c r="M939"/>
      <c r="N939"/>
      <c r="O939"/>
    </row>
    <row r="940" spans="1:15" x14ac:dyDescent="0.2">
      <c r="A940"/>
      <c r="B940"/>
      <c r="C940"/>
      <c r="D940"/>
      <c r="E940"/>
      <c r="F940"/>
      <c r="G940"/>
      <c r="H940"/>
      <c r="I940"/>
      <c r="J940"/>
      <c r="K940"/>
      <c r="L940"/>
      <c r="M940"/>
      <c r="N940"/>
      <c r="O940"/>
    </row>
    <row r="941" spans="1:15" x14ac:dyDescent="0.2">
      <c r="A941"/>
      <c r="B941"/>
      <c r="C941"/>
      <c r="D941"/>
      <c r="E941"/>
      <c r="F941"/>
      <c r="G941"/>
      <c r="H941"/>
      <c r="I941"/>
      <c r="J941"/>
      <c r="K941"/>
      <c r="L941"/>
      <c r="M941"/>
      <c r="N941"/>
      <c r="O941"/>
    </row>
    <row r="942" spans="1:15" x14ac:dyDescent="0.2">
      <c r="A942"/>
      <c r="B942"/>
      <c r="C942"/>
      <c r="D942"/>
      <c r="E942"/>
      <c r="F942"/>
      <c r="G942"/>
      <c r="H942"/>
      <c r="I942"/>
      <c r="J942"/>
      <c r="K942"/>
      <c r="L942"/>
      <c r="M942"/>
      <c r="N942"/>
      <c r="O942"/>
    </row>
    <row r="943" spans="1:15" x14ac:dyDescent="0.2">
      <c r="A943"/>
      <c r="B943"/>
      <c r="C943"/>
      <c r="D943"/>
      <c r="E943"/>
      <c r="F943"/>
      <c r="G943"/>
      <c r="H943"/>
      <c r="I943"/>
      <c r="J943"/>
      <c r="K943"/>
      <c r="L943"/>
      <c r="M943"/>
      <c r="N943"/>
      <c r="O943"/>
    </row>
    <row r="944" spans="1:15" x14ac:dyDescent="0.2">
      <c r="A944"/>
      <c r="B944"/>
      <c r="C944"/>
      <c r="D944"/>
      <c r="E944"/>
      <c r="F944"/>
      <c r="G944"/>
      <c r="H944"/>
      <c r="I944"/>
      <c r="J944"/>
      <c r="K944"/>
      <c r="L944"/>
      <c r="M944"/>
      <c r="N944"/>
      <c r="O944"/>
    </row>
    <row r="945" spans="1:15" x14ac:dyDescent="0.2">
      <c r="A945"/>
      <c r="B945"/>
      <c r="C945"/>
      <c r="D945"/>
      <c r="E945"/>
      <c r="F945"/>
      <c r="G945"/>
      <c r="H945"/>
      <c r="I945"/>
      <c r="J945"/>
      <c r="K945"/>
      <c r="L945"/>
      <c r="M945"/>
      <c r="N945"/>
      <c r="O945"/>
    </row>
    <row r="946" spans="1:15" x14ac:dyDescent="0.2">
      <c r="A946"/>
      <c r="B946"/>
      <c r="C946"/>
      <c r="D946"/>
      <c r="E946"/>
      <c r="F946"/>
      <c r="G946"/>
      <c r="H946"/>
      <c r="I946"/>
      <c r="J946"/>
      <c r="K946"/>
      <c r="L946"/>
      <c r="M946"/>
      <c r="N946"/>
      <c r="O946"/>
    </row>
    <row r="947" spans="1:15" x14ac:dyDescent="0.2">
      <c r="A947"/>
      <c r="B947"/>
      <c r="C947"/>
      <c r="D947"/>
      <c r="E947"/>
      <c r="F947"/>
      <c r="G947"/>
      <c r="H947"/>
      <c r="I947"/>
      <c r="J947"/>
      <c r="K947"/>
      <c r="L947"/>
      <c r="M947"/>
      <c r="N947"/>
      <c r="O947"/>
    </row>
    <row r="948" spans="1:15" x14ac:dyDescent="0.2">
      <c r="A948"/>
      <c r="B948"/>
      <c r="C948"/>
      <c r="D948"/>
      <c r="E948"/>
      <c r="F948"/>
      <c r="G948"/>
      <c r="H948"/>
      <c r="I948"/>
      <c r="J948"/>
      <c r="K948"/>
      <c r="L948"/>
      <c r="M948"/>
      <c r="N948"/>
      <c r="O948"/>
    </row>
    <row r="949" spans="1:15" x14ac:dyDescent="0.2">
      <c r="A949"/>
      <c r="B949"/>
      <c r="C949"/>
      <c r="D949"/>
      <c r="E949"/>
      <c r="F949"/>
      <c r="G949"/>
      <c r="H949"/>
      <c r="I949"/>
      <c r="J949"/>
      <c r="K949"/>
      <c r="L949"/>
      <c r="M949"/>
      <c r="N949"/>
      <c r="O949"/>
    </row>
    <row r="950" spans="1:15" x14ac:dyDescent="0.2">
      <c r="A950"/>
      <c r="B950"/>
      <c r="C950"/>
      <c r="D950"/>
      <c r="E950"/>
      <c r="F950"/>
      <c r="G950"/>
      <c r="H950"/>
      <c r="I950"/>
      <c r="J950"/>
      <c r="K950"/>
      <c r="L950"/>
      <c r="M950"/>
      <c r="N950"/>
      <c r="O950"/>
    </row>
    <row r="951" spans="1:15" x14ac:dyDescent="0.2">
      <c r="A951"/>
      <c r="B951"/>
      <c r="C951"/>
      <c r="D951"/>
      <c r="E951"/>
      <c r="F951"/>
      <c r="G951"/>
      <c r="H951"/>
      <c r="I951"/>
      <c r="J951"/>
      <c r="K951"/>
      <c r="L951"/>
      <c r="M951"/>
      <c r="N951"/>
      <c r="O951"/>
    </row>
    <row r="952" spans="1:15" x14ac:dyDescent="0.2">
      <c r="A952"/>
      <c r="B952"/>
      <c r="C952"/>
      <c r="D952"/>
      <c r="E952"/>
      <c r="F952"/>
      <c r="G952"/>
      <c r="H952"/>
      <c r="I952"/>
      <c r="J952"/>
      <c r="K952"/>
      <c r="L952"/>
      <c r="M952"/>
      <c r="N952"/>
      <c r="O952"/>
    </row>
    <row r="953" spans="1:15" x14ac:dyDescent="0.2">
      <c r="A953"/>
      <c r="B953"/>
      <c r="C953"/>
      <c r="D953"/>
      <c r="E953"/>
      <c r="F953"/>
      <c r="G953"/>
      <c r="H953"/>
      <c r="I953"/>
      <c r="J953"/>
      <c r="K953"/>
      <c r="L953"/>
      <c r="M953"/>
      <c r="N953"/>
      <c r="O953"/>
    </row>
    <row r="954" spans="1:15" x14ac:dyDescent="0.2">
      <c r="A954"/>
      <c r="B954"/>
      <c r="C954"/>
      <c r="D954"/>
      <c r="E954"/>
      <c r="F954"/>
      <c r="G954"/>
      <c r="H954"/>
      <c r="I954"/>
      <c r="J954"/>
      <c r="K954"/>
      <c r="L954"/>
      <c r="M954"/>
      <c r="N954"/>
      <c r="O954"/>
    </row>
    <row r="955" spans="1:15" x14ac:dyDescent="0.2">
      <c r="A955"/>
      <c r="B955"/>
      <c r="C955"/>
      <c r="D955"/>
      <c r="E955"/>
      <c r="F955"/>
      <c r="G955"/>
      <c r="H955"/>
      <c r="I955"/>
      <c r="J955"/>
      <c r="K955"/>
      <c r="L955"/>
      <c r="M955"/>
      <c r="N955"/>
      <c r="O955"/>
    </row>
    <row r="956" spans="1:15" x14ac:dyDescent="0.2">
      <c r="A956"/>
      <c r="B956"/>
      <c r="C956"/>
      <c r="D956"/>
      <c r="E956"/>
      <c r="F956"/>
      <c r="G956"/>
      <c r="H956"/>
      <c r="I956"/>
      <c r="J956"/>
      <c r="K956"/>
      <c r="L956"/>
      <c r="M956"/>
      <c r="N956"/>
      <c r="O956"/>
    </row>
    <row r="957" spans="1:15" x14ac:dyDescent="0.2">
      <c r="A957"/>
      <c r="B957"/>
      <c r="C957"/>
      <c r="D957"/>
      <c r="E957"/>
      <c r="F957"/>
      <c r="G957"/>
      <c r="H957"/>
      <c r="I957"/>
      <c r="J957"/>
      <c r="K957"/>
      <c r="L957"/>
      <c r="M957"/>
      <c r="N957"/>
      <c r="O957"/>
    </row>
    <row r="958" spans="1:15" x14ac:dyDescent="0.2">
      <c r="A958"/>
      <c r="B958"/>
      <c r="C958"/>
      <c r="D958"/>
      <c r="E958"/>
      <c r="F958"/>
      <c r="G958"/>
      <c r="H958"/>
      <c r="I958"/>
      <c r="J958"/>
      <c r="K958"/>
      <c r="L958"/>
      <c r="M958"/>
      <c r="N958"/>
      <c r="O958"/>
    </row>
    <row r="959" spans="1:15" x14ac:dyDescent="0.2">
      <c r="A959"/>
      <c r="B959"/>
      <c r="C959"/>
      <c r="D959"/>
      <c r="E959"/>
      <c r="F959"/>
      <c r="G959"/>
      <c r="H959"/>
      <c r="I959"/>
      <c r="J959"/>
      <c r="K959"/>
      <c r="L959"/>
      <c r="M959"/>
      <c r="N959"/>
      <c r="O959"/>
    </row>
    <row r="960" spans="1:15" x14ac:dyDescent="0.2">
      <c r="A960"/>
      <c r="B960"/>
      <c r="C960"/>
      <c r="D960"/>
      <c r="E960"/>
      <c r="F960"/>
      <c r="G960"/>
      <c r="H960"/>
      <c r="I960"/>
      <c r="J960"/>
      <c r="K960"/>
      <c r="L960"/>
      <c r="M960"/>
      <c r="N960"/>
      <c r="O960"/>
    </row>
    <row r="961" spans="1:15" x14ac:dyDescent="0.2">
      <c r="A961"/>
      <c r="B961"/>
      <c r="C961"/>
      <c r="D961"/>
      <c r="E961"/>
      <c r="F961"/>
      <c r="G961"/>
      <c r="H961"/>
      <c r="I961"/>
      <c r="J961"/>
      <c r="K961"/>
      <c r="L961"/>
      <c r="M961"/>
      <c r="N961"/>
      <c r="O961"/>
    </row>
    <row r="962" spans="1:15" x14ac:dyDescent="0.2">
      <c r="A962"/>
      <c r="B962"/>
      <c r="C962"/>
      <c r="D962"/>
      <c r="E962"/>
      <c r="F962"/>
      <c r="G962"/>
      <c r="H962"/>
      <c r="I962"/>
      <c r="J962"/>
      <c r="K962"/>
      <c r="L962"/>
      <c r="M962"/>
      <c r="N962"/>
      <c r="O962"/>
    </row>
    <row r="963" spans="1:15" x14ac:dyDescent="0.2">
      <c r="A963"/>
      <c r="B963"/>
      <c r="C963"/>
      <c r="D963"/>
      <c r="E963"/>
      <c r="F963"/>
      <c r="G963"/>
      <c r="H963"/>
      <c r="I963"/>
      <c r="J963"/>
      <c r="K963"/>
      <c r="L963"/>
      <c r="M963"/>
      <c r="N963"/>
      <c r="O963"/>
    </row>
    <row r="964" spans="1:15" x14ac:dyDescent="0.2">
      <c r="A964"/>
      <c r="B964"/>
      <c r="C964"/>
      <c r="D964"/>
      <c r="E964"/>
      <c r="F964"/>
      <c r="G964"/>
      <c r="H964"/>
      <c r="I964"/>
      <c r="J964"/>
      <c r="K964"/>
      <c r="L964"/>
      <c r="M964"/>
      <c r="N964"/>
      <c r="O964"/>
    </row>
    <row r="965" spans="1:15" x14ac:dyDescent="0.2">
      <c r="A965"/>
      <c r="B965"/>
      <c r="C965"/>
      <c r="D965"/>
      <c r="E965"/>
      <c r="F965"/>
      <c r="G965"/>
      <c r="H965"/>
      <c r="I965"/>
      <c r="J965"/>
      <c r="K965"/>
      <c r="L965"/>
      <c r="M965"/>
      <c r="N965"/>
      <c r="O965"/>
    </row>
    <row r="966" spans="1:15" x14ac:dyDescent="0.2">
      <c r="A966"/>
      <c r="B966"/>
      <c r="C966"/>
      <c r="D966"/>
      <c r="E966"/>
      <c r="F966"/>
      <c r="G966"/>
      <c r="H966"/>
      <c r="I966"/>
      <c r="J966"/>
      <c r="K966"/>
      <c r="L966"/>
      <c r="M966"/>
      <c r="N966"/>
      <c r="O966"/>
    </row>
    <row r="967" spans="1:15" x14ac:dyDescent="0.2">
      <c r="A967"/>
      <c r="B967"/>
      <c r="C967"/>
      <c r="D967"/>
      <c r="E967"/>
      <c r="F967"/>
      <c r="G967"/>
      <c r="H967"/>
      <c r="I967"/>
      <c r="J967"/>
      <c r="K967"/>
      <c r="L967"/>
      <c r="M967"/>
      <c r="N967"/>
      <c r="O967"/>
    </row>
    <row r="968" spans="1:15" x14ac:dyDescent="0.2">
      <c r="A968"/>
      <c r="B968"/>
      <c r="C968"/>
      <c r="D968"/>
      <c r="E968"/>
      <c r="F968"/>
      <c r="G968"/>
      <c r="H968"/>
      <c r="I968"/>
      <c r="J968"/>
      <c r="K968"/>
      <c r="L968"/>
      <c r="M968"/>
      <c r="N968"/>
      <c r="O968"/>
    </row>
    <row r="969" spans="1:15" x14ac:dyDescent="0.2">
      <c r="A969"/>
      <c r="B969"/>
      <c r="C969"/>
      <c r="D969"/>
      <c r="E969"/>
      <c r="F969"/>
      <c r="G969"/>
      <c r="H969"/>
      <c r="I969"/>
      <c r="J969"/>
      <c r="K969"/>
      <c r="L969"/>
      <c r="M969"/>
      <c r="N969"/>
      <c r="O969"/>
    </row>
    <row r="970" spans="1:15" x14ac:dyDescent="0.2">
      <c r="A970"/>
      <c r="B970"/>
      <c r="C970"/>
      <c r="D970"/>
      <c r="E970"/>
      <c r="F970"/>
      <c r="G970"/>
      <c r="H970"/>
      <c r="I970"/>
      <c r="J970"/>
      <c r="K970"/>
      <c r="L970"/>
      <c r="M970"/>
      <c r="N970"/>
      <c r="O970"/>
    </row>
    <row r="971" spans="1:15" x14ac:dyDescent="0.2">
      <c r="A971"/>
      <c r="B971"/>
      <c r="C971"/>
      <c r="D971"/>
      <c r="E971"/>
      <c r="F971"/>
      <c r="G971"/>
      <c r="H971"/>
      <c r="I971"/>
      <c r="J971"/>
      <c r="K971"/>
      <c r="L971"/>
      <c r="M971"/>
      <c r="N971"/>
      <c r="O971"/>
    </row>
    <row r="972" spans="1:15" x14ac:dyDescent="0.2">
      <c r="A972"/>
      <c r="B972"/>
      <c r="C972"/>
      <c r="D972"/>
      <c r="E972"/>
      <c r="F972"/>
      <c r="G972"/>
      <c r="H972"/>
      <c r="I972"/>
      <c r="J972"/>
      <c r="K972"/>
      <c r="L972"/>
      <c r="M972"/>
      <c r="N972"/>
      <c r="O972"/>
    </row>
    <row r="973" spans="1:15" x14ac:dyDescent="0.2">
      <c r="A973"/>
      <c r="B973"/>
      <c r="C973"/>
      <c r="D973"/>
      <c r="E973"/>
      <c r="F973"/>
      <c r="G973"/>
      <c r="H973"/>
      <c r="I973"/>
      <c r="J973"/>
      <c r="K973"/>
      <c r="L973"/>
      <c r="M973"/>
      <c r="N973"/>
      <c r="O973"/>
    </row>
    <row r="974" spans="1:15" x14ac:dyDescent="0.2">
      <c r="A974"/>
      <c r="B974"/>
      <c r="C974"/>
      <c r="D974"/>
      <c r="E974"/>
      <c r="F974"/>
      <c r="G974"/>
      <c r="H974"/>
      <c r="I974"/>
      <c r="J974"/>
      <c r="K974"/>
      <c r="L974"/>
      <c r="M974"/>
      <c r="N974"/>
      <c r="O974"/>
    </row>
    <row r="975" spans="1:15" x14ac:dyDescent="0.2">
      <c r="A975"/>
      <c r="B975"/>
      <c r="C975"/>
      <c r="D975"/>
      <c r="E975"/>
      <c r="F975"/>
      <c r="G975"/>
      <c r="H975"/>
      <c r="I975"/>
      <c r="J975"/>
      <c r="K975"/>
      <c r="L975"/>
      <c r="M975"/>
      <c r="N975"/>
      <c r="O975"/>
    </row>
    <row r="976" spans="1:15" x14ac:dyDescent="0.2">
      <c r="A976"/>
      <c r="B976"/>
      <c r="C976"/>
      <c r="D976"/>
      <c r="E976"/>
      <c r="F976"/>
      <c r="G976"/>
      <c r="H976"/>
      <c r="I976"/>
      <c r="J976"/>
      <c r="K976"/>
      <c r="L976"/>
      <c r="M976"/>
      <c r="N976"/>
      <c r="O976"/>
    </row>
    <row r="977" spans="1:15" x14ac:dyDescent="0.2">
      <c r="A977"/>
      <c r="B977"/>
      <c r="C977"/>
      <c r="D977"/>
      <c r="E977"/>
      <c r="F977"/>
      <c r="G977"/>
      <c r="H977"/>
      <c r="I977"/>
      <c r="J977"/>
      <c r="K977"/>
      <c r="L977"/>
      <c r="M977"/>
      <c r="N977"/>
      <c r="O977"/>
    </row>
    <row r="978" spans="1:15" x14ac:dyDescent="0.2">
      <c r="A978"/>
      <c r="B978"/>
      <c r="C978"/>
      <c r="D978"/>
      <c r="E978"/>
      <c r="F978"/>
      <c r="G978"/>
      <c r="H978"/>
      <c r="I978"/>
      <c r="J978"/>
      <c r="K978"/>
      <c r="L978"/>
      <c r="M978"/>
      <c r="N978"/>
      <c r="O978"/>
    </row>
    <row r="979" spans="1:15" x14ac:dyDescent="0.2">
      <c r="A979"/>
      <c r="B979"/>
      <c r="C979"/>
      <c r="D979"/>
      <c r="E979"/>
      <c r="F979"/>
      <c r="G979"/>
      <c r="H979"/>
      <c r="I979"/>
      <c r="J979"/>
      <c r="K979"/>
      <c r="L979"/>
      <c r="M979"/>
      <c r="N979"/>
      <c r="O979"/>
    </row>
    <row r="980" spans="1:15" x14ac:dyDescent="0.2">
      <c r="A980"/>
      <c r="B980"/>
      <c r="C980"/>
      <c r="D980"/>
      <c r="E980"/>
      <c r="F980"/>
      <c r="G980"/>
      <c r="H980"/>
      <c r="I980"/>
      <c r="J980"/>
      <c r="K980"/>
      <c r="L980"/>
      <c r="M980"/>
      <c r="N980"/>
      <c r="O980"/>
    </row>
    <row r="981" spans="1:15" x14ac:dyDescent="0.2">
      <c r="A981"/>
      <c r="B981"/>
      <c r="C981"/>
      <c r="D981"/>
      <c r="E981"/>
      <c r="F981"/>
      <c r="G981"/>
      <c r="H981"/>
      <c r="I981"/>
      <c r="J981"/>
      <c r="K981"/>
      <c r="L981"/>
      <c r="M981"/>
      <c r="N981"/>
      <c r="O981"/>
    </row>
    <row r="982" spans="1:15" x14ac:dyDescent="0.2">
      <c r="A982"/>
      <c r="B982"/>
      <c r="C982"/>
      <c r="D982"/>
      <c r="E982"/>
      <c r="F982"/>
      <c r="G982"/>
      <c r="H982"/>
      <c r="I982"/>
      <c r="J982"/>
      <c r="K982"/>
      <c r="L982"/>
      <c r="M982"/>
      <c r="N982"/>
      <c r="O982"/>
    </row>
    <row r="983" spans="1:15" x14ac:dyDescent="0.2">
      <c r="A983"/>
      <c r="B983"/>
      <c r="C983"/>
      <c r="D983"/>
      <c r="E983"/>
      <c r="F983"/>
      <c r="G983"/>
      <c r="H983"/>
      <c r="I983"/>
      <c r="J983"/>
      <c r="K983"/>
      <c r="L983"/>
      <c r="M983"/>
      <c r="N983"/>
      <c r="O983"/>
    </row>
    <row r="984" spans="1:15" x14ac:dyDescent="0.2">
      <c r="A984"/>
      <c r="B984"/>
      <c r="C984"/>
      <c r="D984"/>
      <c r="E984"/>
      <c r="F984"/>
      <c r="G984"/>
      <c r="H984"/>
      <c r="I984"/>
      <c r="J984"/>
      <c r="K984"/>
      <c r="L984"/>
      <c r="M984"/>
      <c r="N984"/>
      <c r="O984"/>
    </row>
    <row r="985" spans="1:15" x14ac:dyDescent="0.2">
      <c r="A985"/>
      <c r="B985"/>
      <c r="C985"/>
      <c r="D985"/>
      <c r="E985"/>
      <c r="F985"/>
      <c r="G985"/>
      <c r="H985"/>
      <c r="I985"/>
      <c r="J985"/>
      <c r="K985"/>
      <c r="L985"/>
      <c r="M985"/>
      <c r="N985"/>
      <c r="O985"/>
    </row>
    <row r="986" spans="1:15" x14ac:dyDescent="0.2">
      <c r="A986"/>
      <c r="B986"/>
      <c r="C986"/>
      <c r="D986"/>
      <c r="E986"/>
      <c r="F986"/>
      <c r="G986"/>
      <c r="H986"/>
      <c r="I986"/>
      <c r="J986"/>
      <c r="K986"/>
      <c r="L986"/>
      <c r="M986"/>
      <c r="N986"/>
      <c r="O986"/>
    </row>
    <row r="987" spans="1:15" x14ac:dyDescent="0.2">
      <c r="A987"/>
      <c r="B987"/>
      <c r="C987"/>
      <c r="D987"/>
      <c r="E987"/>
      <c r="F987"/>
      <c r="G987"/>
      <c r="H987"/>
      <c r="I987"/>
      <c r="J987"/>
      <c r="K987"/>
      <c r="L987"/>
      <c r="M987"/>
      <c r="N987"/>
      <c r="O987"/>
    </row>
    <row r="988" spans="1:15" x14ac:dyDescent="0.2">
      <c r="A988"/>
      <c r="B988"/>
      <c r="C988"/>
      <c r="D988"/>
      <c r="E988"/>
      <c r="F988"/>
      <c r="G988"/>
      <c r="H988"/>
      <c r="I988"/>
      <c r="J988"/>
      <c r="K988"/>
      <c r="L988"/>
      <c r="M988"/>
      <c r="N988"/>
      <c r="O988"/>
    </row>
    <row r="989" spans="1:15" x14ac:dyDescent="0.2">
      <c r="A989"/>
      <c r="B989"/>
      <c r="C989"/>
      <c r="D989"/>
      <c r="E989"/>
      <c r="F989"/>
      <c r="G989"/>
      <c r="H989"/>
      <c r="I989"/>
      <c r="J989"/>
      <c r="K989"/>
      <c r="L989"/>
      <c r="M989"/>
      <c r="N989"/>
      <c r="O989"/>
    </row>
    <row r="990" spans="1:15" x14ac:dyDescent="0.2">
      <c r="A990"/>
      <c r="B990"/>
      <c r="C990"/>
      <c r="D990"/>
      <c r="E990"/>
      <c r="F990"/>
      <c r="G990"/>
      <c r="H990"/>
      <c r="I990"/>
      <c r="J990"/>
      <c r="K990"/>
      <c r="L990"/>
      <c r="M990"/>
      <c r="N990"/>
      <c r="O990"/>
    </row>
    <row r="991" spans="1:15" x14ac:dyDescent="0.2">
      <c r="A991"/>
      <c r="B991"/>
      <c r="C991"/>
      <c r="D991"/>
      <c r="E991"/>
      <c r="F991"/>
      <c r="G991"/>
      <c r="H991"/>
      <c r="I991"/>
      <c r="J991"/>
      <c r="K991"/>
      <c r="L991"/>
      <c r="M991"/>
      <c r="N991"/>
      <c r="O991"/>
    </row>
    <row r="992" spans="1:15" x14ac:dyDescent="0.2">
      <c r="A992"/>
      <c r="B992"/>
      <c r="C992"/>
      <c r="D992"/>
      <c r="E992"/>
      <c r="F992"/>
      <c r="G992"/>
      <c r="H992"/>
      <c r="I992"/>
      <c r="J992"/>
      <c r="K992"/>
      <c r="L992"/>
      <c r="M992"/>
      <c r="N992"/>
      <c r="O992"/>
    </row>
    <row r="993" spans="1:15" x14ac:dyDescent="0.2">
      <c r="A993"/>
      <c r="B993"/>
      <c r="C993"/>
      <c r="D993"/>
      <c r="E993"/>
      <c r="F993"/>
      <c r="G993"/>
      <c r="H993"/>
      <c r="I993"/>
      <c r="J993"/>
      <c r="K993"/>
      <c r="L993"/>
      <c r="M993"/>
      <c r="N993"/>
      <c r="O993"/>
    </row>
    <row r="994" spans="1:15" x14ac:dyDescent="0.2">
      <c r="A994"/>
      <c r="B994"/>
      <c r="C994"/>
      <c r="D994"/>
      <c r="E994"/>
      <c r="F994"/>
      <c r="G994"/>
      <c r="H994"/>
      <c r="I994"/>
      <c r="J994"/>
      <c r="K994"/>
      <c r="L994"/>
      <c r="M994"/>
      <c r="N994"/>
      <c r="O994"/>
    </row>
    <row r="995" spans="1:15" x14ac:dyDescent="0.2">
      <c r="A995"/>
      <c r="B995"/>
      <c r="C995"/>
      <c r="D995"/>
      <c r="E995"/>
      <c r="F995"/>
      <c r="G995"/>
      <c r="H995"/>
      <c r="I995"/>
      <c r="J995"/>
      <c r="K995"/>
      <c r="L995"/>
      <c r="M995"/>
      <c r="N995"/>
      <c r="O995"/>
    </row>
    <row r="996" spans="1:15" x14ac:dyDescent="0.2">
      <c r="A996"/>
      <c r="B996"/>
      <c r="C996"/>
      <c r="D996"/>
      <c r="E996"/>
      <c r="F996"/>
      <c r="G996"/>
      <c r="H996"/>
      <c r="I996"/>
      <c r="J996"/>
      <c r="K996"/>
      <c r="L996"/>
      <c r="M996"/>
      <c r="N996"/>
      <c r="O996"/>
    </row>
    <row r="997" spans="1:15" x14ac:dyDescent="0.2">
      <c r="A997"/>
      <c r="B997"/>
      <c r="C997"/>
      <c r="D997"/>
      <c r="E997"/>
      <c r="F997"/>
      <c r="G997"/>
      <c r="H997"/>
      <c r="I997"/>
      <c r="J997"/>
      <c r="K997"/>
      <c r="L997"/>
      <c r="M997"/>
      <c r="N997"/>
      <c r="O997"/>
    </row>
    <row r="998" spans="1:15" x14ac:dyDescent="0.2">
      <c r="A998"/>
      <c r="B998"/>
      <c r="C998"/>
      <c r="D998"/>
      <c r="E998"/>
      <c r="F998"/>
      <c r="G998"/>
      <c r="H998"/>
      <c r="I998"/>
      <c r="J998"/>
      <c r="K998"/>
      <c r="L998"/>
      <c r="M998"/>
      <c r="N998"/>
      <c r="O998"/>
    </row>
    <row r="999" spans="1:15" x14ac:dyDescent="0.2">
      <c r="A999"/>
      <c r="B999"/>
      <c r="C999"/>
      <c r="D999"/>
      <c r="E999"/>
      <c r="F999"/>
      <c r="G999"/>
      <c r="H999"/>
      <c r="I999"/>
      <c r="J999"/>
      <c r="K999"/>
      <c r="L999"/>
      <c r="M999"/>
      <c r="N999"/>
      <c r="O999"/>
    </row>
    <row r="1000" spans="1:15" x14ac:dyDescent="0.2">
      <c r="A1000"/>
      <c r="B1000"/>
      <c r="C1000"/>
      <c r="D1000"/>
      <c r="E1000"/>
      <c r="F1000"/>
      <c r="G1000"/>
      <c r="H1000"/>
      <c r="I1000"/>
      <c r="J1000"/>
      <c r="K1000"/>
      <c r="L1000"/>
      <c r="M1000"/>
      <c r="N1000"/>
      <c r="O1000"/>
    </row>
    <row r="1001" spans="1:15" x14ac:dyDescent="0.2">
      <c r="A1001"/>
      <c r="B1001"/>
      <c r="C1001"/>
      <c r="D1001"/>
      <c r="E1001"/>
      <c r="F1001"/>
      <c r="G1001"/>
      <c r="H1001"/>
      <c r="I1001"/>
      <c r="J1001"/>
      <c r="K1001"/>
      <c r="L1001"/>
      <c r="M1001"/>
      <c r="N1001"/>
      <c r="O1001"/>
    </row>
    <row r="1002" spans="1:15" x14ac:dyDescent="0.2">
      <c r="A1002"/>
      <c r="B1002"/>
      <c r="C1002"/>
      <c r="D1002"/>
      <c r="E1002"/>
      <c r="F1002"/>
      <c r="G1002"/>
      <c r="H1002"/>
      <c r="I1002"/>
      <c r="J1002"/>
      <c r="K1002"/>
      <c r="L1002"/>
      <c r="M1002"/>
      <c r="N1002"/>
      <c r="O1002"/>
    </row>
    <row r="1003" spans="1:15" x14ac:dyDescent="0.2">
      <c r="A1003"/>
      <c r="B1003"/>
      <c r="C1003"/>
      <c r="D1003"/>
      <c r="E1003"/>
      <c r="F1003"/>
      <c r="G1003"/>
      <c r="H1003"/>
      <c r="I1003"/>
      <c r="J1003"/>
      <c r="K1003"/>
      <c r="L1003"/>
      <c r="M1003"/>
      <c r="N1003"/>
      <c r="O1003"/>
    </row>
    <row r="1004" spans="1:15" x14ac:dyDescent="0.2">
      <c r="A1004"/>
      <c r="B1004"/>
      <c r="C1004"/>
      <c r="D1004"/>
      <c r="E1004"/>
      <c r="F1004"/>
      <c r="G1004"/>
      <c r="H1004"/>
      <c r="I1004"/>
      <c r="J1004"/>
      <c r="K1004"/>
      <c r="L1004"/>
      <c r="M1004"/>
      <c r="N1004"/>
      <c r="O1004"/>
    </row>
    <row r="1005" spans="1:15" x14ac:dyDescent="0.2">
      <c r="A1005"/>
      <c r="B1005"/>
      <c r="C1005"/>
      <c r="D1005"/>
      <c r="E1005"/>
      <c r="F1005"/>
      <c r="G1005"/>
      <c r="H1005"/>
      <c r="I1005"/>
      <c r="J1005"/>
      <c r="K1005"/>
      <c r="L1005"/>
      <c r="M1005"/>
      <c r="N1005"/>
      <c r="O1005"/>
    </row>
    <row r="1006" spans="1:15" x14ac:dyDescent="0.2">
      <c r="A1006"/>
      <c r="B1006"/>
      <c r="C1006"/>
      <c r="D1006"/>
      <c r="E1006"/>
      <c r="F1006"/>
      <c r="G1006"/>
      <c r="H1006"/>
      <c r="I1006"/>
      <c r="J1006"/>
      <c r="K1006"/>
      <c r="L1006"/>
      <c r="M1006"/>
      <c r="N1006"/>
      <c r="O1006"/>
    </row>
    <row r="1007" spans="1:15" x14ac:dyDescent="0.2">
      <c r="A1007"/>
      <c r="B1007"/>
      <c r="C1007"/>
      <c r="D1007"/>
      <c r="E1007"/>
      <c r="F1007"/>
      <c r="G1007"/>
      <c r="H1007"/>
      <c r="I1007"/>
      <c r="J1007"/>
      <c r="K1007"/>
      <c r="L1007"/>
      <c r="M1007"/>
      <c r="N1007"/>
      <c r="O1007"/>
    </row>
    <row r="1008" spans="1:15" x14ac:dyDescent="0.2">
      <c r="A1008"/>
      <c r="B1008"/>
      <c r="C1008"/>
      <c r="D1008"/>
      <c r="E1008"/>
      <c r="F1008"/>
      <c r="G1008"/>
      <c r="H1008"/>
      <c r="I1008"/>
      <c r="J1008"/>
      <c r="K1008"/>
      <c r="L1008"/>
      <c r="M1008"/>
      <c r="N1008"/>
      <c r="O1008"/>
    </row>
    <row r="1009" spans="1:15" x14ac:dyDescent="0.2">
      <c r="A1009"/>
      <c r="B1009"/>
      <c r="C1009"/>
      <c r="D1009"/>
      <c r="E1009"/>
      <c r="F1009"/>
      <c r="G1009"/>
      <c r="H1009"/>
      <c r="I1009"/>
      <c r="J1009"/>
      <c r="K1009"/>
      <c r="L1009"/>
      <c r="M1009"/>
      <c r="N1009"/>
      <c r="O1009"/>
    </row>
    <row r="1010" spans="1:15" x14ac:dyDescent="0.2">
      <c r="A1010"/>
      <c r="B1010"/>
      <c r="C1010"/>
      <c r="D1010"/>
      <c r="E1010"/>
      <c r="F1010"/>
      <c r="G1010"/>
      <c r="H1010"/>
      <c r="I1010"/>
      <c r="J1010"/>
      <c r="K1010"/>
      <c r="L1010"/>
      <c r="M1010"/>
      <c r="N1010"/>
      <c r="O1010"/>
    </row>
    <row r="1011" spans="1:15" x14ac:dyDescent="0.2">
      <c r="A1011"/>
      <c r="B1011"/>
      <c r="C1011"/>
      <c r="D1011"/>
      <c r="E1011"/>
      <c r="F1011"/>
      <c r="G1011"/>
      <c r="H1011"/>
      <c r="I1011"/>
      <c r="J1011"/>
      <c r="K1011"/>
      <c r="L1011"/>
      <c r="M1011"/>
      <c r="N1011"/>
      <c r="O1011"/>
    </row>
    <row r="1012" spans="1:15" x14ac:dyDescent="0.2">
      <c r="A1012"/>
      <c r="B1012"/>
      <c r="C1012"/>
      <c r="D1012"/>
      <c r="E1012"/>
      <c r="F1012"/>
      <c r="G1012"/>
      <c r="H1012"/>
      <c r="I1012"/>
      <c r="J1012"/>
      <c r="K1012"/>
      <c r="L1012"/>
      <c r="M1012"/>
      <c r="N1012"/>
      <c r="O1012"/>
    </row>
    <row r="1013" spans="1:15" x14ac:dyDescent="0.2">
      <c r="A1013"/>
      <c r="B1013"/>
      <c r="C1013"/>
      <c r="D1013"/>
      <c r="E1013"/>
      <c r="F1013"/>
      <c r="G1013"/>
      <c r="H1013"/>
      <c r="I1013"/>
      <c r="J1013"/>
      <c r="K1013"/>
      <c r="L1013"/>
      <c r="M1013"/>
      <c r="N1013"/>
      <c r="O1013"/>
    </row>
    <row r="1014" spans="1:15" x14ac:dyDescent="0.2">
      <c r="A1014"/>
      <c r="B1014"/>
      <c r="C1014"/>
      <c r="D1014"/>
      <c r="E1014"/>
      <c r="F1014"/>
      <c r="G1014"/>
      <c r="H1014"/>
      <c r="I1014"/>
      <c r="J1014"/>
      <c r="K1014"/>
      <c r="L1014"/>
      <c r="M1014"/>
      <c r="N1014"/>
      <c r="O1014"/>
    </row>
    <row r="1015" spans="1:15" x14ac:dyDescent="0.2">
      <c r="A1015"/>
      <c r="B1015"/>
      <c r="C1015"/>
      <c r="D1015"/>
      <c r="E1015"/>
      <c r="F1015"/>
      <c r="G1015"/>
      <c r="H1015"/>
      <c r="I1015"/>
      <c r="J1015"/>
      <c r="K1015"/>
      <c r="L1015"/>
      <c r="M1015"/>
      <c r="N1015"/>
      <c r="O1015"/>
    </row>
    <row r="1016" spans="1:15" x14ac:dyDescent="0.2">
      <c r="A1016"/>
      <c r="B1016"/>
      <c r="C1016"/>
      <c r="D1016"/>
      <c r="E1016"/>
      <c r="F1016"/>
      <c r="G1016"/>
      <c r="H1016"/>
      <c r="I1016"/>
      <c r="J1016"/>
      <c r="K1016"/>
      <c r="L1016"/>
      <c r="M1016"/>
      <c r="N1016"/>
      <c r="O1016"/>
    </row>
    <row r="1017" spans="1:15" x14ac:dyDescent="0.2">
      <c r="A1017"/>
      <c r="B1017"/>
      <c r="C1017"/>
      <c r="D1017"/>
      <c r="E1017"/>
      <c r="F1017"/>
      <c r="G1017"/>
      <c r="H1017"/>
      <c r="I1017"/>
      <c r="J1017"/>
      <c r="K1017"/>
      <c r="L1017"/>
      <c r="M1017"/>
      <c r="N1017"/>
      <c r="O1017"/>
    </row>
    <row r="1018" spans="1:15" x14ac:dyDescent="0.2">
      <c r="A1018"/>
      <c r="B1018"/>
      <c r="C1018"/>
      <c r="D1018"/>
      <c r="E1018"/>
      <c r="F1018"/>
      <c r="G1018"/>
      <c r="H1018"/>
      <c r="I1018"/>
      <c r="J1018"/>
      <c r="K1018"/>
      <c r="L1018"/>
      <c r="M1018"/>
      <c r="N1018"/>
      <c r="O1018"/>
    </row>
    <row r="1019" spans="1:15" x14ac:dyDescent="0.2">
      <c r="A1019"/>
      <c r="B1019"/>
      <c r="C1019"/>
      <c r="D1019"/>
      <c r="E1019"/>
      <c r="F1019"/>
      <c r="G1019"/>
      <c r="H1019"/>
      <c r="I1019"/>
      <c r="J1019"/>
      <c r="K1019"/>
      <c r="L1019"/>
      <c r="M1019"/>
      <c r="N1019"/>
      <c r="O1019"/>
    </row>
    <row r="1020" spans="1:15" x14ac:dyDescent="0.2">
      <c r="A1020"/>
      <c r="B1020"/>
      <c r="C1020"/>
      <c r="D1020"/>
      <c r="E1020"/>
      <c r="F1020"/>
      <c r="G1020"/>
      <c r="H1020"/>
      <c r="I1020"/>
      <c r="J1020"/>
      <c r="K1020"/>
      <c r="L1020"/>
      <c r="M1020"/>
      <c r="N1020"/>
      <c r="O1020"/>
    </row>
    <row r="1021" spans="1:15" x14ac:dyDescent="0.2">
      <c r="A1021"/>
      <c r="B1021"/>
      <c r="C1021"/>
      <c r="D1021"/>
      <c r="E1021"/>
      <c r="F1021"/>
      <c r="G1021"/>
      <c r="H1021"/>
      <c r="I1021"/>
      <c r="J1021"/>
      <c r="K1021"/>
      <c r="L1021"/>
      <c r="M1021"/>
      <c r="N1021"/>
      <c r="O1021"/>
    </row>
    <row r="1022" spans="1:15" x14ac:dyDescent="0.2">
      <c r="A1022"/>
      <c r="B1022"/>
      <c r="C1022"/>
      <c r="D1022"/>
      <c r="E1022"/>
      <c r="F1022"/>
      <c r="G1022"/>
      <c r="H1022"/>
      <c r="I1022"/>
      <c r="J1022"/>
      <c r="K1022"/>
      <c r="L1022"/>
      <c r="M1022"/>
      <c r="N1022"/>
      <c r="O1022"/>
    </row>
    <row r="1023" spans="1:15" x14ac:dyDescent="0.2">
      <c r="A1023"/>
      <c r="B1023"/>
      <c r="C1023"/>
      <c r="D1023"/>
      <c r="E1023"/>
      <c r="F1023"/>
      <c r="G1023"/>
      <c r="H1023"/>
      <c r="I1023"/>
      <c r="J1023"/>
      <c r="K1023"/>
      <c r="L1023"/>
      <c r="M1023"/>
      <c r="N1023"/>
      <c r="O1023"/>
    </row>
    <row r="1024" spans="1:15" x14ac:dyDescent="0.2">
      <c r="A1024"/>
      <c r="B1024"/>
      <c r="C1024"/>
      <c r="D1024"/>
      <c r="E1024"/>
      <c r="F1024"/>
      <c r="G1024"/>
      <c r="H1024"/>
      <c r="I1024"/>
      <c r="J1024"/>
      <c r="K1024"/>
      <c r="L1024"/>
      <c r="M1024"/>
      <c r="N1024"/>
      <c r="O1024"/>
    </row>
    <row r="1025" spans="1:15" x14ac:dyDescent="0.2">
      <c r="A1025"/>
      <c r="B1025"/>
      <c r="C1025"/>
      <c r="D1025"/>
      <c r="E1025"/>
      <c r="F1025"/>
      <c r="G1025"/>
      <c r="H1025"/>
      <c r="I1025"/>
      <c r="J1025"/>
      <c r="K1025"/>
      <c r="L1025"/>
      <c r="M1025"/>
      <c r="N1025"/>
      <c r="O1025"/>
    </row>
    <row r="1026" spans="1:15" x14ac:dyDescent="0.2">
      <c r="A1026"/>
      <c r="B1026"/>
      <c r="C1026"/>
      <c r="D1026"/>
      <c r="E1026"/>
      <c r="F1026"/>
      <c r="G1026"/>
      <c r="H1026"/>
      <c r="I1026"/>
      <c r="J1026"/>
      <c r="K1026"/>
      <c r="L1026"/>
      <c r="M1026"/>
      <c r="N1026"/>
      <c r="O1026"/>
    </row>
    <row r="1027" spans="1:15" x14ac:dyDescent="0.2">
      <c r="A1027"/>
      <c r="B1027"/>
      <c r="C1027"/>
      <c r="D1027"/>
      <c r="E1027"/>
      <c r="F1027"/>
      <c r="G1027"/>
      <c r="H1027"/>
      <c r="I1027"/>
      <c r="J1027"/>
      <c r="K1027"/>
      <c r="L1027"/>
      <c r="M1027"/>
      <c r="N1027"/>
      <c r="O1027"/>
    </row>
    <row r="1028" spans="1:15" x14ac:dyDescent="0.2">
      <c r="A1028"/>
      <c r="B1028"/>
      <c r="C1028"/>
      <c r="D1028"/>
      <c r="E1028"/>
      <c r="F1028"/>
      <c r="G1028"/>
      <c r="H1028"/>
      <c r="I1028"/>
      <c r="J1028"/>
      <c r="K1028"/>
      <c r="L1028"/>
      <c r="M1028"/>
      <c r="N1028"/>
      <c r="O1028"/>
    </row>
    <row r="1029" spans="1:15" x14ac:dyDescent="0.2">
      <c r="A1029"/>
      <c r="B1029"/>
      <c r="C1029"/>
      <c r="D1029"/>
      <c r="E1029"/>
      <c r="F1029"/>
      <c r="G1029"/>
      <c r="H1029"/>
      <c r="I1029"/>
      <c r="J1029"/>
      <c r="K1029"/>
      <c r="L1029"/>
      <c r="M1029"/>
      <c r="N1029"/>
      <c r="O1029"/>
    </row>
    <row r="1030" spans="1:15" x14ac:dyDescent="0.2">
      <c r="A1030"/>
      <c r="B1030"/>
      <c r="C1030"/>
      <c r="D1030"/>
      <c r="E1030"/>
      <c r="F1030"/>
      <c r="G1030"/>
      <c r="H1030"/>
      <c r="I1030"/>
      <c r="J1030"/>
      <c r="K1030"/>
      <c r="L1030"/>
      <c r="M1030"/>
      <c r="N1030"/>
      <c r="O1030"/>
    </row>
    <row r="1031" spans="1:15" x14ac:dyDescent="0.2">
      <c r="A1031"/>
      <c r="B1031"/>
      <c r="C1031"/>
      <c r="D1031"/>
      <c r="E1031"/>
      <c r="F1031"/>
      <c r="G1031"/>
      <c r="H1031"/>
      <c r="I1031"/>
      <c r="J1031"/>
      <c r="K1031"/>
      <c r="L1031"/>
      <c r="M1031"/>
      <c r="N1031"/>
      <c r="O1031"/>
    </row>
    <row r="1032" spans="1:15" x14ac:dyDescent="0.2">
      <c r="A1032"/>
      <c r="B1032"/>
      <c r="C1032"/>
      <c r="D1032"/>
      <c r="E1032"/>
      <c r="F1032"/>
      <c r="G1032"/>
      <c r="H1032"/>
      <c r="I1032"/>
      <c r="J1032"/>
      <c r="K1032"/>
      <c r="L1032"/>
      <c r="M1032"/>
      <c r="N1032"/>
      <c r="O1032"/>
    </row>
    <row r="1033" spans="1:15" x14ac:dyDescent="0.2">
      <c r="A1033"/>
      <c r="B1033"/>
      <c r="C1033"/>
      <c r="D1033"/>
      <c r="E1033"/>
      <c r="F1033"/>
      <c r="G1033"/>
      <c r="H1033"/>
      <c r="I1033"/>
      <c r="J1033"/>
      <c r="K1033"/>
      <c r="L1033"/>
      <c r="M1033"/>
      <c r="N1033"/>
      <c r="O1033"/>
    </row>
    <row r="1034" spans="1:15" x14ac:dyDescent="0.2">
      <c r="A1034"/>
      <c r="B1034"/>
      <c r="C1034"/>
      <c r="D1034"/>
      <c r="E1034"/>
      <c r="F1034"/>
      <c r="G1034"/>
      <c r="H1034"/>
      <c r="I1034"/>
      <c r="J1034"/>
      <c r="K1034"/>
      <c r="L1034"/>
      <c r="M1034"/>
      <c r="N1034"/>
      <c r="O1034"/>
    </row>
    <row r="1035" spans="1:15" x14ac:dyDescent="0.2">
      <c r="A1035"/>
      <c r="B1035"/>
      <c r="C1035"/>
      <c r="D1035"/>
      <c r="E1035"/>
      <c r="F1035"/>
      <c r="G1035"/>
      <c r="H1035"/>
      <c r="I1035"/>
      <c r="J1035"/>
      <c r="K1035"/>
      <c r="L1035"/>
      <c r="M1035"/>
      <c r="N1035"/>
      <c r="O1035"/>
    </row>
    <row r="1036" spans="1:15" x14ac:dyDescent="0.2">
      <c r="A1036"/>
      <c r="B1036"/>
      <c r="C1036"/>
      <c r="D1036"/>
      <c r="E1036"/>
      <c r="F1036"/>
      <c r="G1036"/>
      <c r="H1036"/>
      <c r="I1036"/>
      <c r="J1036"/>
      <c r="K1036"/>
      <c r="L1036"/>
      <c r="M1036"/>
      <c r="N1036"/>
      <c r="O1036"/>
    </row>
    <row r="1037" spans="1:15" x14ac:dyDescent="0.2">
      <c r="A1037"/>
      <c r="B1037"/>
      <c r="C1037"/>
      <c r="D1037"/>
      <c r="E1037"/>
      <c r="F1037"/>
      <c r="G1037"/>
      <c r="H1037"/>
      <c r="I1037"/>
      <c r="J1037"/>
      <c r="K1037"/>
      <c r="L1037"/>
      <c r="M1037"/>
      <c r="N1037"/>
      <c r="O1037"/>
    </row>
    <row r="1038" spans="1:15" x14ac:dyDescent="0.2">
      <c r="A1038"/>
      <c r="B1038"/>
      <c r="C1038"/>
      <c r="D1038"/>
      <c r="E1038"/>
      <c r="F1038"/>
      <c r="G1038"/>
      <c r="H1038"/>
      <c r="I1038"/>
      <c r="J1038"/>
      <c r="K1038"/>
      <c r="L1038"/>
      <c r="M1038"/>
      <c r="N1038"/>
      <c r="O1038"/>
    </row>
    <row r="1039" spans="1:15" x14ac:dyDescent="0.2">
      <c r="A1039"/>
      <c r="B1039"/>
      <c r="C1039"/>
      <c r="D1039"/>
      <c r="E1039"/>
      <c r="F1039"/>
      <c r="G1039"/>
      <c r="H1039"/>
      <c r="I1039"/>
      <c r="J1039"/>
      <c r="K1039"/>
      <c r="L1039"/>
      <c r="M1039"/>
      <c r="N1039"/>
      <c r="O1039"/>
    </row>
    <row r="1040" spans="1:15" x14ac:dyDescent="0.2">
      <c r="A1040"/>
      <c r="B1040"/>
      <c r="C1040"/>
      <c r="D1040"/>
      <c r="E1040"/>
      <c r="F1040"/>
      <c r="G1040"/>
      <c r="H1040"/>
      <c r="I1040"/>
      <c r="J1040"/>
      <c r="K1040"/>
      <c r="L1040"/>
      <c r="M1040"/>
      <c r="N1040"/>
      <c r="O1040"/>
    </row>
    <row r="1041" spans="1:15" x14ac:dyDescent="0.2">
      <c r="A1041"/>
      <c r="B1041"/>
      <c r="C1041"/>
      <c r="D1041"/>
      <c r="E1041"/>
      <c r="F1041"/>
      <c r="G1041"/>
      <c r="H1041"/>
      <c r="I1041"/>
      <c r="J1041"/>
      <c r="K1041"/>
      <c r="L1041"/>
      <c r="M1041"/>
      <c r="N1041"/>
      <c r="O1041"/>
    </row>
    <row r="1042" spans="1:15" x14ac:dyDescent="0.2">
      <c r="A1042"/>
      <c r="B1042"/>
      <c r="C1042"/>
      <c r="D1042"/>
      <c r="E1042"/>
      <c r="F1042"/>
      <c r="G1042"/>
      <c r="H1042"/>
      <c r="I1042"/>
      <c r="J1042"/>
      <c r="K1042"/>
      <c r="L1042"/>
      <c r="M1042"/>
      <c r="N1042"/>
      <c r="O1042"/>
    </row>
    <row r="1043" spans="1:15" x14ac:dyDescent="0.2">
      <c r="A1043"/>
      <c r="B1043"/>
      <c r="C1043"/>
      <c r="D1043"/>
      <c r="E1043"/>
      <c r="F1043"/>
      <c r="G1043"/>
      <c r="H1043"/>
      <c r="I1043"/>
      <c r="J1043"/>
      <c r="K1043"/>
      <c r="L1043"/>
      <c r="M1043"/>
      <c r="N1043"/>
      <c r="O1043"/>
    </row>
    <row r="1044" spans="1:15" x14ac:dyDescent="0.2">
      <c r="A1044"/>
      <c r="B1044"/>
      <c r="C1044"/>
      <c r="D1044"/>
      <c r="E1044"/>
      <c r="F1044"/>
      <c r="G1044"/>
      <c r="H1044"/>
      <c r="I1044"/>
      <c r="J1044"/>
      <c r="K1044"/>
      <c r="L1044"/>
      <c r="M1044"/>
      <c r="N1044"/>
      <c r="O1044"/>
    </row>
    <row r="1045" spans="1:15" x14ac:dyDescent="0.2">
      <c r="A1045"/>
      <c r="B1045"/>
      <c r="C1045"/>
      <c r="D1045"/>
      <c r="E1045"/>
      <c r="F1045"/>
      <c r="G1045"/>
      <c r="H1045"/>
      <c r="I1045"/>
      <c r="J1045"/>
      <c r="K1045"/>
      <c r="L1045"/>
      <c r="M1045"/>
      <c r="N1045"/>
      <c r="O1045"/>
    </row>
    <row r="1046" spans="1:15" x14ac:dyDescent="0.2">
      <c r="A1046"/>
      <c r="B1046"/>
      <c r="C1046"/>
      <c r="D1046"/>
      <c r="E1046"/>
      <c r="F1046"/>
      <c r="G1046"/>
      <c r="H1046"/>
      <c r="I1046"/>
      <c r="J1046"/>
      <c r="K1046"/>
      <c r="L1046"/>
      <c r="M1046"/>
      <c r="N1046"/>
      <c r="O1046"/>
    </row>
    <row r="1047" spans="1:15" x14ac:dyDescent="0.2">
      <c r="A1047"/>
      <c r="B1047"/>
      <c r="C1047"/>
      <c r="D1047"/>
      <c r="E1047"/>
      <c r="F1047"/>
      <c r="G1047"/>
      <c r="H1047"/>
      <c r="I1047"/>
      <c r="J1047"/>
      <c r="K1047"/>
      <c r="L1047"/>
      <c r="M1047"/>
      <c r="N1047"/>
      <c r="O1047"/>
    </row>
    <row r="1048" spans="1:15" x14ac:dyDescent="0.2">
      <c r="A1048"/>
      <c r="B1048"/>
      <c r="C1048"/>
      <c r="D1048"/>
      <c r="E1048"/>
      <c r="F1048"/>
      <c r="G1048"/>
      <c r="H1048"/>
      <c r="I1048"/>
      <c r="J1048"/>
      <c r="K1048"/>
      <c r="L1048"/>
      <c r="M1048"/>
      <c r="N1048"/>
      <c r="O1048"/>
    </row>
    <row r="1049" spans="1:15" x14ac:dyDescent="0.2">
      <c r="A1049"/>
      <c r="B1049"/>
      <c r="C1049"/>
      <c r="D1049"/>
      <c r="E1049"/>
      <c r="F1049"/>
      <c r="G1049"/>
      <c r="H1049"/>
      <c r="I1049"/>
      <c r="J1049"/>
      <c r="K1049"/>
      <c r="L1049"/>
      <c r="M1049"/>
      <c r="N1049"/>
      <c r="O1049"/>
    </row>
    <row r="1050" spans="1:15" x14ac:dyDescent="0.2">
      <c r="A1050"/>
      <c r="B1050"/>
      <c r="C1050"/>
      <c r="D1050"/>
      <c r="E1050"/>
      <c r="F1050"/>
      <c r="G1050"/>
      <c r="H1050"/>
      <c r="I1050"/>
      <c r="J1050"/>
      <c r="K1050"/>
      <c r="L1050"/>
      <c r="M1050"/>
      <c r="N1050"/>
      <c r="O1050"/>
    </row>
    <row r="1051" spans="1:15" x14ac:dyDescent="0.2">
      <c r="A1051"/>
      <c r="B1051"/>
      <c r="C1051"/>
      <c r="D1051"/>
      <c r="E1051"/>
      <c r="F1051"/>
      <c r="G1051"/>
      <c r="H1051"/>
      <c r="I1051"/>
      <c r="J1051"/>
      <c r="K1051"/>
      <c r="L1051"/>
      <c r="M1051"/>
      <c r="N1051"/>
      <c r="O1051"/>
    </row>
    <row r="1052" spans="1:15" x14ac:dyDescent="0.2">
      <c r="A1052"/>
      <c r="B1052"/>
      <c r="C1052"/>
      <c r="D1052"/>
      <c r="E1052"/>
      <c r="F1052"/>
      <c r="G1052"/>
      <c r="H1052"/>
      <c r="I1052"/>
      <c r="J1052"/>
      <c r="K1052"/>
      <c r="L1052"/>
      <c r="M1052"/>
      <c r="N1052"/>
      <c r="O1052"/>
    </row>
    <row r="1053" spans="1:15" x14ac:dyDescent="0.2">
      <c r="A1053"/>
      <c r="B1053"/>
      <c r="C1053"/>
      <c r="D1053"/>
      <c r="E1053"/>
      <c r="F1053"/>
      <c r="G1053"/>
      <c r="H1053"/>
      <c r="I1053"/>
      <c r="J1053"/>
      <c r="K1053"/>
      <c r="L1053"/>
      <c r="M1053"/>
      <c r="N1053"/>
      <c r="O1053"/>
    </row>
    <row r="1054" spans="1:15" x14ac:dyDescent="0.2">
      <c r="A1054"/>
      <c r="B1054"/>
      <c r="C1054"/>
      <c r="D1054"/>
      <c r="E1054"/>
      <c r="F1054"/>
      <c r="G1054"/>
      <c r="H1054"/>
      <c r="I1054"/>
      <c r="J1054"/>
      <c r="K1054"/>
      <c r="L1054"/>
      <c r="M1054"/>
      <c r="N1054"/>
      <c r="O1054"/>
    </row>
    <row r="1055" spans="1:15" x14ac:dyDescent="0.2">
      <c r="A1055"/>
      <c r="B1055"/>
      <c r="C1055"/>
      <c r="D1055"/>
      <c r="E1055"/>
      <c r="F1055"/>
      <c r="G1055"/>
      <c r="H1055"/>
      <c r="I1055"/>
      <c r="J1055"/>
      <c r="K1055"/>
      <c r="L1055"/>
      <c r="M1055"/>
      <c r="N1055"/>
      <c r="O1055"/>
    </row>
    <row r="1056" spans="1:15" x14ac:dyDescent="0.2">
      <c r="A1056"/>
      <c r="B1056"/>
      <c r="C1056"/>
      <c r="D1056"/>
      <c r="E1056"/>
      <c r="F1056"/>
      <c r="G1056"/>
      <c r="H1056"/>
      <c r="I1056"/>
      <c r="J1056"/>
      <c r="K1056"/>
      <c r="L1056"/>
      <c r="M1056"/>
      <c r="N1056"/>
      <c r="O1056"/>
    </row>
    <row r="1057" spans="1:15" x14ac:dyDescent="0.2">
      <c r="A1057"/>
      <c r="B1057"/>
      <c r="C1057"/>
      <c r="D1057"/>
      <c r="E1057"/>
      <c r="F1057"/>
      <c r="G1057"/>
      <c r="H1057"/>
      <c r="I1057"/>
      <c r="J1057"/>
      <c r="K1057"/>
      <c r="L1057"/>
      <c r="M1057"/>
      <c r="N1057"/>
      <c r="O1057"/>
    </row>
    <row r="1058" spans="1:15" x14ac:dyDescent="0.2">
      <c r="A1058"/>
      <c r="B1058"/>
      <c r="C1058"/>
      <c r="D1058"/>
      <c r="E1058"/>
      <c r="F1058"/>
      <c r="G1058"/>
      <c r="H1058"/>
      <c r="I1058"/>
      <c r="J1058"/>
      <c r="K1058"/>
      <c r="L1058"/>
      <c r="M1058"/>
      <c r="N1058"/>
      <c r="O1058"/>
    </row>
    <row r="1059" spans="1:15" x14ac:dyDescent="0.2">
      <c r="A1059"/>
      <c r="B1059"/>
      <c r="C1059"/>
      <c r="D1059"/>
      <c r="E1059"/>
      <c r="F1059"/>
      <c r="G1059"/>
      <c r="H1059"/>
      <c r="I1059"/>
      <c r="J1059"/>
      <c r="K1059"/>
      <c r="L1059"/>
      <c r="M1059"/>
      <c r="N1059"/>
      <c r="O1059"/>
    </row>
    <row r="1060" spans="1:15" x14ac:dyDescent="0.2">
      <c r="A1060"/>
      <c r="B1060"/>
      <c r="C1060"/>
      <c r="D1060"/>
      <c r="E1060"/>
      <c r="F1060"/>
      <c r="G1060"/>
      <c r="H1060"/>
      <c r="I1060"/>
      <c r="J1060"/>
      <c r="K1060"/>
      <c r="L1060"/>
      <c r="M1060"/>
      <c r="N1060"/>
      <c r="O1060"/>
    </row>
    <row r="1061" spans="1:15" x14ac:dyDescent="0.2">
      <c r="A1061"/>
      <c r="B1061"/>
      <c r="C1061"/>
      <c r="D1061"/>
      <c r="E1061"/>
      <c r="F1061"/>
      <c r="G1061"/>
      <c r="H1061"/>
      <c r="I1061"/>
      <c r="J1061"/>
      <c r="K1061"/>
      <c r="L1061"/>
      <c r="M1061"/>
      <c r="N1061"/>
      <c r="O1061"/>
    </row>
    <row r="1062" spans="1:15" x14ac:dyDescent="0.2">
      <c r="A1062"/>
      <c r="B1062"/>
      <c r="C1062"/>
      <c r="D1062"/>
      <c r="E1062"/>
      <c r="F1062"/>
      <c r="G1062"/>
      <c r="H1062"/>
      <c r="I1062"/>
      <c r="J1062"/>
      <c r="K1062"/>
      <c r="L1062"/>
      <c r="M1062"/>
      <c r="N1062"/>
      <c r="O1062"/>
    </row>
    <row r="1063" spans="1:15" x14ac:dyDescent="0.2">
      <c r="A1063"/>
      <c r="B1063"/>
      <c r="C1063"/>
      <c r="D1063"/>
      <c r="E1063"/>
      <c r="F1063"/>
      <c r="G1063"/>
      <c r="H1063"/>
      <c r="I1063"/>
      <c r="J1063"/>
      <c r="K1063"/>
      <c r="L1063"/>
      <c r="M1063"/>
      <c r="N1063"/>
      <c r="O1063"/>
    </row>
    <row r="1064" spans="1:15" x14ac:dyDescent="0.2">
      <c r="A1064"/>
      <c r="B1064"/>
      <c r="C1064"/>
      <c r="D1064"/>
      <c r="E1064"/>
      <c r="F1064"/>
      <c r="G1064"/>
      <c r="H1064"/>
      <c r="I1064"/>
      <c r="J1064"/>
      <c r="K1064"/>
      <c r="L1064"/>
      <c r="M1064"/>
      <c r="N1064"/>
      <c r="O1064"/>
    </row>
    <row r="1065" spans="1:15" x14ac:dyDescent="0.2">
      <c r="A1065"/>
      <c r="B1065"/>
      <c r="C1065"/>
      <c r="D1065"/>
      <c r="E1065"/>
      <c r="F1065"/>
      <c r="G1065"/>
      <c r="H1065"/>
      <c r="I1065"/>
      <c r="J1065"/>
      <c r="K1065"/>
      <c r="L1065"/>
      <c r="M1065"/>
      <c r="N1065"/>
      <c r="O1065"/>
    </row>
    <row r="1066" spans="1:15" x14ac:dyDescent="0.2">
      <c r="A1066"/>
      <c r="B1066"/>
      <c r="C1066"/>
      <c r="D1066"/>
      <c r="E1066"/>
      <c r="F1066"/>
      <c r="G1066"/>
      <c r="H1066"/>
      <c r="I1066"/>
      <c r="J1066"/>
      <c r="K1066"/>
      <c r="L1066"/>
      <c r="M1066"/>
      <c r="N1066"/>
      <c r="O1066"/>
    </row>
    <row r="1067" spans="1:15" x14ac:dyDescent="0.2">
      <c r="A1067"/>
      <c r="B1067"/>
      <c r="C1067"/>
      <c r="D1067"/>
      <c r="E1067"/>
      <c r="F1067"/>
      <c r="G1067"/>
      <c r="H1067"/>
      <c r="I1067"/>
      <c r="J1067"/>
      <c r="K1067"/>
      <c r="L1067"/>
      <c r="M1067"/>
      <c r="N1067"/>
      <c r="O1067"/>
    </row>
    <row r="1068" spans="1:15" x14ac:dyDescent="0.2">
      <c r="A1068"/>
      <c r="B1068"/>
      <c r="C1068"/>
      <c r="D1068"/>
      <c r="E1068"/>
      <c r="F1068"/>
      <c r="G1068"/>
      <c r="H1068"/>
      <c r="I1068"/>
      <c r="J1068"/>
      <c r="K1068"/>
      <c r="L1068"/>
      <c r="M1068"/>
      <c r="N1068"/>
      <c r="O1068"/>
    </row>
    <row r="1069" spans="1:15" x14ac:dyDescent="0.2">
      <c r="A1069"/>
      <c r="B1069"/>
      <c r="C1069"/>
      <c r="D1069"/>
      <c r="E1069"/>
      <c r="F1069"/>
      <c r="G1069"/>
      <c r="H1069"/>
      <c r="I1069"/>
      <c r="J1069"/>
      <c r="K1069"/>
      <c r="L1069"/>
      <c r="M1069"/>
      <c r="N1069"/>
      <c r="O1069"/>
    </row>
    <row r="1070" spans="1:15" x14ac:dyDescent="0.2">
      <c r="A1070"/>
      <c r="B1070"/>
      <c r="C1070"/>
      <c r="D1070"/>
      <c r="E1070"/>
      <c r="F1070"/>
      <c r="G1070"/>
      <c r="H1070"/>
      <c r="I1070"/>
      <c r="J1070"/>
      <c r="K1070"/>
      <c r="L1070"/>
      <c r="M1070"/>
      <c r="N1070"/>
      <c r="O1070"/>
    </row>
    <row r="1071" spans="1:15" x14ac:dyDescent="0.2">
      <c r="A1071"/>
      <c r="B1071"/>
      <c r="C1071"/>
      <c r="D1071"/>
      <c r="E1071"/>
      <c r="F1071"/>
      <c r="G1071"/>
      <c r="H1071"/>
      <c r="I1071"/>
      <c r="J1071"/>
      <c r="K1071"/>
      <c r="L1071"/>
      <c r="M1071"/>
      <c r="N1071"/>
      <c r="O1071"/>
    </row>
    <row r="1072" spans="1:15" x14ac:dyDescent="0.2">
      <c r="A1072"/>
      <c r="B1072"/>
      <c r="C1072"/>
      <c r="D1072"/>
      <c r="E1072"/>
      <c r="F1072"/>
      <c r="G1072"/>
      <c r="H1072"/>
      <c r="I1072"/>
      <c r="J1072"/>
      <c r="K1072"/>
      <c r="L1072"/>
      <c r="M1072"/>
      <c r="N1072"/>
      <c r="O1072"/>
    </row>
    <row r="1073" spans="1:15" x14ac:dyDescent="0.2">
      <c r="A1073"/>
      <c r="B1073"/>
      <c r="C1073"/>
      <c r="D1073"/>
      <c r="E1073"/>
      <c r="F1073"/>
      <c r="G1073"/>
      <c r="H1073"/>
      <c r="I1073"/>
      <c r="J1073"/>
      <c r="K1073"/>
      <c r="L1073"/>
      <c r="M1073"/>
      <c r="N1073"/>
      <c r="O1073"/>
    </row>
    <row r="1074" spans="1:15" x14ac:dyDescent="0.2">
      <c r="A1074"/>
      <c r="B1074"/>
      <c r="C1074"/>
      <c r="D1074"/>
      <c r="E1074"/>
      <c r="F1074"/>
      <c r="G1074"/>
      <c r="H1074"/>
      <c r="I1074"/>
      <c r="J1074"/>
      <c r="K1074"/>
      <c r="L1074"/>
      <c r="M1074"/>
      <c r="N1074"/>
      <c r="O1074"/>
    </row>
    <row r="1075" spans="1:15" x14ac:dyDescent="0.2">
      <c r="A1075"/>
      <c r="B1075"/>
      <c r="C1075"/>
      <c r="D1075"/>
      <c r="E1075"/>
      <c r="F1075"/>
      <c r="G1075"/>
      <c r="H1075"/>
      <c r="I1075"/>
      <c r="J1075"/>
      <c r="K1075"/>
      <c r="L1075"/>
      <c r="M1075"/>
      <c r="N1075"/>
      <c r="O1075"/>
    </row>
    <row r="1076" spans="1:15" x14ac:dyDescent="0.2">
      <c r="A1076"/>
      <c r="B1076"/>
      <c r="C1076"/>
      <c r="D1076"/>
      <c r="E1076"/>
      <c r="F1076"/>
      <c r="G1076"/>
      <c r="H1076"/>
      <c r="I1076"/>
      <c r="J1076"/>
      <c r="K1076"/>
      <c r="L1076"/>
      <c r="M1076"/>
      <c r="N1076"/>
      <c r="O1076"/>
    </row>
    <row r="1077" spans="1:15" x14ac:dyDescent="0.2">
      <c r="A1077"/>
      <c r="B1077"/>
      <c r="C1077"/>
      <c r="D1077"/>
      <c r="E1077"/>
      <c r="F1077"/>
      <c r="G1077"/>
      <c r="H1077"/>
      <c r="I1077"/>
      <c r="J1077"/>
      <c r="K1077"/>
      <c r="L1077"/>
      <c r="M1077"/>
      <c r="N1077"/>
      <c r="O1077"/>
    </row>
    <row r="1078" spans="1:15" x14ac:dyDescent="0.2">
      <c r="A1078"/>
      <c r="B1078"/>
      <c r="C1078"/>
      <c r="D1078"/>
      <c r="E1078"/>
      <c r="F1078"/>
      <c r="G1078"/>
      <c r="H1078"/>
      <c r="I1078"/>
      <c r="J1078"/>
      <c r="K1078"/>
      <c r="L1078"/>
      <c r="M1078"/>
      <c r="N1078"/>
      <c r="O1078"/>
    </row>
    <row r="1079" spans="1:15" x14ac:dyDescent="0.2">
      <c r="A1079"/>
      <c r="B1079"/>
      <c r="C1079"/>
      <c r="D1079"/>
      <c r="E1079"/>
      <c r="F1079"/>
      <c r="G1079"/>
      <c r="H1079"/>
      <c r="I1079"/>
      <c r="J1079"/>
      <c r="K1079"/>
      <c r="L1079"/>
      <c r="M1079"/>
      <c r="N1079"/>
      <c r="O1079"/>
    </row>
    <row r="1080" spans="1:15" x14ac:dyDescent="0.2">
      <c r="A1080"/>
      <c r="B1080"/>
      <c r="C1080"/>
      <c r="D1080"/>
      <c r="E1080"/>
      <c r="F1080"/>
      <c r="G1080"/>
      <c r="H1080"/>
      <c r="I1080"/>
      <c r="J1080"/>
      <c r="K1080"/>
      <c r="L1080"/>
      <c r="M1080"/>
      <c r="N1080"/>
      <c r="O1080"/>
    </row>
    <row r="1081" spans="1:15" x14ac:dyDescent="0.2">
      <c r="A1081"/>
      <c r="B1081"/>
      <c r="C1081"/>
      <c r="D1081"/>
      <c r="E1081"/>
      <c r="F1081"/>
      <c r="G1081"/>
      <c r="H1081"/>
      <c r="I1081"/>
      <c r="J1081"/>
      <c r="K1081"/>
      <c r="L1081"/>
      <c r="M1081"/>
      <c r="N1081"/>
      <c r="O1081"/>
    </row>
    <row r="1082" spans="1:15" x14ac:dyDescent="0.2">
      <c r="A1082"/>
      <c r="B1082"/>
      <c r="C1082"/>
      <c r="D1082"/>
      <c r="E1082"/>
      <c r="F1082"/>
      <c r="G1082"/>
      <c r="H1082"/>
      <c r="I1082"/>
      <c r="J1082"/>
      <c r="K1082"/>
      <c r="L1082"/>
      <c r="M1082"/>
      <c r="N1082"/>
      <c r="O1082"/>
    </row>
    <row r="1083" spans="1:15" x14ac:dyDescent="0.2">
      <c r="A1083"/>
      <c r="B1083"/>
      <c r="C1083"/>
      <c r="D1083"/>
      <c r="E1083"/>
      <c r="F1083"/>
      <c r="G1083"/>
      <c r="H1083"/>
      <c r="I1083"/>
      <c r="J1083"/>
      <c r="K1083"/>
      <c r="L1083"/>
      <c r="M1083"/>
      <c r="N1083"/>
      <c r="O1083"/>
    </row>
    <row r="1084" spans="1:15" x14ac:dyDescent="0.2">
      <c r="A1084"/>
      <c r="B1084"/>
      <c r="C1084"/>
      <c r="D1084"/>
      <c r="E1084"/>
      <c r="F1084"/>
      <c r="G1084"/>
      <c r="H1084"/>
      <c r="I1084"/>
      <c r="J1084"/>
      <c r="K1084"/>
      <c r="L1084"/>
      <c r="M1084"/>
      <c r="N1084"/>
      <c r="O1084"/>
    </row>
    <row r="1085" spans="1:15" x14ac:dyDescent="0.2">
      <c r="A1085"/>
      <c r="B1085"/>
      <c r="C1085"/>
      <c r="D1085"/>
      <c r="E1085"/>
      <c r="F1085"/>
      <c r="G1085"/>
      <c r="H1085"/>
      <c r="I1085"/>
      <c r="J1085"/>
      <c r="K1085"/>
      <c r="L1085"/>
      <c r="M1085"/>
      <c r="N1085"/>
      <c r="O1085"/>
    </row>
    <row r="1086" spans="1:15" x14ac:dyDescent="0.2">
      <c r="A1086"/>
      <c r="B1086"/>
      <c r="C1086"/>
      <c r="D1086"/>
      <c r="E1086"/>
      <c r="F1086"/>
      <c r="G1086"/>
      <c r="H1086"/>
      <c r="I1086"/>
      <c r="J1086"/>
      <c r="K1086"/>
      <c r="L1086"/>
      <c r="M1086"/>
      <c r="N1086"/>
      <c r="O1086"/>
    </row>
    <row r="1087" spans="1:15" x14ac:dyDescent="0.2">
      <c r="A1087"/>
      <c r="B1087"/>
      <c r="C1087"/>
      <c r="D1087"/>
      <c r="E1087"/>
      <c r="F1087"/>
      <c r="G1087"/>
      <c r="H1087"/>
      <c r="I1087"/>
      <c r="J1087"/>
      <c r="K1087"/>
      <c r="L1087"/>
      <c r="M1087"/>
      <c r="N1087"/>
      <c r="O1087"/>
    </row>
    <row r="1088" spans="1:15" x14ac:dyDescent="0.2">
      <c r="A1088"/>
      <c r="B1088"/>
      <c r="C1088"/>
      <c r="D1088"/>
      <c r="E1088"/>
      <c r="F1088"/>
      <c r="G1088"/>
      <c r="H1088"/>
      <c r="I1088"/>
      <c r="J1088"/>
      <c r="K1088"/>
      <c r="L1088"/>
      <c r="M1088"/>
      <c r="N1088"/>
      <c r="O1088"/>
    </row>
    <row r="1089" spans="1:15" x14ac:dyDescent="0.2">
      <c r="A1089"/>
      <c r="B1089"/>
      <c r="C1089"/>
      <c r="D1089"/>
      <c r="E1089"/>
      <c r="F1089"/>
      <c r="G1089"/>
      <c r="H1089"/>
      <c r="I1089"/>
      <c r="J1089"/>
      <c r="K1089"/>
      <c r="L1089"/>
      <c r="M1089"/>
      <c r="N1089"/>
      <c r="O1089"/>
    </row>
    <row r="1090" spans="1:15" x14ac:dyDescent="0.2">
      <c r="A1090"/>
      <c r="B1090"/>
      <c r="C1090"/>
      <c r="D1090"/>
      <c r="E1090"/>
      <c r="F1090"/>
      <c r="G1090"/>
      <c r="H1090"/>
      <c r="I1090"/>
      <c r="J1090"/>
      <c r="K1090"/>
      <c r="L1090"/>
      <c r="M1090"/>
      <c r="N1090"/>
      <c r="O1090"/>
    </row>
    <row r="1091" spans="1:15" x14ac:dyDescent="0.2">
      <c r="A1091"/>
      <c r="B1091"/>
      <c r="C1091"/>
      <c r="D1091"/>
      <c r="E1091"/>
      <c r="F1091"/>
      <c r="G1091"/>
      <c r="H1091"/>
      <c r="I1091"/>
      <c r="J1091"/>
      <c r="K1091"/>
      <c r="L1091"/>
      <c r="M1091"/>
      <c r="N1091"/>
      <c r="O1091"/>
    </row>
    <row r="1092" spans="1:15" x14ac:dyDescent="0.2">
      <c r="A1092"/>
      <c r="B1092"/>
      <c r="C1092"/>
      <c r="D1092"/>
      <c r="E1092"/>
      <c r="F1092"/>
      <c r="G1092"/>
      <c r="H1092"/>
      <c r="I1092"/>
      <c r="J1092"/>
      <c r="K1092"/>
      <c r="L1092"/>
      <c r="M1092"/>
      <c r="N1092"/>
      <c r="O1092"/>
    </row>
    <row r="1093" spans="1:15" x14ac:dyDescent="0.2">
      <c r="A1093"/>
      <c r="B1093"/>
      <c r="C1093"/>
      <c r="D1093"/>
      <c r="E1093"/>
      <c r="F1093"/>
      <c r="G1093"/>
      <c r="H1093"/>
      <c r="I1093"/>
      <c r="J1093"/>
      <c r="K1093"/>
      <c r="L1093"/>
      <c r="M1093"/>
      <c r="N1093"/>
      <c r="O1093"/>
    </row>
    <row r="1094" spans="1:15" x14ac:dyDescent="0.2">
      <c r="A1094"/>
      <c r="B1094"/>
      <c r="C1094"/>
      <c r="D1094"/>
      <c r="E1094"/>
      <c r="F1094"/>
      <c r="G1094"/>
      <c r="H1094"/>
      <c r="I1094"/>
      <c r="J1094"/>
      <c r="K1094"/>
      <c r="L1094"/>
      <c r="M1094"/>
      <c r="N1094"/>
      <c r="O1094"/>
    </row>
    <row r="1095" spans="1:15" x14ac:dyDescent="0.2">
      <c r="A1095"/>
      <c r="B1095"/>
      <c r="C1095"/>
      <c r="D1095"/>
      <c r="E1095"/>
      <c r="F1095"/>
      <c r="G1095"/>
      <c r="H1095"/>
      <c r="I1095"/>
      <c r="J1095"/>
      <c r="K1095"/>
      <c r="L1095"/>
      <c r="M1095"/>
      <c r="N1095"/>
      <c r="O1095"/>
    </row>
    <row r="1096" spans="1:15" x14ac:dyDescent="0.2">
      <c r="A1096"/>
      <c r="B1096"/>
      <c r="C1096"/>
      <c r="D1096"/>
      <c r="E1096"/>
      <c r="F1096"/>
      <c r="G1096"/>
      <c r="H1096"/>
      <c r="I1096"/>
      <c r="J1096"/>
      <c r="K1096"/>
      <c r="L1096"/>
      <c r="M1096"/>
      <c r="N1096"/>
      <c r="O1096"/>
    </row>
    <row r="1097" spans="1:15" x14ac:dyDescent="0.2">
      <c r="A1097"/>
      <c r="B1097"/>
      <c r="C1097"/>
      <c r="D1097"/>
      <c r="E1097"/>
      <c r="F1097"/>
      <c r="G1097"/>
      <c r="H1097"/>
      <c r="I1097"/>
      <c r="J1097"/>
      <c r="K1097"/>
      <c r="L1097"/>
      <c r="M1097"/>
      <c r="N1097"/>
      <c r="O1097"/>
    </row>
    <row r="1098" spans="1:15" x14ac:dyDescent="0.2">
      <c r="A1098"/>
      <c r="B1098"/>
      <c r="C1098"/>
      <c r="D1098"/>
      <c r="E1098"/>
      <c r="F1098"/>
      <c r="G1098"/>
      <c r="H1098"/>
      <c r="I1098"/>
      <c r="J1098"/>
      <c r="K1098"/>
      <c r="L1098"/>
      <c r="M1098"/>
      <c r="N1098"/>
      <c r="O1098"/>
    </row>
    <row r="1099" spans="1:15" x14ac:dyDescent="0.2">
      <c r="A1099"/>
      <c r="B1099"/>
      <c r="C1099"/>
      <c r="D1099"/>
      <c r="E1099"/>
      <c r="F1099"/>
      <c r="G1099"/>
      <c r="H1099"/>
      <c r="I1099"/>
      <c r="J1099"/>
      <c r="K1099"/>
      <c r="L1099"/>
      <c r="M1099"/>
      <c r="N1099"/>
      <c r="O1099"/>
    </row>
    <row r="1100" spans="1:15" x14ac:dyDescent="0.2">
      <c r="A1100"/>
      <c r="B1100"/>
      <c r="C1100"/>
      <c r="D1100"/>
      <c r="E1100"/>
      <c r="F1100"/>
      <c r="G1100"/>
      <c r="H1100"/>
      <c r="I1100"/>
      <c r="J1100"/>
      <c r="K1100"/>
      <c r="L1100"/>
      <c r="M1100"/>
      <c r="N1100"/>
      <c r="O1100"/>
    </row>
    <row r="1101" spans="1:15" x14ac:dyDescent="0.2">
      <c r="A1101"/>
      <c r="B1101"/>
      <c r="C1101"/>
      <c r="D1101"/>
      <c r="E1101"/>
      <c r="F1101"/>
      <c r="G1101"/>
      <c r="H1101"/>
      <c r="I1101"/>
      <c r="J1101"/>
      <c r="K1101"/>
      <c r="L1101"/>
      <c r="M1101"/>
      <c r="N1101"/>
      <c r="O1101"/>
    </row>
    <row r="1102" spans="1:15" x14ac:dyDescent="0.2">
      <c r="A1102"/>
      <c r="B1102"/>
      <c r="C1102"/>
      <c r="D1102"/>
      <c r="E1102"/>
      <c r="F1102"/>
      <c r="G1102"/>
      <c r="H1102"/>
      <c r="I1102"/>
      <c r="J1102"/>
      <c r="K1102"/>
      <c r="L1102"/>
      <c r="M1102"/>
      <c r="N1102"/>
      <c r="O1102"/>
    </row>
    <row r="1103" spans="1:15" x14ac:dyDescent="0.2">
      <c r="A1103"/>
      <c r="B1103"/>
      <c r="C1103"/>
      <c r="D1103"/>
      <c r="E1103"/>
      <c r="F1103"/>
      <c r="G1103"/>
      <c r="H1103"/>
      <c r="I1103"/>
      <c r="J1103"/>
      <c r="K1103"/>
      <c r="L1103"/>
      <c r="M1103"/>
      <c r="N1103"/>
      <c r="O1103"/>
    </row>
    <row r="1104" spans="1:15" x14ac:dyDescent="0.2">
      <c r="A1104"/>
      <c r="B1104"/>
      <c r="C1104"/>
      <c r="D1104"/>
      <c r="E1104"/>
      <c r="F1104"/>
      <c r="G1104"/>
      <c r="H1104"/>
      <c r="I1104"/>
      <c r="J1104"/>
      <c r="K1104"/>
      <c r="L1104"/>
      <c r="M1104"/>
      <c r="N1104"/>
      <c r="O1104"/>
    </row>
    <row r="1105" spans="1:15" x14ac:dyDescent="0.2">
      <c r="A1105"/>
      <c r="B1105"/>
      <c r="C1105"/>
      <c r="D1105"/>
      <c r="E1105"/>
      <c r="F1105"/>
      <c r="G1105"/>
      <c r="H1105"/>
      <c r="I1105"/>
      <c r="J1105"/>
      <c r="K1105"/>
      <c r="L1105"/>
      <c r="M1105"/>
      <c r="N1105"/>
      <c r="O1105"/>
    </row>
    <row r="1106" spans="1:15" x14ac:dyDescent="0.2">
      <c r="A1106"/>
      <c r="B1106"/>
      <c r="C1106"/>
      <c r="D1106"/>
      <c r="E1106"/>
      <c r="F1106"/>
      <c r="G1106"/>
      <c r="H1106"/>
      <c r="I1106"/>
      <c r="J1106"/>
      <c r="K1106"/>
      <c r="L1106"/>
      <c r="M1106"/>
      <c r="N1106"/>
      <c r="O1106"/>
    </row>
    <row r="1107" spans="1:15" x14ac:dyDescent="0.2">
      <c r="A1107"/>
      <c r="B1107"/>
      <c r="C1107"/>
      <c r="D1107"/>
      <c r="E1107"/>
      <c r="F1107"/>
      <c r="G1107"/>
      <c r="H1107"/>
      <c r="I1107"/>
      <c r="J1107"/>
      <c r="K1107"/>
      <c r="L1107"/>
      <c r="M1107"/>
      <c r="N1107"/>
      <c r="O1107"/>
    </row>
    <row r="1108" spans="1:15" x14ac:dyDescent="0.2">
      <c r="A1108"/>
      <c r="B1108"/>
      <c r="C1108"/>
      <c r="D1108"/>
      <c r="E1108"/>
      <c r="F1108"/>
      <c r="G1108"/>
      <c r="H1108"/>
      <c r="I1108"/>
      <c r="J1108"/>
      <c r="K1108"/>
      <c r="L1108"/>
      <c r="M1108"/>
      <c r="N1108"/>
      <c r="O1108"/>
    </row>
    <row r="1109" spans="1:15" x14ac:dyDescent="0.2">
      <c r="A1109"/>
      <c r="B1109"/>
      <c r="C1109"/>
      <c r="D1109"/>
      <c r="E1109"/>
      <c r="F1109"/>
      <c r="G1109"/>
      <c r="H1109"/>
      <c r="I1109"/>
      <c r="J1109"/>
      <c r="K1109"/>
      <c r="L1109"/>
      <c r="M1109"/>
      <c r="N1109"/>
      <c r="O1109"/>
    </row>
    <row r="1110" spans="1:15" x14ac:dyDescent="0.2">
      <c r="A1110"/>
      <c r="B1110"/>
      <c r="C1110"/>
      <c r="D1110"/>
      <c r="E1110"/>
      <c r="F1110"/>
      <c r="G1110"/>
      <c r="H1110"/>
      <c r="I1110"/>
      <c r="J1110"/>
      <c r="K1110"/>
      <c r="L1110"/>
      <c r="M1110"/>
      <c r="N1110"/>
      <c r="O1110"/>
    </row>
    <row r="1111" spans="1:15" x14ac:dyDescent="0.2">
      <c r="A1111"/>
      <c r="B1111"/>
      <c r="C1111"/>
      <c r="D1111"/>
      <c r="E1111"/>
      <c r="F1111"/>
      <c r="G1111"/>
      <c r="H1111"/>
      <c r="I1111"/>
      <c r="J1111"/>
      <c r="K1111"/>
      <c r="L1111"/>
      <c r="M1111"/>
      <c r="N1111"/>
      <c r="O1111"/>
    </row>
    <row r="1112" spans="1:15" x14ac:dyDescent="0.2">
      <c r="A1112"/>
      <c r="B1112"/>
      <c r="C1112"/>
      <c r="D1112"/>
      <c r="E1112"/>
      <c r="F1112"/>
      <c r="G1112"/>
      <c r="H1112"/>
      <c r="I1112"/>
      <c r="J1112"/>
      <c r="K1112"/>
      <c r="L1112"/>
      <c r="M1112"/>
      <c r="N1112"/>
      <c r="O1112"/>
    </row>
    <row r="1113" spans="1:15" x14ac:dyDescent="0.2">
      <c r="A1113"/>
      <c r="B1113"/>
      <c r="C1113"/>
      <c r="D1113"/>
      <c r="E1113"/>
      <c r="F1113"/>
      <c r="G1113"/>
      <c r="H1113"/>
      <c r="I1113"/>
      <c r="J1113"/>
      <c r="K1113"/>
      <c r="L1113"/>
      <c r="M1113"/>
      <c r="N1113"/>
      <c r="O1113"/>
    </row>
    <row r="1114" spans="1:15" x14ac:dyDescent="0.2">
      <c r="A1114"/>
      <c r="B1114"/>
      <c r="C1114"/>
      <c r="D1114"/>
      <c r="E1114"/>
      <c r="F1114"/>
      <c r="G1114"/>
      <c r="H1114"/>
      <c r="I1114"/>
      <c r="J1114"/>
      <c r="K1114"/>
      <c r="L1114"/>
      <c r="M1114"/>
      <c r="N1114"/>
      <c r="O1114"/>
    </row>
    <row r="1115" spans="1:15" x14ac:dyDescent="0.2">
      <c r="A1115"/>
      <c r="B1115"/>
      <c r="C1115"/>
      <c r="D1115"/>
      <c r="E1115"/>
      <c r="F1115"/>
      <c r="G1115"/>
      <c r="H1115"/>
      <c r="I1115"/>
      <c r="J1115"/>
      <c r="K1115"/>
      <c r="L1115"/>
      <c r="M1115"/>
      <c r="N1115"/>
      <c r="O1115"/>
    </row>
    <row r="1116" spans="1:15" x14ac:dyDescent="0.2">
      <c r="A1116"/>
      <c r="B1116"/>
      <c r="C1116"/>
      <c r="D1116"/>
      <c r="E1116"/>
      <c r="F1116"/>
      <c r="G1116"/>
      <c r="H1116"/>
      <c r="I1116"/>
      <c r="J1116"/>
      <c r="K1116"/>
      <c r="L1116"/>
      <c r="M1116"/>
      <c r="N1116"/>
      <c r="O1116"/>
    </row>
    <row r="1117" spans="1:15" x14ac:dyDescent="0.2">
      <c r="A1117"/>
      <c r="B1117"/>
      <c r="C1117"/>
      <c r="D1117"/>
      <c r="E1117"/>
      <c r="F1117"/>
      <c r="G1117"/>
      <c r="H1117"/>
      <c r="I1117"/>
      <c r="J1117"/>
      <c r="K1117"/>
      <c r="L1117"/>
      <c r="M1117"/>
      <c r="N1117"/>
      <c r="O1117"/>
    </row>
    <row r="1118" spans="1:15" x14ac:dyDescent="0.2">
      <c r="A1118"/>
      <c r="B1118"/>
      <c r="C1118"/>
      <c r="D1118"/>
      <c r="E1118"/>
      <c r="F1118"/>
      <c r="G1118"/>
      <c r="H1118"/>
      <c r="I1118"/>
      <c r="J1118"/>
      <c r="K1118"/>
      <c r="L1118"/>
      <c r="M1118"/>
      <c r="N1118"/>
      <c r="O1118"/>
    </row>
    <row r="1119" spans="1:15" x14ac:dyDescent="0.2">
      <c r="A1119"/>
      <c r="B1119"/>
      <c r="C1119"/>
      <c r="D1119"/>
      <c r="E1119"/>
      <c r="F1119"/>
      <c r="G1119"/>
      <c r="H1119"/>
      <c r="I1119"/>
      <c r="J1119"/>
      <c r="K1119"/>
      <c r="L1119"/>
      <c r="M1119"/>
      <c r="N1119"/>
      <c r="O1119"/>
    </row>
    <row r="1120" spans="1:15" x14ac:dyDescent="0.2">
      <c r="A1120"/>
      <c r="B1120"/>
      <c r="C1120"/>
      <c r="D1120"/>
      <c r="E1120"/>
      <c r="F1120"/>
      <c r="G1120"/>
      <c r="H1120"/>
      <c r="I1120"/>
      <c r="J1120"/>
      <c r="K1120"/>
      <c r="L1120"/>
      <c r="M1120"/>
      <c r="N1120"/>
      <c r="O1120"/>
    </row>
    <row r="1121" spans="1:15" x14ac:dyDescent="0.2">
      <c r="A1121"/>
      <c r="B1121"/>
      <c r="C1121"/>
      <c r="D1121"/>
      <c r="E1121"/>
      <c r="F1121"/>
      <c r="G1121"/>
      <c r="H1121"/>
      <c r="I1121"/>
      <c r="J1121"/>
      <c r="K1121"/>
      <c r="L1121"/>
      <c r="M1121"/>
      <c r="N1121"/>
      <c r="O1121"/>
    </row>
    <row r="1122" spans="1:15" x14ac:dyDescent="0.2">
      <c r="A1122"/>
      <c r="B1122"/>
      <c r="C1122"/>
      <c r="D1122"/>
      <c r="E1122"/>
      <c r="F1122"/>
      <c r="G1122"/>
      <c r="H1122"/>
      <c r="I1122"/>
      <c r="J1122"/>
      <c r="K1122"/>
      <c r="L1122"/>
      <c r="M1122"/>
      <c r="N1122"/>
      <c r="O1122"/>
    </row>
    <row r="1123" spans="1:15" x14ac:dyDescent="0.2">
      <c r="A1123"/>
      <c r="B1123"/>
      <c r="C1123"/>
      <c r="D1123"/>
      <c r="E1123"/>
      <c r="F1123"/>
      <c r="G1123"/>
      <c r="H1123"/>
      <c r="I1123"/>
      <c r="J1123"/>
      <c r="K1123"/>
      <c r="L1123"/>
      <c r="M1123"/>
      <c r="N1123"/>
      <c r="O1123"/>
    </row>
    <row r="1124" spans="1:15" x14ac:dyDescent="0.2">
      <c r="A1124"/>
      <c r="B1124"/>
      <c r="C1124"/>
      <c r="D1124"/>
      <c r="E1124"/>
      <c r="F1124"/>
      <c r="G1124"/>
      <c r="H1124"/>
      <c r="I1124"/>
      <c r="J1124"/>
      <c r="K1124"/>
      <c r="L1124"/>
      <c r="M1124"/>
      <c r="N1124"/>
      <c r="O1124"/>
    </row>
    <row r="1125" spans="1:15" x14ac:dyDescent="0.2">
      <c r="A1125"/>
      <c r="B1125"/>
      <c r="C1125"/>
      <c r="D1125"/>
      <c r="E1125"/>
      <c r="F1125"/>
      <c r="G1125"/>
      <c r="H1125"/>
      <c r="I1125"/>
      <c r="J1125"/>
      <c r="K1125"/>
      <c r="L1125"/>
      <c r="M1125"/>
      <c r="N1125"/>
      <c r="O1125"/>
    </row>
    <row r="1126" spans="1:15" x14ac:dyDescent="0.2">
      <c r="A1126"/>
      <c r="B1126"/>
      <c r="C1126"/>
      <c r="D1126"/>
      <c r="E1126"/>
      <c r="F1126"/>
      <c r="G1126"/>
      <c r="H1126"/>
      <c r="I1126"/>
      <c r="J1126"/>
      <c r="K1126"/>
      <c r="L1126"/>
      <c r="M1126"/>
      <c r="N1126"/>
      <c r="O1126"/>
    </row>
    <row r="1127" spans="1:15" x14ac:dyDescent="0.2">
      <c r="A1127"/>
      <c r="B1127"/>
      <c r="C1127"/>
      <c r="D1127"/>
      <c r="E1127"/>
      <c r="F1127"/>
      <c r="G1127"/>
      <c r="H1127"/>
      <c r="I1127"/>
      <c r="J1127"/>
      <c r="K1127"/>
      <c r="L1127"/>
      <c r="M1127"/>
      <c r="N1127"/>
      <c r="O1127"/>
    </row>
    <row r="1128" spans="1:15" x14ac:dyDescent="0.2">
      <c r="A1128"/>
      <c r="B1128"/>
      <c r="C1128"/>
      <c r="D1128"/>
      <c r="E1128"/>
      <c r="F1128"/>
      <c r="G1128"/>
      <c r="H1128"/>
      <c r="I1128"/>
      <c r="J1128"/>
      <c r="K1128"/>
      <c r="L1128"/>
      <c r="M1128"/>
      <c r="N1128"/>
      <c r="O1128"/>
    </row>
    <row r="1129" spans="1:15" x14ac:dyDescent="0.2">
      <c r="A1129"/>
      <c r="B1129"/>
      <c r="C1129"/>
      <c r="D1129"/>
      <c r="E1129"/>
      <c r="F1129"/>
      <c r="G1129"/>
      <c r="H1129"/>
      <c r="I1129"/>
      <c r="J1129"/>
      <c r="K1129"/>
      <c r="L1129"/>
      <c r="M1129"/>
      <c r="N1129"/>
      <c r="O1129"/>
    </row>
    <row r="1130" spans="1:15" x14ac:dyDescent="0.2">
      <c r="A1130"/>
      <c r="B1130"/>
      <c r="C1130"/>
      <c r="D1130"/>
      <c r="E1130"/>
      <c r="F1130"/>
      <c r="G1130"/>
      <c r="H1130"/>
      <c r="I1130"/>
      <c r="J1130"/>
      <c r="K1130"/>
      <c r="L1130"/>
      <c r="M1130"/>
      <c r="N1130"/>
      <c r="O1130"/>
    </row>
    <row r="1131" spans="1:15" x14ac:dyDescent="0.2">
      <c r="A1131"/>
      <c r="B1131"/>
      <c r="C1131"/>
      <c r="D1131"/>
      <c r="E1131"/>
      <c r="F1131"/>
      <c r="G1131"/>
      <c r="H1131"/>
      <c r="I1131"/>
      <c r="J1131"/>
      <c r="K1131"/>
      <c r="L1131"/>
      <c r="M1131"/>
      <c r="N1131"/>
      <c r="O1131"/>
    </row>
    <row r="1132" spans="1:15" x14ac:dyDescent="0.2">
      <c r="A1132"/>
      <c r="B1132"/>
      <c r="C1132"/>
      <c r="D1132"/>
      <c r="E1132"/>
      <c r="F1132"/>
      <c r="G1132"/>
      <c r="H1132"/>
      <c r="I1132"/>
      <c r="J1132"/>
      <c r="K1132"/>
      <c r="L1132"/>
      <c r="M1132"/>
      <c r="N1132"/>
      <c r="O1132"/>
    </row>
    <row r="1133" spans="1:15" x14ac:dyDescent="0.2">
      <c r="A1133"/>
      <c r="B1133"/>
      <c r="C1133"/>
      <c r="D1133"/>
      <c r="E1133"/>
      <c r="F1133"/>
      <c r="G1133"/>
      <c r="H1133"/>
      <c r="I1133"/>
      <c r="J1133"/>
      <c r="K1133"/>
      <c r="L1133"/>
      <c r="M1133"/>
      <c r="N1133"/>
      <c r="O1133"/>
    </row>
    <row r="1134" spans="1:15" x14ac:dyDescent="0.2">
      <c r="A1134"/>
      <c r="B1134"/>
      <c r="C1134"/>
      <c r="D1134"/>
      <c r="E1134"/>
      <c r="F1134"/>
      <c r="G1134"/>
      <c r="H1134"/>
      <c r="I1134"/>
      <c r="J1134"/>
      <c r="K1134"/>
      <c r="L1134"/>
      <c r="M1134"/>
      <c r="N1134"/>
      <c r="O1134"/>
    </row>
    <row r="1135" spans="1:15" x14ac:dyDescent="0.2">
      <c r="A1135"/>
      <c r="B1135"/>
      <c r="C1135"/>
      <c r="D1135"/>
      <c r="E1135"/>
      <c r="F1135"/>
      <c r="G1135"/>
      <c r="H1135"/>
      <c r="I1135"/>
      <c r="J1135"/>
      <c r="K1135"/>
      <c r="L1135"/>
      <c r="M1135"/>
      <c r="N1135"/>
      <c r="O1135"/>
    </row>
    <row r="1136" spans="1:15" x14ac:dyDescent="0.2">
      <c r="A1136"/>
      <c r="B1136"/>
      <c r="C1136"/>
      <c r="D1136"/>
      <c r="E1136"/>
      <c r="F1136"/>
      <c r="G1136"/>
      <c r="H1136"/>
      <c r="I1136"/>
      <c r="J1136"/>
      <c r="K1136"/>
      <c r="L1136"/>
      <c r="M1136"/>
      <c r="N1136"/>
      <c r="O1136"/>
    </row>
    <row r="1137" spans="1:15" x14ac:dyDescent="0.2">
      <c r="A1137"/>
      <c r="B1137"/>
      <c r="C1137"/>
      <c r="D1137"/>
      <c r="E1137"/>
      <c r="F1137"/>
      <c r="G1137"/>
      <c r="H1137"/>
      <c r="I1137"/>
      <c r="J1137"/>
      <c r="K1137"/>
      <c r="L1137"/>
      <c r="M1137"/>
      <c r="N1137"/>
      <c r="O1137"/>
    </row>
    <row r="1138" spans="1:15" x14ac:dyDescent="0.2">
      <c r="A1138"/>
      <c r="B1138"/>
      <c r="C1138"/>
      <c r="D1138"/>
      <c r="E1138"/>
      <c r="F1138"/>
      <c r="G1138"/>
      <c r="H1138"/>
      <c r="I1138"/>
      <c r="J1138"/>
      <c r="K1138"/>
      <c r="L1138"/>
      <c r="M1138"/>
      <c r="N1138"/>
      <c r="O1138"/>
    </row>
    <row r="1139" spans="1:15" x14ac:dyDescent="0.2">
      <c r="A1139"/>
      <c r="B1139"/>
      <c r="C1139"/>
      <c r="D1139"/>
      <c r="E1139"/>
      <c r="F1139"/>
      <c r="G1139"/>
      <c r="H1139"/>
      <c r="I1139"/>
      <c r="J1139"/>
      <c r="K1139"/>
      <c r="L1139"/>
      <c r="M1139"/>
      <c r="N1139"/>
      <c r="O1139"/>
    </row>
    <row r="1140" spans="1:15" x14ac:dyDescent="0.2">
      <c r="A1140"/>
      <c r="B1140"/>
      <c r="C1140"/>
      <c r="D1140"/>
      <c r="E1140"/>
      <c r="F1140"/>
      <c r="G1140"/>
      <c r="H1140"/>
      <c r="I1140"/>
      <c r="J1140"/>
      <c r="K1140"/>
      <c r="L1140"/>
      <c r="M1140"/>
      <c r="N1140"/>
      <c r="O1140"/>
    </row>
    <row r="1141" spans="1:15" x14ac:dyDescent="0.2">
      <c r="A1141"/>
      <c r="B1141"/>
      <c r="C1141"/>
      <c r="D1141"/>
      <c r="E1141"/>
      <c r="F1141"/>
      <c r="G1141"/>
      <c r="H1141"/>
      <c r="I1141"/>
      <c r="J1141"/>
      <c r="K1141"/>
      <c r="L1141"/>
      <c r="M1141"/>
      <c r="N1141"/>
      <c r="O1141"/>
    </row>
    <row r="1142" spans="1:15" x14ac:dyDescent="0.2">
      <c r="A1142"/>
      <c r="B1142"/>
      <c r="C1142"/>
      <c r="D1142"/>
      <c r="E1142"/>
      <c r="F1142"/>
      <c r="G1142"/>
      <c r="H1142"/>
      <c r="I1142"/>
      <c r="J1142"/>
      <c r="K1142"/>
      <c r="L1142"/>
      <c r="M1142"/>
      <c r="N1142"/>
      <c r="O1142"/>
    </row>
    <row r="1143" spans="1:15" x14ac:dyDescent="0.2">
      <c r="A1143"/>
      <c r="B1143"/>
      <c r="C1143"/>
      <c r="D1143"/>
      <c r="E1143"/>
      <c r="F1143"/>
      <c r="G1143"/>
      <c r="H1143"/>
      <c r="I1143"/>
      <c r="J1143"/>
      <c r="K1143"/>
      <c r="L1143"/>
      <c r="M1143"/>
      <c r="N1143"/>
      <c r="O1143"/>
    </row>
    <row r="1144" spans="1:15" x14ac:dyDescent="0.2">
      <c r="A1144"/>
      <c r="B1144"/>
      <c r="C1144"/>
      <c r="D1144"/>
      <c r="E1144"/>
      <c r="F1144"/>
      <c r="G1144"/>
      <c r="H1144"/>
      <c r="I1144"/>
      <c r="J1144"/>
      <c r="K1144"/>
      <c r="L1144"/>
      <c r="M1144"/>
      <c r="N1144"/>
      <c r="O1144"/>
    </row>
    <row r="1145" spans="1:15" x14ac:dyDescent="0.2">
      <c r="A1145"/>
      <c r="B1145"/>
      <c r="C1145"/>
      <c r="D1145"/>
      <c r="E1145"/>
      <c r="F1145"/>
      <c r="G1145"/>
      <c r="H1145"/>
      <c r="I1145"/>
      <c r="J1145"/>
      <c r="K1145"/>
      <c r="L1145"/>
      <c r="M1145"/>
      <c r="N1145"/>
      <c r="O1145"/>
    </row>
    <row r="1146" spans="1:15" x14ac:dyDescent="0.2">
      <c r="A1146"/>
      <c r="B1146"/>
      <c r="C1146"/>
      <c r="D1146"/>
      <c r="E1146"/>
      <c r="F1146"/>
      <c r="G1146"/>
      <c r="H1146"/>
      <c r="I1146"/>
      <c r="J1146"/>
      <c r="K1146"/>
      <c r="L1146"/>
      <c r="M1146"/>
      <c r="N1146"/>
      <c r="O1146"/>
    </row>
    <row r="1147" spans="1:15" x14ac:dyDescent="0.2">
      <c r="A1147"/>
      <c r="B1147"/>
      <c r="C1147"/>
      <c r="D1147"/>
      <c r="E1147"/>
      <c r="F1147"/>
      <c r="G1147"/>
      <c r="H1147"/>
      <c r="I1147"/>
      <c r="J1147"/>
      <c r="K1147"/>
      <c r="L1147"/>
      <c r="M1147"/>
      <c r="N1147"/>
      <c r="O1147"/>
    </row>
    <row r="1148" spans="1:15" x14ac:dyDescent="0.2">
      <c r="A1148"/>
      <c r="B1148"/>
      <c r="C1148"/>
      <c r="D1148"/>
      <c r="E1148"/>
      <c r="F1148"/>
      <c r="G1148"/>
      <c r="H1148"/>
      <c r="I1148"/>
      <c r="J1148"/>
      <c r="K1148"/>
      <c r="L1148"/>
      <c r="M1148"/>
      <c r="N1148"/>
      <c r="O1148"/>
    </row>
    <row r="1149" spans="1:15" x14ac:dyDescent="0.2">
      <c r="A1149"/>
      <c r="B1149"/>
      <c r="C1149"/>
      <c r="D1149"/>
      <c r="E1149"/>
      <c r="F1149"/>
      <c r="G1149"/>
      <c r="H1149"/>
      <c r="I1149"/>
      <c r="J1149"/>
      <c r="K1149"/>
      <c r="L1149"/>
      <c r="M1149"/>
      <c r="N1149"/>
      <c r="O1149"/>
    </row>
    <row r="1150" spans="1:15" x14ac:dyDescent="0.2">
      <c r="A1150"/>
      <c r="B1150"/>
      <c r="C1150"/>
      <c r="D1150"/>
      <c r="E1150"/>
      <c r="F1150"/>
      <c r="G1150"/>
      <c r="H1150"/>
      <c r="I1150"/>
      <c r="J1150"/>
      <c r="K1150"/>
      <c r="L1150"/>
      <c r="M1150"/>
      <c r="N1150"/>
      <c r="O1150"/>
    </row>
    <row r="1151" spans="1:15" x14ac:dyDescent="0.2">
      <c r="A1151"/>
      <c r="B1151"/>
      <c r="C1151"/>
      <c r="D1151"/>
      <c r="E1151"/>
      <c r="F1151"/>
      <c r="G1151"/>
      <c r="H1151"/>
      <c r="I1151"/>
      <c r="J1151"/>
      <c r="K1151"/>
      <c r="L1151"/>
      <c r="M1151"/>
      <c r="N1151"/>
      <c r="O1151"/>
    </row>
    <row r="1152" spans="1:15" x14ac:dyDescent="0.2">
      <c r="A1152"/>
      <c r="B1152"/>
      <c r="C1152"/>
      <c r="D1152"/>
      <c r="E1152"/>
      <c r="F1152"/>
      <c r="G1152"/>
      <c r="H1152"/>
      <c r="I1152"/>
      <c r="J1152"/>
      <c r="K1152"/>
      <c r="L1152"/>
      <c r="M1152"/>
      <c r="N1152"/>
      <c r="O1152"/>
    </row>
    <row r="1153" spans="1:15" x14ac:dyDescent="0.2">
      <c r="A1153"/>
      <c r="B1153"/>
      <c r="C1153"/>
      <c r="D1153"/>
      <c r="E1153"/>
      <c r="F1153"/>
      <c r="G1153"/>
      <c r="H1153"/>
      <c r="I1153"/>
      <c r="J1153"/>
      <c r="K1153"/>
      <c r="L1153"/>
      <c r="M1153"/>
      <c r="N1153"/>
      <c r="O1153"/>
    </row>
    <row r="1154" spans="1:15" x14ac:dyDescent="0.2">
      <c r="A1154"/>
      <c r="B1154"/>
      <c r="C1154"/>
      <c r="D1154"/>
      <c r="E1154"/>
      <c r="F1154"/>
      <c r="G1154"/>
      <c r="H1154"/>
      <c r="I1154"/>
      <c r="J1154"/>
      <c r="K1154"/>
      <c r="L1154"/>
      <c r="M1154"/>
      <c r="N1154"/>
      <c r="O1154"/>
    </row>
    <row r="1155" spans="1:15" x14ac:dyDescent="0.2">
      <c r="A1155"/>
      <c r="B1155"/>
      <c r="C1155"/>
      <c r="D1155"/>
      <c r="E1155"/>
      <c r="F1155"/>
      <c r="G1155"/>
      <c r="H1155"/>
      <c r="I1155"/>
      <c r="J1155"/>
      <c r="K1155"/>
      <c r="L1155"/>
      <c r="M1155"/>
      <c r="N1155"/>
      <c r="O1155"/>
    </row>
    <row r="1156" spans="1:15" x14ac:dyDescent="0.2">
      <c r="A1156"/>
      <c r="B1156"/>
      <c r="C1156"/>
      <c r="D1156"/>
      <c r="E1156"/>
      <c r="F1156"/>
      <c r="G1156"/>
      <c r="H1156"/>
      <c r="I1156"/>
      <c r="J1156"/>
      <c r="K1156"/>
      <c r="L1156"/>
      <c r="M1156"/>
      <c r="N1156"/>
      <c r="O1156"/>
    </row>
    <row r="1157" spans="1:15" x14ac:dyDescent="0.2">
      <c r="A1157"/>
      <c r="B1157"/>
      <c r="C1157"/>
      <c r="D1157"/>
      <c r="E1157"/>
      <c r="F1157"/>
      <c r="G1157"/>
      <c r="H1157"/>
      <c r="I1157"/>
      <c r="J1157"/>
      <c r="K1157"/>
      <c r="L1157"/>
      <c r="M1157"/>
      <c r="N1157"/>
      <c r="O1157"/>
    </row>
    <row r="1158" spans="1:15" x14ac:dyDescent="0.2">
      <c r="A1158"/>
      <c r="B1158"/>
      <c r="C1158"/>
      <c r="D1158"/>
      <c r="E1158"/>
      <c r="F1158"/>
      <c r="G1158"/>
      <c r="H1158"/>
      <c r="I1158"/>
      <c r="J1158"/>
      <c r="K1158"/>
      <c r="L1158"/>
      <c r="M1158"/>
      <c r="N1158"/>
      <c r="O1158"/>
    </row>
    <row r="1159" spans="1:15" x14ac:dyDescent="0.2">
      <c r="A1159"/>
      <c r="B1159"/>
      <c r="C1159"/>
      <c r="D1159"/>
      <c r="E1159"/>
      <c r="F1159"/>
      <c r="G1159"/>
      <c r="H1159"/>
      <c r="I1159"/>
      <c r="J1159"/>
      <c r="K1159"/>
      <c r="L1159"/>
      <c r="M1159"/>
      <c r="N1159"/>
      <c r="O1159"/>
    </row>
    <row r="1160" spans="1:15" x14ac:dyDescent="0.2">
      <c r="A1160"/>
      <c r="B1160"/>
      <c r="C1160"/>
      <c r="D1160"/>
      <c r="E1160"/>
      <c r="F1160"/>
      <c r="G1160"/>
      <c r="H1160"/>
      <c r="I1160"/>
      <c r="J1160"/>
      <c r="K1160"/>
      <c r="L1160"/>
      <c r="M1160"/>
      <c r="N1160"/>
      <c r="O1160"/>
    </row>
    <row r="1161" spans="1:15" x14ac:dyDescent="0.2">
      <c r="A1161"/>
      <c r="B1161"/>
      <c r="C1161"/>
      <c r="D1161"/>
      <c r="E1161"/>
      <c r="F1161"/>
      <c r="G1161"/>
      <c r="H1161"/>
      <c r="I1161"/>
      <c r="J1161"/>
      <c r="K1161"/>
      <c r="L1161"/>
      <c r="M1161"/>
      <c r="N1161"/>
      <c r="O1161"/>
    </row>
    <row r="1162" spans="1:15" x14ac:dyDescent="0.2">
      <c r="A1162"/>
      <c r="B1162"/>
      <c r="C1162"/>
      <c r="D1162"/>
      <c r="E1162"/>
      <c r="F1162"/>
      <c r="G1162"/>
      <c r="H1162"/>
      <c r="I1162"/>
      <c r="J1162"/>
      <c r="K1162"/>
      <c r="L1162"/>
      <c r="M1162"/>
      <c r="N1162"/>
      <c r="O1162"/>
    </row>
    <row r="1163" spans="1:15" x14ac:dyDescent="0.2">
      <c r="A1163"/>
      <c r="B1163"/>
      <c r="C1163"/>
      <c r="D1163"/>
      <c r="E1163"/>
      <c r="F1163"/>
      <c r="G1163"/>
      <c r="H1163"/>
      <c r="I1163"/>
      <c r="J1163"/>
      <c r="K1163"/>
      <c r="L1163"/>
      <c r="M1163"/>
      <c r="N1163"/>
      <c r="O1163"/>
    </row>
    <row r="1164" spans="1:15" x14ac:dyDescent="0.2">
      <c r="A1164"/>
      <c r="B1164"/>
      <c r="C1164"/>
      <c r="D1164"/>
      <c r="E1164"/>
      <c r="F1164"/>
      <c r="G1164"/>
      <c r="H1164"/>
      <c r="I1164"/>
      <c r="J1164"/>
      <c r="K1164"/>
      <c r="L1164"/>
      <c r="M1164"/>
      <c r="N1164"/>
      <c r="O1164"/>
    </row>
    <row r="1165" spans="1:15" x14ac:dyDescent="0.2">
      <c r="A1165"/>
      <c r="B1165"/>
      <c r="C1165"/>
      <c r="D1165"/>
      <c r="E1165"/>
      <c r="F1165"/>
      <c r="G1165"/>
      <c r="H1165"/>
      <c r="I1165"/>
      <c r="J1165"/>
      <c r="K1165"/>
      <c r="L1165"/>
      <c r="M1165"/>
      <c r="N1165"/>
      <c r="O1165"/>
    </row>
    <row r="1166" spans="1:15" x14ac:dyDescent="0.2">
      <c r="A1166"/>
      <c r="B1166"/>
      <c r="C1166"/>
      <c r="D1166"/>
      <c r="E1166"/>
      <c r="F1166"/>
      <c r="G1166"/>
      <c r="H1166"/>
      <c r="I1166"/>
      <c r="J1166"/>
      <c r="K1166"/>
      <c r="L1166"/>
      <c r="M1166"/>
      <c r="N1166"/>
      <c r="O1166"/>
    </row>
    <row r="1167" spans="1:15" x14ac:dyDescent="0.2">
      <c r="A1167"/>
      <c r="B1167"/>
      <c r="C1167"/>
      <c r="D1167"/>
      <c r="E1167"/>
      <c r="F1167"/>
      <c r="G1167"/>
      <c r="H1167"/>
      <c r="I1167"/>
      <c r="J1167"/>
      <c r="K1167"/>
      <c r="L1167"/>
      <c r="M1167"/>
      <c r="N1167"/>
      <c r="O1167"/>
    </row>
    <row r="1168" spans="1:15" x14ac:dyDescent="0.2">
      <c r="A1168"/>
      <c r="B1168"/>
      <c r="C1168"/>
      <c r="D1168"/>
      <c r="E1168"/>
      <c r="F1168"/>
      <c r="G1168"/>
      <c r="H1168"/>
      <c r="I1168"/>
      <c r="J1168"/>
      <c r="K1168"/>
      <c r="L1168"/>
      <c r="M1168"/>
      <c r="N1168"/>
      <c r="O1168"/>
    </row>
    <row r="1169" spans="1:15" x14ac:dyDescent="0.2">
      <c r="A1169"/>
      <c r="B1169"/>
      <c r="C1169"/>
      <c r="D1169"/>
      <c r="E1169"/>
      <c r="F1169"/>
      <c r="G1169"/>
      <c r="H1169"/>
      <c r="I1169"/>
      <c r="J1169"/>
      <c r="K1169"/>
      <c r="L1169"/>
      <c r="M1169"/>
      <c r="N1169"/>
      <c r="O1169"/>
    </row>
    <row r="1170" spans="1:15" x14ac:dyDescent="0.2">
      <c r="A1170"/>
      <c r="B1170"/>
      <c r="C1170"/>
      <c r="D1170"/>
      <c r="E1170"/>
      <c r="F1170"/>
      <c r="G1170"/>
      <c r="H1170"/>
      <c r="I1170"/>
      <c r="J1170"/>
      <c r="K1170"/>
      <c r="L1170"/>
      <c r="M1170"/>
      <c r="N1170"/>
      <c r="O1170"/>
    </row>
    <row r="1171" spans="1:15" x14ac:dyDescent="0.2">
      <c r="A1171"/>
      <c r="B1171"/>
      <c r="C1171"/>
      <c r="D1171"/>
      <c r="E1171"/>
      <c r="F1171"/>
      <c r="G1171"/>
      <c r="H1171"/>
      <c r="I1171"/>
      <c r="J1171"/>
      <c r="K1171"/>
      <c r="L1171"/>
      <c r="M1171"/>
      <c r="N1171"/>
      <c r="O1171"/>
    </row>
    <row r="1172" spans="1:15" x14ac:dyDescent="0.2">
      <c r="A1172"/>
      <c r="B1172"/>
      <c r="C1172"/>
      <c r="D1172"/>
      <c r="E1172"/>
      <c r="F1172"/>
      <c r="G1172"/>
      <c r="H1172"/>
      <c r="I1172"/>
      <c r="J1172"/>
      <c r="K1172"/>
      <c r="L1172"/>
      <c r="M1172"/>
      <c r="N1172"/>
      <c r="O1172"/>
    </row>
    <row r="1173" spans="1:15" x14ac:dyDescent="0.2">
      <c r="A1173"/>
      <c r="B1173"/>
      <c r="C1173"/>
      <c r="D1173"/>
      <c r="E1173"/>
      <c r="F1173"/>
      <c r="G1173"/>
      <c r="H1173"/>
      <c r="I1173"/>
      <c r="J1173"/>
      <c r="K1173"/>
      <c r="L1173"/>
      <c r="M1173"/>
      <c r="N1173"/>
      <c r="O1173"/>
    </row>
    <row r="1174" spans="1:15" x14ac:dyDescent="0.2">
      <c r="A1174"/>
      <c r="B1174"/>
      <c r="C1174"/>
      <c r="D1174"/>
      <c r="E1174"/>
      <c r="F1174"/>
      <c r="G1174"/>
      <c r="H1174"/>
      <c r="I1174"/>
      <c r="J1174"/>
      <c r="K1174"/>
      <c r="L1174"/>
      <c r="M1174"/>
      <c r="N1174"/>
      <c r="O1174"/>
    </row>
    <row r="1175" spans="1:15" x14ac:dyDescent="0.2">
      <c r="A1175"/>
      <c r="B1175"/>
      <c r="C1175"/>
      <c r="D1175"/>
      <c r="E1175"/>
      <c r="F1175"/>
      <c r="G1175"/>
      <c r="H1175"/>
      <c r="I1175"/>
      <c r="J1175"/>
      <c r="K1175"/>
      <c r="L1175"/>
      <c r="M1175"/>
      <c r="N1175"/>
      <c r="O1175"/>
    </row>
    <row r="1176" spans="1:15" x14ac:dyDescent="0.2">
      <c r="A1176"/>
      <c r="B1176"/>
      <c r="C1176"/>
      <c r="D1176"/>
      <c r="E1176"/>
      <c r="F1176"/>
      <c r="G1176"/>
      <c r="H1176"/>
      <c r="I1176"/>
      <c r="J1176"/>
      <c r="K1176"/>
      <c r="L1176"/>
      <c r="M1176"/>
      <c r="N1176"/>
      <c r="O1176"/>
    </row>
    <row r="1177" spans="1:15" x14ac:dyDescent="0.2">
      <c r="A1177"/>
      <c r="B1177"/>
      <c r="C1177"/>
      <c r="D1177"/>
      <c r="E1177"/>
      <c r="F1177"/>
      <c r="G1177"/>
      <c r="H1177"/>
      <c r="I1177"/>
      <c r="J1177"/>
      <c r="K1177"/>
      <c r="L1177"/>
      <c r="M1177"/>
      <c r="N1177"/>
      <c r="O1177"/>
    </row>
    <row r="1178" spans="1:15" x14ac:dyDescent="0.2">
      <c r="A1178"/>
      <c r="B1178"/>
      <c r="C1178"/>
      <c r="D1178"/>
      <c r="E1178"/>
      <c r="F1178"/>
      <c r="G1178"/>
      <c r="H1178"/>
      <c r="I1178"/>
      <c r="J1178"/>
      <c r="K1178"/>
      <c r="L1178"/>
      <c r="M1178"/>
      <c r="N1178"/>
      <c r="O1178"/>
    </row>
    <row r="1179" spans="1:15" x14ac:dyDescent="0.2">
      <c r="A1179"/>
      <c r="B1179"/>
      <c r="C1179"/>
      <c r="D1179"/>
      <c r="E1179"/>
      <c r="F1179"/>
      <c r="G1179"/>
      <c r="H1179"/>
      <c r="I1179"/>
      <c r="J1179"/>
      <c r="K1179"/>
      <c r="L1179"/>
      <c r="M1179"/>
      <c r="N1179"/>
      <c r="O1179"/>
    </row>
    <row r="1180" spans="1:15" x14ac:dyDescent="0.2">
      <c r="A1180"/>
      <c r="B1180"/>
      <c r="C1180"/>
      <c r="D1180"/>
      <c r="E1180"/>
      <c r="F1180"/>
      <c r="G1180"/>
      <c r="H1180"/>
      <c r="I1180"/>
      <c r="J1180"/>
      <c r="K1180"/>
      <c r="L1180"/>
      <c r="M1180"/>
      <c r="N1180"/>
      <c r="O1180"/>
    </row>
    <row r="1181" spans="1:15" x14ac:dyDescent="0.2">
      <c r="A1181"/>
      <c r="B1181"/>
      <c r="C1181"/>
      <c r="D1181"/>
      <c r="E1181"/>
      <c r="F1181"/>
      <c r="G1181"/>
      <c r="H1181"/>
      <c r="I1181"/>
      <c r="J1181"/>
      <c r="K1181"/>
      <c r="L1181"/>
      <c r="M1181"/>
      <c r="N1181"/>
      <c r="O1181"/>
    </row>
    <row r="1182" spans="1:15" x14ac:dyDescent="0.2">
      <c r="A1182"/>
      <c r="B1182"/>
      <c r="C1182"/>
      <c r="D1182"/>
      <c r="E1182"/>
      <c r="F1182"/>
      <c r="G1182"/>
      <c r="H1182"/>
      <c r="I1182"/>
      <c r="J1182"/>
      <c r="K1182"/>
      <c r="L1182"/>
      <c r="M1182"/>
      <c r="N1182"/>
      <c r="O1182"/>
    </row>
    <row r="1183" spans="1:15" x14ac:dyDescent="0.2">
      <c r="A1183"/>
      <c r="B1183"/>
      <c r="C1183"/>
      <c r="D1183"/>
      <c r="E1183"/>
      <c r="F1183"/>
      <c r="G1183"/>
      <c r="H1183"/>
      <c r="I1183"/>
      <c r="J1183"/>
      <c r="K1183"/>
      <c r="L1183"/>
      <c r="M1183"/>
      <c r="N1183"/>
      <c r="O1183"/>
    </row>
    <row r="1184" spans="1:15" x14ac:dyDescent="0.2">
      <c r="A1184"/>
      <c r="B1184"/>
      <c r="C1184"/>
      <c r="D1184"/>
      <c r="E1184"/>
      <c r="F1184"/>
      <c r="G1184"/>
      <c r="H1184"/>
      <c r="I1184"/>
      <c r="J1184"/>
      <c r="K1184"/>
      <c r="L1184"/>
      <c r="M1184"/>
      <c r="N1184"/>
      <c r="O1184"/>
    </row>
    <row r="1185" spans="1:15" x14ac:dyDescent="0.2">
      <c r="A1185"/>
      <c r="B1185"/>
      <c r="C1185"/>
      <c r="D1185"/>
      <c r="E1185"/>
      <c r="F1185"/>
      <c r="G1185"/>
      <c r="H1185"/>
      <c r="I1185"/>
      <c r="J1185"/>
      <c r="K1185"/>
      <c r="L1185"/>
      <c r="M1185"/>
      <c r="N1185"/>
      <c r="O1185"/>
    </row>
    <row r="1186" spans="1:15" x14ac:dyDescent="0.2">
      <c r="A1186"/>
      <c r="B1186"/>
      <c r="C1186"/>
      <c r="D1186"/>
      <c r="E1186"/>
      <c r="F1186"/>
      <c r="G1186"/>
      <c r="H1186"/>
      <c r="I1186"/>
      <c r="J1186"/>
      <c r="K1186"/>
      <c r="L1186"/>
      <c r="M1186"/>
      <c r="N1186"/>
      <c r="O1186"/>
    </row>
    <row r="1187" spans="1:15" x14ac:dyDescent="0.2">
      <c r="A1187"/>
      <c r="B1187"/>
      <c r="C1187"/>
      <c r="D1187"/>
      <c r="E1187"/>
      <c r="F1187"/>
      <c r="G1187"/>
      <c r="H1187"/>
      <c r="I1187"/>
      <c r="J1187"/>
      <c r="K1187"/>
      <c r="L1187"/>
      <c r="M1187"/>
      <c r="N1187"/>
      <c r="O1187"/>
    </row>
    <row r="1188" spans="1:15" x14ac:dyDescent="0.2">
      <c r="A1188"/>
      <c r="B1188"/>
      <c r="C1188"/>
      <c r="D1188"/>
      <c r="E1188"/>
      <c r="F1188"/>
      <c r="G1188"/>
      <c r="H1188"/>
      <c r="I1188"/>
      <c r="J1188"/>
      <c r="K1188"/>
      <c r="L1188"/>
      <c r="M1188"/>
      <c r="N1188"/>
      <c r="O1188"/>
    </row>
    <row r="1189" spans="1:15" x14ac:dyDescent="0.2">
      <c r="A1189"/>
      <c r="B1189"/>
      <c r="C1189"/>
      <c r="D1189"/>
      <c r="E1189"/>
      <c r="F1189"/>
      <c r="G1189"/>
      <c r="H1189"/>
      <c r="I1189"/>
      <c r="J1189"/>
      <c r="K1189"/>
      <c r="L1189"/>
      <c r="M1189"/>
      <c r="N1189"/>
      <c r="O1189"/>
    </row>
    <row r="1190" spans="1:15" x14ac:dyDescent="0.2">
      <c r="A1190"/>
      <c r="B1190"/>
      <c r="C1190"/>
      <c r="D1190"/>
      <c r="E1190"/>
      <c r="F1190"/>
      <c r="G1190"/>
      <c r="H1190"/>
      <c r="I1190"/>
      <c r="J1190"/>
      <c r="K1190"/>
      <c r="L1190"/>
      <c r="M1190"/>
      <c r="N1190"/>
      <c r="O1190"/>
    </row>
    <row r="1191" spans="1:15" x14ac:dyDescent="0.2">
      <c r="A1191"/>
      <c r="B1191"/>
      <c r="C1191"/>
      <c r="D1191"/>
      <c r="E1191"/>
      <c r="F1191"/>
      <c r="G1191"/>
      <c r="H1191"/>
      <c r="I1191"/>
      <c r="J1191"/>
      <c r="K1191"/>
      <c r="L1191"/>
      <c r="M1191"/>
      <c r="N1191"/>
      <c r="O1191"/>
    </row>
    <row r="1192" spans="1:15" x14ac:dyDescent="0.2">
      <c r="A1192"/>
      <c r="B1192"/>
      <c r="C1192"/>
      <c r="D1192"/>
      <c r="E1192"/>
      <c r="F1192"/>
      <c r="G1192"/>
      <c r="H1192"/>
      <c r="I1192"/>
      <c r="J1192"/>
      <c r="K1192"/>
      <c r="L1192"/>
      <c r="M1192"/>
      <c r="N1192"/>
      <c r="O1192"/>
    </row>
    <row r="1193" spans="1:15" x14ac:dyDescent="0.2">
      <c r="A1193"/>
      <c r="B1193"/>
      <c r="C1193"/>
      <c r="D1193"/>
      <c r="E1193"/>
      <c r="F1193"/>
      <c r="G1193"/>
      <c r="H1193"/>
      <c r="I1193"/>
      <c r="J1193"/>
      <c r="K1193"/>
      <c r="L1193"/>
      <c r="M1193"/>
      <c r="N1193"/>
      <c r="O1193"/>
    </row>
    <row r="1194" spans="1:15" x14ac:dyDescent="0.2">
      <c r="A1194"/>
      <c r="B1194"/>
      <c r="C1194"/>
      <c r="D1194"/>
      <c r="E1194"/>
      <c r="F1194"/>
      <c r="G1194"/>
      <c r="H1194"/>
      <c r="I1194"/>
      <c r="J1194"/>
      <c r="K1194"/>
      <c r="L1194"/>
      <c r="M1194"/>
      <c r="N1194"/>
      <c r="O1194"/>
    </row>
    <row r="1195" spans="1:15" x14ac:dyDescent="0.2">
      <c r="A1195"/>
      <c r="B1195"/>
      <c r="C1195"/>
      <c r="D1195"/>
      <c r="E1195"/>
      <c r="F1195"/>
      <c r="G1195"/>
      <c r="H1195"/>
      <c r="I1195"/>
      <c r="J1195"/>
      <c r="K1195"/>
      <c r="L1195"/>
      <c r="M1195"/>
      <c r="N1195"/>
      <c r="O1195"/>
    </row>
    <row r="1196" spans="1:15" x14ac:dyDescent="0.2">
      <c r="A1196"/>
      <c r="B1196"/>
      <c r="C1196"/>
      <c r="D1196"/>
      <c r="E1196"/>
      <c r="F1196"/>
      <c r="G1196"/>
      <c r="H1196"/>
      <c r="I1196"/>
      <c r="J1196"/>
      <c r="K1196"/>
      <c r="L1196"/>
      <c r="M1196"/>
      <c r="N1196"/>
      <c r="O1196"/>
    </row>
    <row r="1197" spans="1:15" x14ac:dyDescent="0.2">
      <c r="A1197"/>
      <c r="B1197"/>
      <c r="C1197"/>
      <c r="D1197"/>
      <c r="E1197"/>
      <c r="F1197"/>
      <c r="G1197"/>
      <c r="H1197"/>
      <c r="I1197"/>
      <c r="J1197"/>
      <c r="K1197"/>
      <c r="L1197"/>
      <c r="M1197"/>
      <c r="N1197"/>
      <c r="O1197"/>
    </row>
    <row r="1198" spans="1:15" x14ac:dyDescent="0.2">
      <c r="A1198"/>
      <c r="B1198"/>
      <c r="C1198"/>
      <c r="D1198"/>
      <c r="E1198"/>
      <c r="F1198"/>
      <c r="G1198"/>
      <c r="H1198"/>
      <c r="I1198"/>
      <c r="J1198"/>
      <c r="K1198"/>
      <c r="L1198"/>
      <c r="M1198"/>
      <c r="N1198"/>
      <c r="O1198"/>
    </row>
    <row r="1199" spans="1:15" x14ac:dyDescent="0.2">
      <c r="A1199"/>
      <c r="B1199"/>
      <c r="C1199"/>
      <c r="D1199"/>
      <c r="E1199"/>
      <c r="F1199"/>
      <c r="G1199"/>
      <c r="H1199"/>
      <c r="I1199"/>
      <c r="J1199"/>
      <c r="K1199"/>
      <c r="L1199"/>
      <c r="M1199"/>
      <c r="N1199"/>
      <c r="O1199"/>
    </row>
    <row r="1200" spans="1:15" x14ac:dyDescent="0.2">
      <c r="A1200"/>
      <c r="B1200"/>
      <c r="C1200"/>
      <c r="D1200"/>
      <c r="E1200"/>
      <c r="F1200"/>
      <c r="G1200"/>
      <c r="H1200"/>
      <c r="I1200"/>
      <c r="J1200"/>
      <c r="K1200"/>
      <c r="L1200"/>
      <c r="M1200"/>
      <c r="N1200"/>
      <c r="O1200"/>
    </row>
    <row r="1201" spans="1:15" x14ac:dyDescent="0.2">
      <c r="A1201"/>
      <c r="B1201"/>
      <c r="C1201"/>
      <c r="D1201"/>
      <c r="E1201"/>
      <c r="F1201"/>
      <c r="G1201"/>
      <c r="H1201"/>
      <c r="I1201"/>
      <c r="J1201"/>
      <c r="K1201"/>
      <c r="L1201"/>
      <c r="M1201"/>
      <c r="N1201"/>
      <c r="O1201"/>
    </row>
    <row r="1202" spans="1:15" x14ac:dyDescent="0.2">
      <c r="A1202"/>
      <c r="B1202"/>
      <c r="C1202"/>
      <c r="D1202"/>
      <c r="E1202"/>
      <c r="F1202"/>
      <c r="G1202"/>
      <c r="H1202"/>
      <c r="I1202"/>
      <c r="J1202"/>
      <c r="K1202"/>
      <c r="L1202"/>
      <c r="M1202"/>
      <c r="N1202"/>
      <c r="O1202"/>
    </row>
    <row r="1203" spans="1:15" x14ac:dyDescent="0.2">
      <c r="A1203"/>
      <c r="B1203"/>
      <c r="C1203"/>
      <c r="D1203"/>
      <c r="E1203"/>
      <c r="F1203"/>
      <c r="G1203"/>
      <c r="H1203"/>
      <c r="I1203"/>
      <c r="J1203"/>
      <c r="K1203"/>
      <c r="L1203"/>
      <c r="M1203"/>
      <c r="N1203"/>
      <c r="O1203"/>
    </row>
    <row r="1204" spans="1:15" x14ac:dyDescent="0.2">
      <c r="A1204"/>
      <c r="B1204"/>
      <c r="C1204"/>
      <c r="D1204"/>
      <c r="E1204"/>
      <c r="F1204"/>
      <c r="G1204"/>
      <c r="H1204"/>
      <c r="I1204"/>
      <c r="J1204"/>
      <c r="K1204"/>
      <c r="L1204"/>
      <c r="M1204"/>
      <c r="N1204"/>
      <c r="O1204"/>
    </row>
    <row r="1205" spans="1:15" x14ac:dyDescent="0.2">
      <c r="A1205"/>
      <c r="B1205"/>
      <c r="C1205"/>
      <c r="D1205"/>
      <c r="E1205"/>
      <c r="F1205"/>
      <c r="G1205"/>
      <c r="H1205"/>
      <c r="I1205"/>
      <c r="J1205"/>
      <c r="K1205"/>
      <c r="L1205"/>
      <c r="M1205"/>
      <c r="N1205"/>
      <c r="O1205"/>
    </row>
    <row r="1206" spans="1:15" x14ac:dyDescent="0.2">
      <c r="A1206"/>
      <c r="B1206"/>
      <c r="C1206"/>
      <c r="D1206"/>
      <c r="E1206"/>
      <c r="F1206"/>
      <c r="G1206"/>
      <c r="H1206"/>
      <c r="I1206"/>
      <c r="J1206"/>
      <c r="K1206"/>
      <c r="L1206"/>
      <c r="M1206"/>
      <c r="N1206"/>
      <c r="O1206"/>
    </row>
    <row r="1207" spans="1:15" x14ac:dyDescent="0.2">
      <c r="A1207"/>
      <c r="B1207"/>
      <c r="C1207"/>
      <c r="D1207"/>
      <c r="E1207"/>
      <c r="F1207"/>
      <c r="G1207"/>
      <c r="H1207"/>
      <c r="I1207"/>
      <c r="J1207"/>
      <c r="K1207"/>
      <c r="L1207"/>
      <c r="M1207"/>
      <c r="N1207"/>
      <c r="O1207"/>
    </row>
    <row r="1208" spans="1:15" x14ac:dyDescent="0.2">
      <c r="A1208"/>
      <c r="B1208"/>
      <c r="C1208"/>
      <c r="D1208"/>
      <c r="E1208"/>
      <c r="F1208"/>
      <c r="G1208"/>
      <c r="H1208"/>
      <c r="I1208"/>
      <c r="J1208"/>
      <c r="K1208"/>
      <c r="L1208"/>
      <c r="M1208"/>
      <c r="N1208"/>
      <c r="O1208"/>
    </row>
    <row r="1209" spans="1:15" x14ac:dyDescent="0.2">
      <c r="A1209"/>
      <c r="B1209"/>
      <c r="C1209"/>
      <c r="D1209"/>
      <c r="E1209"/>
      <c r="F1209"/>
      <c r="G1209"/>
      <c r="H1209"/>
      <c r="I1209"/>
      <c r="J1209"/>
      <c r="K1209"/>
      <c r="L1209"/>
      <c r="M1209"/>
      <c r="N1209"/>
      <c r="O1209"/>
    </row>
    <row r="1210" spans="1:15" x14ac:dyDescent="0.2">
      <c r="A1210"/>
      <c r="B1210"/>
      <c r="C1210"/>
      <c r="D1210"/>
      <c r="E1210"/>
      <c r="F1210"/>
      <c r="G1210"/>
      <c r="H1210"/>
      <c r="I1210"/>
      <c r="J1210"/>
      <c r="K1210"/>
      <c r="L1210"/>
      <c r="M1210"/>
      <c r="N1210"/>
      <c r="O1210"/>
    </row>
    <row r="1211" spans="1:15" x14ac:dyDescent="0.2">
      <c r="A1211"/>
      <c r="B1211"/>
      <c r="C1211"/>
      <c r="D1211"/>
      <c r="E1211"/>
      <c r="F1211"/>
      <c r="G1211"/>
      <c r="H1211"/>
      <c r="I1211"/>
      <c r="J1211"/>
      <c r="K1211"/>
      <c r="L1211"/>
      <c r="M1211"/>
      <c r="N1211"/>
      <c r="O1211"/>
    </row>
    <row r="1212" spans="1:15" x14ac:dyDescent="0.2">
      <c r="A1212"/>
      <c r="B1212"/>
      <c r="C1212"/>
      <c r="D1212"/>
      <c r="E1212"/>
      <c r="F1212"/>
      <c r="G1212"/>
      <c r="H1212"/>
      <c r="I1212"/>
      <c r="J1212"/>
      <c r="K1212"/>
      <c r="L1212"/>
      <c r="M1212"/>
      <c r="N1212"/>
      <c r="O1212"/>
    </row>
    <row r="1213" spans="1:15" x14ac:dyDescent="0.2">
      <c r="A1213"/>
      <c r="B1213"/>
      <c r="C1213"/>
      <c r="D1213"/>
      <c r="E1213"/>
      <c r="F1213"/>
      <c r="G1213"/>
      <c r="H1213"/>
      <c r="I1213"/>
      <c r="J1213"/>
      <c r="K1213"/>
      <c r="L1213"/>
      <c r="M1213"/>
      <c r="N1213"/>
      <c r="O1213"/>
    </row>
    <row r="1214" spans="1:15" x14ac:dyDescent="0.2">
      <c r="A1214"/>
      <c r="B1214"/>
      <c r="C1214"/>
      <c r="D1214"/>
      <c r="E1214"/>
      <c r="F1214"/>
      <c r="G1214"/>
      <c r="H1214"/>
      <c r="I1214"/>
      <c r="J1214"/>
      <c r="K1214"/>
      <c r="L1214"/>
      <c r="M1214"/>
      <c r="N1214"/>
      <c r="O1214"/>
    </row>
    <row r="1215" spans="1:15" x14ac:dyDescent="0.2">
      <c r="A1215"/>
      <c r="B1215"/>
      <c r="C1215"/>
      <c r="D1215"/>
      <c r="E1215"/>
      <c r="F1215"/>
      <c r="G1215"/>
      <c r="H1215"/>
      <c r="I1215"/>
      <c r="J1215"/>
      <c r="K1215"/>
      <c r="L1215"/>
      <c r="M1215"/>
      <c r="N1215"/>
      <c r="O1215"/>
    </row>
    <row r="1216" spans="1:15" x14ac:dyDescent="0.2">
      <c r="A1216"/>
      <c r="B1216"/>
      <c r="C1216"/>
      <c r="D1216"/>
      <c r="E1216"/>
      <c r="F1216"/>
      <c r="G1216"/>
      <c r="H1216"/>
      <c r="I1216"/>
      <c r="J1216"/>
      <c r="K1216"/>
      <c r="L1216"/>
      <c r="M1216"/>
      <c r="N1216"/>
      <c r="O1216"/>
    </row>
    <row r="1217" spans="1:15" x14ac:dyDescent="0.2">
      <c r="A1217"/>
      <c r="B1217"/>
      <c r="C1217"/>
      <c r="D1217"/>
      <c r="E1217"/>
      <c r="F1217"/>
      <c r="G1217"/>
      <c r="H1217"/>
      <c r="I1217"/>
      <c r="J1217"/>
      <c r="K1217"/>
      <c r="L1217"/>
      <c r="M1217"/>
      <c r="N1217"/>
      <c r="O1217"/>
    </row>
    <row r="1218" spans="1:15" x14ac:dyDescent="0.2">
      <c r="A1218"/>
      <c r="B1218"/>
      <c r="C1218"/>
      <c r="D1218"/>
      <c r="E1218"/>
      <c r="F1218"/>
      <c r="G1218"/>
      <c r="H1218"/>
      <c r="I1218"/>
      <c r="J1218"/>
      <c r="K1218"/>
      <c r="L1218"/>
      <c r="M1218"/>
      <c r="N1218"/>
      <c r="O1218"/>
    </row>
    <row r="1219" spans="1:15" x14ac:dyDescent="0.2">
      <c r="A1219"/>
      <c r="B1219"/>
      <c r="C1219"/>
      <c r="D1219"/>
      <c r="E1219"/>
      <c r="F1219"/>
      <c r="G1219"/>
      <c r="H1219"/>
      <c r="I1219"/>
      <c r="J1219"/>
      <c r="K1219"/>
      <c r="L1219"/>
      <c r="M1219"/>
      <c r="N1219"/>
      <c r="O1219"/>
    </row>
    <row r="1220" spans="1:15" x14ac:dyDescent="0.2">
      <c r="A1220"/>
      <c r="B1220"/>
      <c r="C1220"/>
      <c r="D1220"/>
      <c r="E1220"/>
      <c r="F1220"/>
      <c r="G1220"/>
      <c r="H1220"/>
      <c r="I1220"/>
      <c r="J1220"/>
      <c r="K1220"/>
      <c r="L1220"/>
      <c r="M1220"/>
      <c r="N1220"/>
      <c r="O1220"/>
    </row>
    <row r="1221" spans="1:15" x14ac:dyDescent="0.2">
      <c r="A1221"/>
      <c r="B1221"/>
      <c r="C1221"/>
      <c r="D1221"/>
      <c r="E1221"/>
      <c r="F1221"/>
      <c r="G1221"/>
      <c r="H1221"/>
      <c r="I1221"/>
      <c r="J1221"/>
      <c r="K1221"/>
      <c r="L1221"/>
      <c r="M1221"/>
      <c r="N1221"/>
      <c r="O1221"/>
    </row>
    <row r="1222" spans="1:15" x14ac:dyDescent="0.2">
      <c r="A1222"/>
      <c r="B1222"/>
      <c r="C1222"/>
      <c r="D1222"/>
      <c r="E1222"/>
      <c r="F1222"/>
      <c r="G1222"/>
      <c r="H1222"/>
      <c r="I1222"/>
      <c r="J1222"/>
      <c r="K1222"/>
      <c r="L1222"/>
      <c r="M1222"/>
      <c r="N1222"/>
      <c r="O1222"/>
    </row>
    <row r="1223" spans="1:15" x14ac:dyDescent="0.2">
      <c r="A1223"/>
      <c r="B1223"/>
      <c r="C1223"/>
      <c r="D1223"/>
      <c r="E1223"/>
      <c r="F1223"/>
      <c r="G1223"/>
      <c r="H1223"/>
      <c r="I1223"/>
      <c r="J1223"/>
      <c r="K1223"/>
      <c r="L1223"/>
      <c r="M1223"/>
      <c r="N1223"/>
      <c r="O1223"/>
    </row>
    <row r="1224" spans="1:15" x14ac:dyDescent="0.2">
      <c r="A1224"/>
      <c r="B1224"/>
      <c r="C1224"/>
      <c r="D1224"/>
      <c r="E1224"/>
      <c r="F1224"/>
      <c r="G1224"/>
      <c r="H1224"/>
      <c r="I1224"/>
      <c r="J1224"/>
      <c r="K1224"/>
      <c r="L1224"/>
      <c r="M1224"/>
      <c r="N1224"/>
      <c r="O1224"/>
    </row>
    <row r="1225" spans="1:15" x14ac:dyDescent="0.2">
      <c r="A1225"/>
      <c r="B1225"/>
      <c r="C1225"/>
      <c r="D1225"/>
      <c r="E1225"/>
      <c r="F1225"/>
      <c r="G1225"/>
      <c r="H1225"/>
      <c r="I1225"/>
      <c r="J1225"/>
      <c r="K1225"/>
      <c r="L1225"/>
      <c r="M1225"/>
      <c r="N1225"/>
      <c r="O1225"/>
    </row>
    <row r="1226" spans="1:15" x14ac:dyDescent="0.2">
      <c r="A1226"/>
      <c r="B1226"/>
      <c r="C1226"/>
      <c r="D1226"/>
      <c r="E1226"/>
      <c r="F1226"/>
      <c r="G1226"/>
      <c r="H1226"/>
      <c r="I1226"/>
      <c r="J1226"/>
      <c r="K1226"/>
      <c r="L1226"/>
      <c r="M1226"/>
      <c r="N1226"/>
      <c r="O1226"/>
    </row>
    <row r="1227" spans="1:15" x14ac:dyDescent="0.2">
      <c r="A1227"/>
      <c r="B1227"/>
      <c r="C1227"/>
      <c r="D1227"/>
      <c r="E1227"/>
      <c r="F1227"/>
      <c r="G1227"/>
      <c r="H1227"/>
      <c r="I1227"/>
      <c r="J1227"/>
      <c r="K1227"/>
      <c r="L1227"/>
      <c r="M1227"/>
      <c r="N1227"/>
      <c r="O1227"/>
    </row>
    <row r="1228" spans="1:15" x14ac:dyDescent="0.2">
      <c r="A1228"/>
      <c r="B1228"/>
      <c r="C1228"/>
      <c r="D1228"/>
      <c r="E1228"/>
      <c r="F1228"/>
      <c r="G1228"/>
      <c r="H1228"/>
      <c r="I1228"/>
      <c r="J1228"/>
      <c r="K1228"/>
      <c r="L1228"/>
      <c r="M1228"/>
      <c r="N1228"/>
      <c r="O1228"/>
    </row>
    <row r="1229" spans="1:15" x14ac:dyDescent="0.2">
      <c r="A1229"/>
      <c r="B1229"/>
      <c r="C1229"/>
      <c r="D1229"/>
      <c r="E1229"/>
      <c r="F1229"/>
      <c r="G1229"/>
      <c r="H1229"/>
      <c r="I1229"/>
      <c r="J1229"/>
      <c r="K1229"/>
      <c r="L1229"/>
      <c r="M1229"/>
      <c r="N1229"/>
      <c r="O1229"/>
    </row>
    <row r="1230" spans="1:15" x14ac:dyDescent="0.2">
      <c r="A1230"/>
      <c r="B1230"/>
      <c r="C1230"/>
      <c r="D1230"/>
      <c r="E1230"/>
      <c r="F1230"/>
      <c r="G1230"/>
      <c r="H1230"/>
      <c r="I1230"/>
      <c r="J1230"/>
      <c r="K1230"/>
      <c r="L1230"/>
      <c r="M1230"/>
      <c r="N1230"/>
      <c r="O1230"/>
    </row>
    <row r="1231" spans="1:15" x14ac:dyDescent="0.2">
      <c r="A1231"/>
      <c r="B1231"/>
      <c r="C1231"/>
      <c r="D1231"/>
      <c r="E1231"/>
      <c r="F1231"/>
      <c r="G1231"/>
      <c r="H1231"/>
      <c r="I1231"/>
      <c r="J1231"/>
      <c r="K1231"/>
      <c r="L1231"/>
      <c r="M1231"/>
      <c r="N1231"/>
      <c r="O1231"/>
    </row>
    <row r="1232" spans="1:15" x14ac:dyDescent="0.2">
      <c r="A1232"/>
      <c r="B1232"/>
      <c r="C1232"/>
      <c r="D1232"/>
      <c r="E1232"/>
      <c r="F1232"/>
      <c r="G1232"/>
      <c r="H1232"/>
      <c r="I1232"/>
      <c r="J1232"/>
      <c r="K1232"/>
      <c r="L1232"/>
      <c r="M1232"/>
      <c r="N1232"/>
      <c r="O1232"/>
    </row>
    <row r="1233" spans="1:15" x14ac:dyDescent="0.2">
      <c r="A1233"/>
      <c r="B1233"/>
      <c r="C1233"/>
      <c r="D1233"/>
      <c r="E1233"/>
      <c r="F1233"/>
      <c r="G1233"/>
      <c r="H1233"/>
      <c r="I1233"/>
      <c r="J1233"/>
      <c r="K1233"/>
      <c r="L1233"/>
      <c r="M1233"/>
      <c r="N1233"/>
      <c r="O1233"/>
    </row>
    <row r="1234" spans="1:15" x14ac:dyDescent="0.2">
      <c r="A1234"/>
      <c r="B1234"/>
      <c r="C1234"/>
      <c r="D1234"/>
      <c r="E1234"/>
      <c r="F1234"/>
      <c r="G1234"/>
      <c r="H1234"/>
      <c r="I1234"/>
      <c r="J1234"/>
      <c r="K1234"/>
      <c r="L1234"/>
      <c r="M1234"/>
      <c r="N1234"/>
      <c r="O1234"/>
    </row>
    <row r="1235" spans="1:15" x14ac:dyDescent="0.2">
      <c r="A1235"/>
      <c r="B1235"/>
      <c r="C1235"/>
      <c r="D1235"/>
      <c r="E1235"/>
      <c r="F1235"/>
      <c r="G1235"/>
      <c r="H1235"/>
      <c r="I1235"/>
      <c r="J1235"/>
      <c r="K1235"/>
      <c r="L1235"/>
      <c r="M1235"/>
      <c r="N1235"/>
      <c r="O1235"/>
    </row>
    <row r="1236" spans="1:15" x14ac:dyDescent="0.2">
      <c r="A1236"/>
      <c r="B1236"/>
      <c r="C1236"/>
      <c r="D1236"/>
      <c r="E1236"/>
      <c r="F1236"/>
      <c r="G1236"/>
      <c r="H1236"/>
      <c r="I1236"/>
      <c r="J1236"/>
      <c r="K1236"/>
      <c r="L1236"/>
      <c r="M1236"/>
      <c r="N1236"/>
      <c r="O1236"/>
    </row>
    <row r="1237" spans="1:15" x14ac:dyDescent="0.2">
      <c r="A1237"/>
      <c r="B1237"/>
      <c r="C1237"/>
      <c r="D1237"/>
      <c r="E1237"/>
      <c r="F1237"/>
      <c r="G1237"/>
      <c r="H1237"/>
      <c r="I1237"/>
      <c r="J1237"/>
      <c r="K1237"/>
      <c r="L1237"/>
      <c r="M1237"/>
      <c r="N1237"/>
      <c r="O1237"/>
    </row>
    <row r="1238" spans="1:15" x14ac:dyDescent="0.2">
      <c r="A1238"/>
      <c r="B1238"/>
      <c r="C1238"/>
      <c r="D1238"/>
      <c r="E1238"/>
      <c r="F1238"/>
      <c r="G1238"/>
      <c r="H1238"/>
      <c r="I1238"/>
      <c r="J1238"/>
      <c r="K1238"/>
      <c r="L1238"/>
      <c r="M1238"/>
      <c r="N1238"/>
      <c r="O1238"/>
    </row>
    <row r="1239" spans="1:15" x14ac:dyDescent="0.2">
      <c r="A1239"/>
      <c r="B1239"/>
      <c r="C1239"/>
      <c r="D1239"/>
      <c r="E1239"/>
      <c r="F1239"/>
      <c r="G1239"/>
      <c r="H1239"/>
      <c r="I1239"/>
      <c r="J1239"/>
      <c r="K1239"/>
      <c r="L1239"/>
      <c r="M1239"/>
      <c r="N1239"/>
      <c r="O1239"/>
    </row>
    <row r="1240" spans="1:15" x14ac:dyDescent="0.2">
      <c r="A1240"/>
      <c r="B1240"/>
      <c r="C1240"/>
      <c r="D1240"/>
      <c r="E1240"/>
      <c r="F1240"/>
      <c r="G1240"/>
      <c r="H1240"/>
      <c r="I1240"/>
      <c r="J1240"/>
      <c r="K1240"/>
      <c r="L1240"/>
      <c r="M1240"/>
      <c r="N1240"/>
      <c r="O1240"/>
    </row>
    <row r="1241" spans="1:15" x14ac:dyDescent="0.2">
      <c r="A1241"/>
      <c r="B1241"/>
      <c r="C1241"/>
      <c r="D1241"/>
      <c r="E1241"/>
      <c r="F1241"/>
      <c r="G1241"/>
      <c r="H1241"/>
      <c r="I1241"/>
      <c r="J1241"/>
      <c r="K1241"/>
      <c r="L1241"/>
      <c r="M1241"/>
      <c r="N1241"/>
      <c r="O1241"/>
    </row>
    <row r="1242" spans="1:15" x14ac:dyDescent="0.2">
      <c r="A1242"/>
      <c r="B1242"/>
      <c r="C1242"/>
      <c r="D1242"/>
      <c r="E1242"/>
      <c r="F1242"/>
      <c r="G1242"/>
      <c r="H1242"/>
      <c r="I1242"/>
      <c r="J1242"/>
      <c r="K1242"/>
      <c r="L1242"/>
      <c r="M1242"/>
      <c r="N1242"/>
      <c r="O1242"/>
    </row>
    <row r="1243" spans="1:15" x14ac:dyDescent="0.2">
      <c r="A1243"/>
      <c r="B1243"/>
      <c r="C1243"/>
      <c r="D1243"/>
      <c r="E1243"/>
      <c r="F1243"/>
      <c r="G1243"/>
      <c r="H1243"/>
      <c r="I1243"/>
      <c r="J1243"/>
      <c r="K1243"/>
      <c r="L1243"/>
      <c r="M1243"/>
      <c r="N1243"/>
      <c r="O1243"/>
    </row>
    <row r="1244" spans="1:15" x14ac:dyDescent="0.2">
      <c r="A1244"/>
      <c r="B1244"/>
      <c r="C1244"/>
      <c r="D1244"/>
      <c r="E1244"/>
      <c r="F1244"/>
      <c r="G1244"/>
      <c r="H1244"/>
      <c r="I1244"/>
      <c r="J1244"/>
      <c r="K1244"/>
      <c r="L1244"/>
      <c r="M1244"/>
      <c r="N1244"/>
      <c r="O1244"/>
    </row>
    <row r="1245" spans="1:15" x14ac:dyDescent="0.2">
      <c r="A1245"/>
      <c r="B1245"/>
      <c r="C1245"/>
      <c r="D1245"/>
      <c r="E1245"/>
      <c r="F1245"/>
      <c r="G1245"/>
      <c r="H1245"/>
      <c r="I1245"/>
      <c r="J1245"/>
      <c r="K1245"/>
      <c r="L1245"/>
      <c r="M1245"/>
      <c r="N1245"/>
      <c r="O1245"/>
    </row>
    <row r="1246" spans="1:15" x14ac:dyDescent="0.2">
      <c r="A1246"/>
      <c r="B1246"/>
      <c r="C1246"/>
      <c r="D1246"/>
      <c r="E1246"/>
      <c r="F1246"/>
      <c r="G1246"/>
      <c r="H1246"/>
      <c r="I1246"/>
      <c r="J1246"/>
      <c r="K1246"/>
      <c r="L1246"/>
      <c r="M1246"/>
      <c r="N1246"/>
      <c r="O1246"/>
    </row>
    <row r="1247" spans="1:15" x14ac:dyDescent="0.2">
      <c r="A1247"/>
      <c r="B1247"/>
      <c r="C1247"/>
      <c r="D1247"/>
      <c r="E1247"/>
      <c r="F1247"/>
      <c r="G1247"/>
      <c r="H1247"/>
      <c r="I1247"/>
      <c r="J1247"/>
      <c r="K1247"/>
      <c r="L1247"/>
      <c r="M1247"/>
      <c r="N1247"/>
      <c r="O1247"/>
    </row>
    <row r="1248" spans="1:15" x14ac:dyDescent="0.2">
      <c r="A1248"/>
      <c r="B1248"/>
      <c r="C1248"/>
      <c r="D1248"/>
      <c r="E1248"/>
      <c r="F1248"/>
      <c r="G1248"/>
      <c r="H1248"/>
      <c r="I1248"/>
      <c r="J1248"/>
      <c r="K1248"/>
      <c r="L1248"/>
      <c r="M1248"/>
      <c r="N1248"/>
      <c r="O1248"/>
    </row>
    <row r="1249" spans="1:15" x14ac:dyDescent="0.2">
      <c r="A1249"/>
      <c r="B1249"/>
      <c r="C1249"/>
      <c r="D1249"/>
      <c r="E1249"/>
      <c r="F1249"/>
      <c r="G1249"/>
      <c r="H1249"/>
      <c r="I1249"/>
      <c r="J1249"/>
      <c r="K1249"/>
      <c r="L1249"/>
      <c r="M1249"/>
      <c r="N1249"/>
      <c r="O1249"/>
    </row>
    <row r="1250" spans="1:15" x14ac:dyDescent="0.2">
      <c r="A1250"/>
      <c r="B1250"/>
      <c r="C1250"/>
      <c r="D1250"/>
      <c r="E1250"/>
      <c r="F1250"/>
      <c r="G1250"/>
      <c r="H1250"/>
      <c r="I1250"/>
      <c r="J1250"/>
      <c r="K1250"/>
      <c r="L1250"/>
      <c r="M1250"/>
      <c r="N1250"/>
      <c r="O1250"/>
    </row>
    <row r="1251" spans="1:15" x14ac:dyDescent="0.2">
      <c r="A1251"/>
      <c r="B1251"/>
      <c r="C1251"/>
      <c r="D1251"/>
      <c r="E1251"/>
      <c r="F1251"/>
      <c r="G1251"/>
      <c r="H1251"/>
      <c r="I1251"/>
      <c r="J1251"/>
      <c r="K1251"/>
      <c r="L1251"/>
      <c r="M1251"/>
      <c r="N1251"/>
      <c r="O1251"/>
    </row>
    <row r="1252" spans="1:15" x14ac:dyDescent="0.2">
      <c r="A1252"/>
      <c r="B1252"/>
      <c r="C1252"/>
      <c r="D1252"/>
      <c r="E1252"/>
      <c r="F1252"/>
      <c r="G1252"/>
      <c r="H1252"/>
      <c r="I1252"/>
      <c r="J1252"/>
      <c r="K1252"/>
      <c r="L1252"/>
      <c r="M1252"/>
      <c r="N1252"/>
      <c r="O1252"/>
    </row>
    <row r="1253" spans="1:15" x14ac:dyDescent="0.2">
      <c r="A1253"/>
      <c r="B1253"/>
      <c r="C1253"/>
      <c r="D1253"/>
      <c r="E1253"/>
      <c r="F1253"/>
      <c r="G1253"/>
      <c r="H1253"/>
      <c r="I1253"/>
      <c r="J1253"/>
      <c r="K1253"/>
      <c r="L1253"/>
      <c r="M1253"/>
      <c r="N1253"/>
      <c r="O1253"/>
    </row>
    <row r="1254" spans="1:15" x14ac:dyDescent="0.2">
      <c r="A1254"/>
      <c r="B1254"/>
      <c r="C1254"/>
      <c r="D1254"/>
      <c r="E1254"/>
      <c r="F1254"/>
      <c r="G1254"/>
      <c r="H1254"/>
      <c r="I1254"/>
      <c r="J1254"/>
      <c r="K1254"/>
      <c r="L1254"/>
      <c r="M1254"/>
      <c r="N1254"/>
      <c r="O1254"/>
    </row>
    <row r="1255" spans="1:15" x14ac:dyDescent="0.2">
      <c r="A1255"/>
      <c r="B1255"/>
      <c r="C1255"/>
      <c r="D1255"/>
      <c r="E1255"/>
      <c r="F1255"/>
      <c r="G1255"/>
      <c r="H1255"/>
      <c r="I1255"/>
      <c r="J1255"/>
      <c r="K1255"/>
      <c r="L1255"/>
      <c r="M1255"/>
      <c r="N1255"/>
      <c r="O1255"/>
    </row>
    <row r="1256" spans="1:15" x14ac:dyDescent="0.2">
      <c r="A1256"/>
      <c r="B1256"/>
      <c r="C1256"/>
      <c r="D1256"/>
      <c r="E1256"/>
      <c r="F1256"/>
      <c r="G1256"/>
      <c r="H1256"/>
      <c r="I1256"/>
      <c r="J1256"/>
      <c r="K1256"/>
      <c r="L1256"/>
      <c r="M1256"/>
      <c r="N1256"/>
      <c r="O1256"/>
    </row>
    <row r="1257" spans="1:15" x14ac:dyDescent="0.2">
      <c r="A1257"/>
      <c r="B1257"/>
      <c r="C1257"/>
      <c r="D1257"/>
      <c r="E1257"/>
      <c r="F1257"/>
      <c r="G1257"/>
      <c r="H1257"/>
      <c r="I1257"/>
      <c r="J1257"/>
      <c r="K1257"/>
      <c r="L1257"/>
      <c r="M1257"/>
      <c r="N1257"/>
      <c r="O1257"/>
    </row>
    <row r="1258" spans="1:15" x14ac:dyDescent="0.2">
      <c r="A1258"/>
      <c r="B1258"/>
      <c r="C1258"/>
      <c r="D1258"/>
      <c r="E1258"/>
      <c r="F1258"/>
      <c r="G1258"/>
      <c r="H1258"/>
      <c r="I1258"/>
      <c r="J1258"/>
      <c r="K1258"/>
      <c r="L1258"/>
      <c r="M1258"/>
      <c r="N1258"/>
      <c r="O1258"/>
    </row>
    <row r="1259" spans="1:15" x14ac:dyDescent="0.2">
      <c r="A1259"/>
      <c r="B1259"/>
      <c r="C1259"/>
      <c r="D1259"/>
      <c r="E1259"/>
      <c r="F1259"/>
      <c r="G1259"/>
      <c r="H1259"/>
      <c r="I1259"/>
      <c r="J1259"/>
      <c r="K1259"/>
      <c r="L1259"/>
      <c r="M1259"/>
      <c r="N1259"/>
      <c r="O1259"/>
    </row>
    <row r="1260" spans="1:15" x14ac:dyDescent="0.2">
      <c r="A1260"/>
      <c r="B1260"/>
      <c r="C1260"/>
      <c r="D1260"/>
      <c r="E1260"/>
      <c r="F1260"/>
      <c r="G1260"/>
      <c r="H1260"/>
      <c r="I1260"/>
      <c r="J1260"/>
      <c r="K1260"/>
      <c r="L1260"/>
      <c r="M1260"/>
      <c r="N1260"/>
      <c r="O1260"/>
    </row>
    <row r="1261" spans="1:15" x14ac:dyDescent="0.2">
      <c r="A1261"/>
      <c r="B1261"/>
      <c r="C1261"/>
      <c r="D1261"/>
      <c r="E1261"/>
      <c r="F1261"/>
      <c r="G1261"/>
      <c r="H1261"/>
      <c r="I1261"/>
      <c r="J1261"/>
      <c r="K1261"/>
      <c r="L1261"/>
      <c r="M1261"/>
      <c r="N1261"/>
      <c r="O1261"/>
    </row>
    <row r="1262" spans="1:15" x14ac:dyDescent="0.2">
      <c r="A1262"/>
      <c r="B1262"/>
      <c r="C1262"/>
      <c r="D1262"/>
      <c r="E1262"/>
      <c r="F1262"/>
      <c r="G1262"/>
      <c r="H1262"/>
      <c r="I1262"/>
      <c r="J1262"/>
      <c r="K1262"/>
      <c r="L1262"/>
      <c r="M1262"/>
      <c r="N1262"/>
      <c r="O1262"/>
    </row>
    <row r="1263" spans="1:15" x14ac:dyDescent="0.2">
      <c r="A1263"/>
      <c r="B1263"/>
      <c r="C1263"/>
      <c r="D1263"/>
      <c r="E1263"/>
      <c r="F1263"/>
      <c r="G1263"/>
      <c r="H1263"/>
      <c r="I1263"/>
      <c r="J1263"/>
      <c r="K1263"/>
      <c r="L1263"/>
      <c r="M1263"/>
      <c r="N1263"/>
      <c r="O1263"/>
    </row>
    <row r="1264" spans="1:15" x14ac:dyDescent="0.2">
      <c r="A1264"/>
      <c r="B1264"/>
      <c r="C1264"/>
      <c r="D1264"/>
      <c r="E1264"/>
      <c r="F1264"/>
      <c r="G1264"/>
      <c r="H1264"/>
      <c r="I1264"/>
      <c r="J1264"/>
      <c r="K1264"/>
      <c r="L1264"/>
      <c r="M1264"/>
      <c r="N1264"/>
      <c r="O1264"/>
    </row>
    <row r="1265" spans="1:15" x14ac:dyDescent="0.2">
      <c r="A1265"/>
      <c r="B1265"/>
      <c r="C1265"/>
      <c r="D1265"/>
      <c r="E1265"/>
      <c r="F1265"/>
      <c r="G1265"/>
      <c r="H1265"/>
      <c r="I1265"/>
      <c r="J1265"/>
      <c r="K1265"/>
      <c r="L1265"/>
      <c r="M1265"/>
      <c r="N1265"/>
      <c r="O1265"/>
    </row>
    <row r="1266" spans="1:15" x14ac:dyDescent="0.2">
      <c r="A1266"/>
      <c r="B1266"/>
      <c r="C1266"/>
      <c r="D1266"/>
      <c r="E1266"/>
      <c r="F1266"/>
      <c r="G1266"/>
      <c r="H1266"/>
      <c r="I1266"/>
      <c r="J1266"/>
      <c r="K1266"/>
      <c r="L1266"/>
      <c r="M1266"/>
      <c r="N1266"/>
      <c r="O1266"/>
    </row>
    <row r="1267" spans="1:15" x14ac:dyDescent="0.2">
      <c r="A1267"/>
      <c r="B1267"/>
      <c r="C1267"/>
      <c r="D1267"/>
      <c r="E1267"/>
      <c r="F1267"/>
      <c r="G1267"/>
      <c r="H1267"/>
      <c r="I1267"/>
      <c r="J1267"/>
      <c r="K1267"/>
      <c r="L1267"/>
      <c r="M1267"/>
      <c r="N1267"/>
      <c r="O1267"/>
    </row>
    <row r="1268" spans="1:15" x14ac:dyDescent="0.2">
      <c r="A1268"/>
      <c r="B1268"/>
      <c r="C1268"/>
      <c r="D1268"/>
      <c r="E1268"/>
      <c r="F1268"/>
      <c r="G1268"/>
      <c r="H1268"/>
      <c r="I1268"/>
      <c r="J1268"/>
      <c r="K1268"/>
      <c r="L1268"/>
      <c r="M1268"/>
      <c r="N1268"/>
      <c r="O1268"/>
    </row>
    <row r="1269" spans="1:15" x14ac:dyDescent="0.2">
      <c r="A1269"/>
      <c r="B1269"/>
      <c r="C1269"/>
      <c r="D1269"/>
      <c r="E1269"/>
      <c r="F1269"/>
      <c r="G1269"/>
      <c r="H1269"/>
      <c r="I1269"/>
      <c r="J1269"/>
      <c r="K1269"/>
      <c r="L1269"/>
      <c r="M1269"/>
      <c r="N1269"/>
      <c r="O1269"/>
    </row>
    <row r="1270" spans="1:15" x14ac:dyDescent="0.2">
      <c r="A1270"/>
      <c r="B1270"/>
      <c r="C1270"/>
      <c r="D1270"/>
      <c r="E1270"/>
      <c r="F1270"/>
      <c r="G1270"/>
      <c r="H1270"/>
      <c r="I1270"/>
      <c r="J1270"/>
      <c r="K1270"/>
      <c r="L1270"/>
      <c r="M1270"/>
      <c r="N1270"/>
      <c r="O1270"/>
    </row>
    <row r="1271" spans="1:15" x14ac:dyDescent="0.2">
      <c r="A1271"/>
      <c r="B1271"/>
      <c r="C1271"/>
      <c r="D1271"/>
      <c r="E1271"/>
      <c r="F1271"/>
      <c r="G1271"/>
      <c r="H1271"/>
      <c r="I1271"/>
      <c r="J1271"/>
      <c r="K1271"/>
      <c r="L1271"/>
      <c r="M1271"/>
      <c r="N1271"/>
      <c r="O1271"/>
    </row>
    <row r="1272" spans="1:15" x14ac:dyDescent="0.2">
      <c r="A1272"/>
      <c r="B1272"/>
      <c r="C1272"/>
      <c r="D1272"/>
      <c r="E1272"/>
      <c r="F1272"/>
      <c r="G1272"/>
      <c r="H1272"/>
      <c r="I1272"/>
      <c r="J1272"/>
      <c r="K1272"/>
      <c r="L1272"/>
      <c r="M1272"/>
      <c r="N1272"/>
      <c r="O1272"/>
    </row>
    <row r="1273" spans="1:15" x14ac:dyDescent="0.2">
      <c r="A1273"/>
      <c r="B1273"/>
      <c r="C1273"/>
      <c r="D1273"/>
      <c r="E1273"/>
      <c r="F1273"/>
      <c r="G1273"/>
      <c r="H1273"/>
      <c r="I1273"/>
      <c r="J1273"/>
      <c r="K1273"/>
      <c r="L1273"/>
      <c r="M1273"/>
      <c r="N1273"/>
      <c r="O1273"/>
    </row>
    <row r="1274" spans="1:15" x14ac:dyDescent="0.2">
      <c r="A1274"/>
      <c r="B1274"/>
      <c r="C1274"/>
      <c r="D1274"/>
      <c r="E1274"/>
      <c r="F1274"/>
      <c r="G1274"/>
      <c r="H1274"/>
      <c r="I1274"/>
      <c r="J1274"/>
      <c r="K1274"/>
      <c r="L1274"/>
      <c r="M1274"/>
      <c r="N1274"/>
      <c r="O1274"/>
    </row>
    <row r="1275" spans="1:15" x14ac:dyDescent="0.2">
      <c r="A1275"/>
      <c r="B1275"/>
      <c r="C1275"/>
      <c r="D1275"/>
      <c r="E1275"/>
      <c r="F1275"/>
      <c r="G1275"/>
      <c r="H1275"/>
      <c r="I1275"/>
      <c r="J1275"/>
      <c r="K1275"/>
      <c r="L1275"/>
      <c r="M1275"/>
      <c r="N1275"/>
      <c r="O1275"/>
    </row>
    <row r="1276" spans="1:15" x14ac:dyDescent="0.2">
      <c r="A1276"/>
      <c r="B1276"/>
      <c r="C1276"/>
      <c r="D1276"/>
      <c r="E1276"/>
      <c r="F1276"/>
      <c r="G1276"/>
      <c r="H1276"/>
      <c r="I1276"/>
      <c r="J1276"/>
      <c r="K1276"/>
      <c r="L1276"/>
      <c r="M1276"/>
      <c r="N1276"/>
      <c r="O1276"/>
    </row>
    <row r="1277" spans="1:15" x14ac:dyDescent="0.2">
      <c r="A1277"/>
      <c r="B1277"/>
      <c r="C1277"/>
      <c r="D1277"/>
      <c r="E1277"/>
      <c r="F1277"/>
      <c r="G1277"/>
      <c r="H1277"/>
      <c r="I1277"/>
      <c r="J1277"/>
      <c r="K1277"/>
      <c r="L1277"/>
      <c r="M1277"/>
      <c r="N1277"/>
      <c r="O1277"/>
    </row>
    <row r="1278" spans="1:15" x14ac:dyDescent="0.2">
      <c r="A1278"/>
      <c r="B1278"/>
      <c r="C1278"/>
      <c r="D1278"/>
      <c r="E1278"/>
      <c r="F1278"/>
      <c r="G1278"/>
      <c r="H1278"/>
      <c r="I1278"/>
      <c r="J1278"/>
      <c r="K1278"/>
      <c r="L1278"/>
      <c r="M1278"/>
      <c r="N1278"/>
      <c r="O1278"/>
    </row>
    <row r="1279" spans="1:15" x14ac:dyDescent="0.2">
      <c r="A1279"/>
      <c r="B1279"/>
      <c r="C1279"/>
      <c r="D1279"/>
      <c r="E1279"/>
      <c r="F1279"/>
      <c r="G1279"/>
      <c r="H1279"/>
      <c r="I1279"/>
      <c r="J1279"/>
      <c r="K1279"/>
      <c r="L1279"/>
      <c r="M1279"/>
      <c r="N1279"/>
      <c r="O1279"/>
    </row>
    <row r="1280" spans="1:15" x14ac:dyDescent="0.2">
      <c r="A1280"/>
      <c r="B1280"/>
      <c r="C1280"/>
      <c r="D1280"/>
      <c r="E1280"/>
      <c r="F1280"/>
      <c r="G1280"/>
      <c r="H1280"/>
      <c r="I1280"/>
      <c r="J1280"/>
      <c r="K1280"/>
      <c r="L1280"/>
      <c r="M1280"/>
      <c r="N1280"/>
      <c r="O1280"/>
    </row>
    <row r="1281" spans="1:15" x14ac:dyDescent="0.2">
      <c r="A1281"/>
      <c r="B1281"/>
      <c r="C1281"/>
      <c r="D1281"/>
      <c r="E1281"/>
      <c r="F1281"/>
      <c r="G1281"/>
      <c r="H1281"/>
      <c r="I1281"/>
      <c r="J1281"/>
      <c r="K1281"/>
      <c r="L1281"/>
      <c r="M1281"/>
      <c r="N1281"/>
      <c r="O1281"/>
    </row>
    <row r="1282" spans="1:15" x14ac:dyDescent="0.2">
      <c r="A1282"/>
      <c r="B1282"/>
      <c r="C1282"/>
      <c r="D1282"/>
      <c r="E1282"/>
      <c r="F1282"/>
      <c r="G1282"/>
      <c r="H1282"/>
      <c r="I1282"/>
      <c r="J1282"/>
      <c r="K1282"/>
      <c r="L1282"/>
      <c r="M1282"/>
      <c r="N1282"/>
      <c r="O1282"/>
    </row>
    <row r="1283" spans="1:15" x14ac:dyDescent="0.2">
      <c r="A1283"/>
      <c r="B1283"/>
      <c r="C1283"/>
      <c r="D1283"/>
      <c r="E1283"/>
      <c r="F1283"/>
      <c r="G1283"/>
      <c r="H1283"/>
      <c r="I1283"/>
      <c r="J1283"/>
      <c r="K1283"/>
      <c r="L1283"/>
      <c r="M1283"/>
      <c r="N1283"/>
      <c r="O1283"/>
    </row>
    <row r="1284" spans="1:15" x14ac:dyDescent="0.2">
      <c r="A1284"/>
      <c r="B1284"/>
      <c r="C1284"/>
      <c r="D1284"/>
      <c r="E1284"/>
      <c r="F1284"/>
      <c r="G1284"/>
      <c r="H1284"/>
      <c r="I1284"/>
      <c r="J1284"/>
      <c r="K1284"/>
      <c r="L1284"/>
      <c r="M1284"/>
      <c r="N1284"/>
      <c r="O1284"/>
    </row>
    <row r="1285" spans="1:15" x14ac:dyDescent="0.2">
      <c r="A1285"/>
      <c r="B1285"/>
      <c r="C1285"/>
      <c r="D1285"/>
      <c r="E1285"/>
      <c r="F1285"/>
      <c r="G1285"/>
      <c r="H1285"/>
      <c r="I1285"/>
      <c r="J1285"/>
      <c r="K1285"/>
      <c r="L1285"/>
      <c r="M1285"/>
      <c r="N1285"/>
      <c r="O1285"/>
    </row>
    <row r="1286" spans="1:15" x14ac:dyDescent="0.2">
      <c r="A1286"/>
      <c r="B1286"/>
      <c r="C1286"/>
      <c r="D1286"/>
      <c r="E1286"/>
      <c r="F1286"/>
      <c r="G1286"/>
      <c r="H1286"/>
      <c r="I1286"/>
      <c r="J1286"/>
      <c r="K1286"/>
      <c r="L1286"/>
      <c r="M1286"/>
      <c r="N1286"/>
      <c r="O1286"/>
    </row>
    <row r="1287" spans="1:15" x14ac:dyDescent="0.2">
      <c r="A1287"/>
      <c r="B1287"/>
      <c r="C1287"/>
      <c r="D1287"/>
      <c r="E1287"/>
      <c r="F1287"/>
      <c r="G1287"/>
      <c r="H1287"/>
      <c r="I1287"/>
      <c r="J1287"/>
      <c r="K1287"/>
      <c r="L1287"/>
      <c r="M1287"/>
      <c r="N1287"/>
      <c r="O1287"/>
    </row>
    <row r="1288" spans="1:15" x14ac:dyDescent="0.2">
      <c r="A1288"/>
      <c r="B1288"/>
      <c r="C1288"/>
      <c r="D1288"/>
      <c r="E1288"/>
      <c r="F1288"/>
      <c r="G1288"/>
      <c r="H1288"/>
      <c r="I1288"/>
      <c r="J1288"/>
      <c r="K1288"/>
      <c r="L1288"/>
      <c r="M1288"/>
      <c r="N1288"/>
      <c r="O1288"/>
    </row>
    <row r="1289" spans="1:15" x14ac:dyDescent="0.2">
      <c r="A1289"/>
      <c r="B1289"/>
      <c r="C1289"/>
      <c r="D1289"/>
      <c r="E1289"/>
      <c r="F1289"/>
      <c r="G1289"/>
      <c r="H1289"/>
      <c r="I1289"/>
      <c r="J1289"/>
      <c r="K1289"/>
      <c r="L1289"/>
      <c r="M1289"/>
      <c r="N1289"/>
      <c r="O1289"/>
    </row>
    <row r="1290" spans="1:15" x14ac:dyDescent="0.2">
      <c r="A1290"/>
      <c r="B1290"/>
      <c r="C1290"/>
      <c r="D1290"/>
      <c r="E1290"/>
      <c r="F1290"/>
      <c r="G1290"/>
      <c r="H1290"/>
      <c r="I1290"/>
      <c r="J1290"/>
      <c r="K1290"/>
      <c r="L1290"/>
      <c r="M1290"/>
      <c r="N1290"/>
      <c r="O1290"/>
    </row>
    <row r="1291" spans="1:15" x14ac:dyDescent="0.2">
      <c r="A1291"/>
      <c r="B1291"/>
      <c r="C1291"/>
      <c r="D1291"/>
      <c r="E1291"/>
      <c r="F1291"/>
      <c r="G1291"/>
      <c r="H1291"/>
      <c r="I1291"/>
      <c r="J1291"/>
      <c r="K1291"/>
      <c r="L1291"/>
      <c r="M1291"/>
      <c r="N1291"/>
      <c r="O1291"/>
    </row>
    <row r="1292" spans="1:15" x14ac:dyDescent="0.2">
      <c r="A1292"/>
      <c r="B1292"/>
      <c r="C1292"/>
      <c r="D1292"/>
      <c r="E1292"/>
      <c r="F1292"/>
      <c r="G1292"/>
      <c r="H1292"/>
      <c r="I1292"/>
      <c r="J1292"/>
      <c r="K1292"/>
      <c r="L1292"/>
      <c r="M1292"/>
      <c r="N1292"/>
      <c r="O1292"/>
    </row>
    <row r="1293" spans="1:15" x14ac:dyDescent="0.2">
      <c r="A1293"/>
      <c r="B1293"/>
      <c r="C1293"/>
      <c r="D1293"/>
      <c r="E1293"/>
      <c r="F1293"/>
      <c r="G1293"/>
      <c r="H1293"/>
      <c r="I1293"/>
      <c r="J1293"/>
      <c r="K1293"/>
      <c r="L1293"/>
      <c r="M1293"/>
      <c r="N1293"/>
      <c r="O1293"/>
    </row>
    <row r="1294" spans="1:15" x14ac:dyDescent="0.2">
      <c r="A1294"/>
      <c r="B1294"/>
      <c r="C1294"/>
      <c r="D1294"/>
      <c r="E1294"/>
      <c r="F1294"/>
      <c r="G1294"/>
      <c r="H1294"/>
      <c r="I1294"/>
      <c r="J1294"/>
      <c r="K1294"/>
      <c r="L1294"/>
      <c r="M1294"/>
      <c r="N1294"/>
      <c r="O1294"/>
    </row>
    <row r="1295" spans="1:15" x14ac:dyDescent="0.2">
      <c r="A1295"/>
      <c r="B1295"/>
      <c r="C1295"/>
      <c r="D1295"/>
      <c r="E1295"/>
      <c r="F1295"/>
      <c r="G1295"/>
      <c r="H1295"/>
      <c r="I1295"/>
      <c r="J1295"/>
      <c r="K1295"/>
      <c r="L1295"/>
      <c r="M1295"/>
      <c r="N1295"/>
      <c r="O1295"/>
    </row>
    <row r="1296" spans="1:15" x14ac:dyDescent="0.2">
      <c r="A1296"/>
      <c r="B1296"/>
      <c r="C1296"/>
      <c r="D1296"/>
      <c r="E1296"/>
      <c r="F1296"/>
      <c r="G1296"/>
      <c r="H1296"/>
      <c r="I1296"/>
      <c r="J1296"/>
      <c r="K1296"/>
      <c r="L1296"/>
      <c r="M1296"/>
      <c r="N1296"/>
      <c r="O1296"/>
    </row>
    <row r="1297" spans="1:15" x14ac:dyDescent="0.2">
      <c r="A1297"/>
      <c r="B1297"/>
      <c r="C1297"/>
      <c r="D1297"/>
      <c r="E1297"/>
      <c r="F1297"/>
      <c r="G1297"/>
      <c r="H1297"/>
      <c r="I1297"/>
      <c r="J1297"/>
      <c r="K1297"/>
      <c r="L1297"/>
      <c r="M1297"/>
      <c r="N1297"/>
      <c r="O1297"/>
    </row>
    <row r="1298" spans="1:15" x14ac:dyDescent="0.2">
      <c r="A1298"/>
      <c r="B1298"/>
      <c r="C1298"/>
      <c r="D1298"/>
      <c r="E1298"/>
      <c r="F1298"/>
      <c r="G1298"/>
      <c r="H1298"/>
      <c r="I1298"/>
      <c r="J1298"/>
      <c r="K1298"/>
      <c r="L1298"/>
      <c r="M1298"/>
      <c r="N1298"/>
      <c r="O1298"/>
    </row>
    <row r="1299" spans="1:15" x14ac:dyDescent="0.2">
      <c r="A1299"/>
      <c r="B1299"/>
      <c r="C1299"/>
      <c r="D1299"/>
      <c r="E1299"/>
      <c r="F1299"/>
      <c r="G1299"/>
      <c r="H1299"/>
      <c r="I1299"/>
      <c r="J1299"/>
      <c r="K1299"/>
      <c r="L1299"/>
      <c r="M1299"/>
      <c r="N1299"/>
      <c r="O1299"/>
    </row>
    <row r="1300" spans="1:15" x14ac:dyDescent="0.2">
      <c r="A1300"/>
      <c r="B1300"/>
      <c r="C1300"/>
      <c r="D1300"/>
      <c r="E1300"/>
      <c r="F1300"/>
      <c r="G1300"/>
      <c r="H1300"/>
      <c r="I1300"/>
      <c r="J1300"/>
      <c r="K1300"/>
      <c r="L1300"/>
      <c r="M1300"/>
      <c r="N1300"/>
      <c r="O1300"/>
    </row>
    <row r="1301" spans="1:15" x14ac:dyDescent="0.2">
      <c r="A1301"/>
      <c r="B1301"/>
      <c r="C1301"/>
      <c r="D1301"/>
      <c r="E1301"/>
      <c r="F1301"/>
      <c r="G1301"/>
      <c r="H1301"/>
      <c r="I1301"/>
      <c r="J1301"/>
      <c r="K1301"/>
      <c r="L1301"/>
      <c r="M1301"/>
      <c r="N1301"/>
      <c r="O1301"/>
    </row>
    <row r="1302" spans="1:15" x14ac:dyDescent="0.2">
      <c r="A1302"/>
      <c r="B1302"/>
      <c r="C1302"/>
      <c r="D1302"/>
      <c r="E1302"/>
      <c r="F1302"/>
      <c r="G1302"/>
      <c r="H1302"/>
      <c r="I1302"/>
      <c r="J1302"/>
      <c r="K1302"/>
      <c r="L1302"/>
      <c r="M1302"/>
      <c r="N1302"/>
      <c r="O1302"/>
    </row>
    <row r="1303" spans="1:15" x14ac:dyDescent="0.2">
      <c r="A1303"/>
      <c r="B1303"/>
      <c r="C1303"/>
      <c r="D1303"/>
      <c r="E1303"/>
      <c r="F1303"/>
      <c r="G1303"/>
      <c r="H1303"/>
      <c r="I1303"/>
      <c r="J1303"/>
      <c r="K1303"/>
      <c r="L1303"/>
      <c r="M1303"/>
      <c r="N1303"/>
      <c r="O1303"/>
    </row>
    <row r="1304" spans="1:15" x14ac:dyDescent="0.2">
      <c r="A1304"/>
      <c r="B1304"/>
      <c r="C1304"/>
      <c r="D1304"/>
      <c r="E1304"/>
      <c r="F1304"/>
      <c r="G1304"/>
      <c r="H1304"/>
      <c r="I1304"/>
      <c r="J1304"/>
      <c r="K1304"/>
      <c r="L1304"/>
      <c r="M1304"/>
      <c r="N1304"/>
      <c r="O1304"/>
    </row>
    <row r="1305" spans="1:15" x14ac:dyDescent="0.2">
      <c r="A1305"/>
      <c r="B1305"/>
      <c r="C1305"/>
      <c r="D1305"/>
      <c r="E1305"/>
      <c r="F1305"/>
      <c r="G1305"/>
      <c r="H1305"/>
      <c r="I1305"/>
      <c r="J1305"/>
      <c r="K1305"/>
      <c r="L1305"/>
      <c r="M1305"/>
      <c r="N1305"/>
      <c r="O1305"/>
    </row>
    <row r="1306" spans="1:15" x14ac:dyDescent="0.2">
      <c r="A1306"/>
      <c r="B1306"/>
      <c r="C1306"/>
      <c r="D1306"/>
      <c r="E1306"/>
      <c r="F1306"/>
      <c r="G1306"/>
      <c r="H1306"/>
      <c r="I1306"/>
      <c r="J1306"/>
      <c r="K1306"/>
      <c r="L1306"/>
      <c r="M1306"/>
      <c r="N1306"/>
      <c r="O1306"/>
    </row>
    <row r="1307" spans="1:15" x14ac:dyDescent="0.2">
      <c r="A1307"/>
      <c r="B1307"/>
      <c r="C1307"/>
      <c r="D1307"/>
      <c r="E1307"/>
      <c r="F1307"/>
      <c r="G1307"/>
      <c r="H1307"/>
      <c r="I1307"/>
      <c r="J1307"/>
      <c r="K1307"/>
      <c r="L1307"/>
      <c r="M1307"/>
      <c r="N1307"/>
      <c r="O1307"/>
    </row>
    <row r="1308" spans="1:15" x14ac:dyDescent="0.2">
      <c r="A1308"/>
      <c r="B1308"/>
      <c r="C1308"/>
      <c r="D1308"/>
      <c r="E1308"/>
      <c r="F1308"/>
      <c r="G1308"/>
      <c r="H1308"/>
      <c r="I1308"/>
      <c r="J1308"/>
      <c r="K1308"/>
      <c r="L1308"/>
      <c r="M1308"/>
      <c r="N1308"/>
      <c r="O1308"/>
    </row>
    <row r="1309" spans="1:15" x14ac:dyDescent="0.2">
      <c r="A1309"/>
      <c r="B1309"/>
      <c r="C1309"/>
      <c r="D1309"/>
      <c r="E1309"/>
      <c r="F1309"/>
      <c r="G1309"/>
      <c r="H1309"/>
      <c r="I1309"/>
      <c r="J1309"/>
      <c r="K1309"/>
      <c r="L1309"/>
      <c r="M1309"/>
      <c r="N1309"/>
      <c r="O1309"/>
    </row>
    <row r="1310" spans="1:15" x14ac:dyDescent="0.2">
      <c r="A1310"/>
      <c r="B1310"/>
      <c r="C1310"/>
      <c r="D1310"/>
      <c r="E1310"/>
      <c r="F1310"/>
      <c r="G1310"/>
      <c r="H1310"/>
      <c r="I1310"/>
      <c r="J1310"/>
      <c r="K1310"/>
      <c r="L1310"/>
      <c r="M1310"/>
      <c r="N1310"/>
      <c r="O1310"/>
    </row>
    <row r="1311" spans="1:15" x14ac:dyDescent="0.2">
      <c r="A1311"/>
      <c r="B1311"/>
      <c r="C1311"/>
      <c r="D1311"/>
      <c r="E1311"/>
      <c r="F1311"/>
      <c r="G1311"/>
      <c r="H1311"/>
      <c r="I1311"/>
      <c r="J1311"/>
      <c r="K1311"/>
      <c r="L1311"/>
      <c r="M1311"/>
      <c r="N1311"/>
      <c r="O1311"/>
    </row>
    <row r="1312" spans="1:15" x14ac:dyDescent="0.2">
      <c r="A1312"/>
      <c r="B1312"/>
      <c r="C1312"/>
      <c r="D1312"/>
      <c r="E1312"/>
      <c r="F1312"/>
      <c r="G1312"/>
      <c r="H1312"/>
      <c r="I1312"/>
      <c r="J1312"/>
      <c r="K1312"/>
      <c r="L1312"/>
      <c r="M1312"/>
      <c r="N1312"/>
      <c r="O1312"/>
    </row>
    <row r="1313" spans="1:15" x14ac:dyDescent="0.2">
      <c r="A1313"/>
      <c r="B1313"/>
      <c r="C1313"/>
      <c r="D1313"/>
      <c r="E1313"/>
      <c r="F1313"/>
      <c r="G1313"/>
      <c r="H1313"/>
      <c r="I1313"/>
      <c r="J1313"/>
      <c r="K1313"/>
      <c r="L1313"/>
      <c r="M1313"/>
      <c r="N1313"/>
      <c r="O1313"/>
    </row>
    <row r="1314" spans="1:15" x14ac:dyDescent="0.2">
      <c r="A1314"/>
      <c r="B1314"/>
      <c r="C1314"/>
      <c r="D1314"/>
      <c r="E1314"/>
      <c r="F1314"/>
      <c r="G1314"/>
      <c r="H1314"/>
      <c r="I1314"/>
      <c r="J1314"/>
      <c r="K1314"/>
      <c r="L1314"/>
      <c r="M1314"/>
      <c r="N1314"/>
      <c r="O1314"/>
    </row>
    <row r="1315" spans="1:15" x14ac:dyDescent="0.2">
      <c r="A1315"/>
      <c r="B1315"/>
      <c r="C1315"/>
      <c r="D1315"/>
      <c r="E1315"/>
      <c r="F1315"/>
      <c r="G1315"/>
      <c r="H1315"/>
      <c r="I1315"/>
      <c r="J1315"/>
      <c r="K1315"/>
      <c r="L1315"/>
      <c r="M1315"/>
      <c r="N1315"/>
      <c r="O1315"/>
    </row>
    <row r="1316" spans="1:15" x14ac:dyDescent="0.2">
      <c r="A1316"/>
      <c r="B1316"/>
      <c r="C1316"/>
      <c r="D1316"/>
      <c r="E1316"/>
      <c r="F1316"/>
      <c r="G1316"/>
      <c r="H1316"/>
      <c r="I1316"/>
      <c r="J1316"/>
      <c r="K1316"/>
      <c r="L1316"/>
      <c r="M1316"/>
      <c r="N1316"/>
      <c r="O1316"/>
    </row>
    <row r="1317" spans="1:15" x14ac:dyDescent="0.2">
      <c r="A1317"/>
      <c r="B1317"/>
      <c r="C1317"/>
      <c r="D1317"/>
      <c r="E1317"/>
      <c r="F1317"/>
      <c r="G1317"/>
      <c r="H1317"/>
      <c r="I1317"/>
      <c r="J1317"/>
      <c r="K1317"/>
      <c r="L1317"/>
      <c r="M1317"/>
      <c r="N1317"/>
      <c r="O1317"/>
    </row>
    <row r="1318" spans="1:15" x14ac:dyDescent="0.2">
      <c r="A1318"/>
      <c r="B1318"/>
      <c r="C1318"/>
      <c r="D1318"/>
      <c r="E1318"/>
      <c r="F1318"/>
      <c r="G1318"/>
      <c r="H1318"/>
      <c r="I1318"/>
      <c r="J1318"/>
      <c r="K1318"/>
      <c r="L1318"/>
      <c r="M1318"/>
      <c r="N1318"/>
      <c r="O1318"/>
    </row>
    <row r="1319" spans="1:15" x14ac:dyDescent="0.2">
      <c r="A1319"/>
      <c r="B1319"/>
      <c r="C1319"/>
      <c r="D1319"/>
      <c r="E1319"/>
      <c r="F1319"/>
      <c r="G1319"/>
      <c r="H1319"/>
      <c r="I1319"/>
      <c r="J1319"/>
      <c r="K1319"/>
      <c r="L1319"/>
      <c r="M1319"/>
      <c r="N1319"/>
      <c r="O1319"/>
    </row>
    <row r="1320" spans="1:15" x14ac:dyDescent="0.2">
      <c r="A1320"/>
      <c r="B1320"/>
      <c r="C1320"/>
      <c r="D1320"/>
      <c r="E1320"/>
      <c r="F1320"/>
      <c r="G1320"/>
      <c r="H1320"/>
      <c r="I1320"/>
      <c r="J1320"/>
      <c r="K1320"/>
      <c r="L1320"/>
      <c r="M1320"/>
      <c r="N1320"/>
      <c r="O1320"/>
    </row>
    <row r="1321" spans="1:15" x14ac:dyDescent="0.2">
      <c r="A1321"/>
      <c r="B1321"/>
      <c r="C1321"/>
      <c r="D1321"/>
      <c r="E1321"/>
      <c r="F1321"/>
      <c r="G1321"/>
      <c r="H1321"/>
      <c r="I1321"/>
      <c r="J1321"/>
      <c r="K1321"/>
      <c r="L1321"/>
      <c r="M1321"/>
      <c r="N1321"/>
      <c r="O1321"/>
    </row>
    <row r="1322" spans="1:15" x14ac:dyDescent="0.2">
      <c r="A1322"/>
      <c r="B1322"/>
      <c r="C1322"/>
      <c r="D1322"/>
      <c r="E1322"/>
      <c r="F1322"/>
      <c r="G1322"/>
      <c r="H1322"/>
      <c r="I1322"/>
      <c r="J1322"/>
      <c r="K1322"/>
      <c r="L1322"/>
      <c r="M1322"/>
      <c r="N1322"/>
      <c r="O1322"/>
    </row>
    <row r="1323" spans="1:15" x14ac:dyDescent="0.2">
      <c r="A1323"/>
      <c r="B1323"/>
      <c r="C1323"/>
      <c r="D1323"/>
      <c r="E1323"/>
      <c r="F1323"/>
      <c r="G1323"/>
      <c r="H1323"/>
      <c r="I1323"/>
      <c r="J1323"/>
      <c r="K1323"/>
      <c r="L1323"/>
      <c r="M1323"/>
      <c r="N1323"/>
      <c r="O1323"/>
    </row>
    <row r="1324" spans="1:15" x14ac:dyDescent="0.2">
      <c r="A1324"/>
      <c r="B1324"/>
      <c r="C1324"/>
      <c r="D1324"/>
      <c r="E1324"/>
      <c r="F1324"/>
      <c r="G1324"/>
      <c r="H1324"/>
      <c r="I1324"/>
      <c r="J1324"/>
      <c r="K1324"/>
      <c r="L1324"/>
      <c r="M1324"/>
      <c r="N1324"/>
      <c r="O1324"/>
    </row>
    <row r="1325" spans="1:15" x14ac:dyDescent="0.2">
      <c r="A1325"/>
      <c r="B1325"/>
      <c r="C1325"/>
      <c r="D1325"/>
      <c r="E1325"/>
      <c r="F1325"/>
      <c r="G1325"/>
      <c r="H1325"/>
      <c r="I1325"/>
      <c r="J1325"/>
      <c r="K1325"/>
      <c r="L1325"/>
      <c r="M1325"/>
      <c r="N1325"/>
      <c r="O1325"/>
    </row>
    <row r="1326" spans="1:15" x14ac:dyDescent="0.2">
      <c r="A1326"/>
      <c r="B1326"/>
      <c r="C1326"/>
      <c r="D1326"/>
      <c r="E1326"/>
      <c r="F1326"/>
      <c r="G1326"/>
      <c r="H1326"/>
      <c r="I1326"/>
      <c r="J1326"/>
      <c r="K1326"/>
      <c r="L1326"/>
      <c r="M1326"/>
      <c r="N1326"/>
      <c r="O1326"/>
    </row>
    <row r="1327" spans="1:15" x14ac:dyDescent="0.2">
      <c r="A1327"/>
      <c r="B1327"/>
      <c r="C1327"/>
      <c r="D1327"/>
      <c r="E1327"/>
      <c r="F1327"/>
      <c r="G1327"/>
      <c r="H1327"/>
      <c r="I1327"/>
      <c r="J1327"/>
      <c r="K1327"/>
      <c r="L1327"/>
      <c r="M1327"/>
      <c r="N1327"/>
      <c r="O1327"/>
    </row>
    <row r="1328" spans="1:15" x14ac:dyDescent="0.2">
      <c r="A1328"/>
      <c r="B1328"/>
      <c r="C1328"/>
      <c r="D1328"/>
      <c r="E1328"/>
      <c r="F1328"/>
      <c r="G1328"/>
      <c r="H1328"/>
      <c r="I1328"/>
      <c r="J1328"/>
      <c r="K1328"/>
      <c r="L1328"/>
      <c r="M1328"/>
      <c r="N1328"/>
      <c r="O1328"/>
    </row>
    <row r="1329" spans="1:15" x14ac:dyDescent="0.2">
      <c r="A1329"/>
      <c r="B1329"/>
      <c r="C1329"/>
      <c r="D1329"/>
      <c r="E1329"/>
      <c r="F1329"/>
      <c r="G1329"/>
      <c r="H1329"/>
      <c r="I1329"/>
      <c r="J1329"/>
      <c r="K1329"/>
      <c r="L1329"/>
      <c r="M1329"/>
      <c r="N1329"/>
      <c r="O1329"/>
    </row>
    <row r="1330" spans="1:15" x14ac:dyDescent="0.2">
      <c r="A1330"/>
      <c r="B1330"/>
      <c r="C1330"/>
      <c r="D1330"/>
      <c r="E1330"/>
      <c r="F1330"/>
      <c r="G1330"/>
      <c r="H1330"/>
      <c r="I1330"/>
      <c r="J1330"/>
      <c r="K1330"/>
      <c r="L1330"/>
      <c r="M1330"/>
      <c r="N1330"/>
      <c r="O1330"/>
    </row>
    <row r="1331" spans="1:15" x14ac:dyDescent="0.2">
      <c r="A1331"/>
      <c r="B1331"/>
      <c r="C1331"/>
      <c r="D1331"/>
      <c r="E1331"/>
      <c r="F1331"/>
      <c r="G1331"/>
      <c r="H1331"/>
      <c r="I1331"/>
      <c r="J1331"/>
      <c r="K1331"/>
      <c r="L1331"/>
      <c r="M1331"/>
      <c r="N1331"/>
      <c r="O1331"/>
    </row>
    <row r="1332" spans="1:15" x14ac:dyDescent="0.2">
      <c r="A1332"/>
      <c r="B1332"/>
      <c r="C1332"/>
      <c r="D1332"/>
      <c r="E1332"/>
      <c r="F1332"/>
      <c r="G1332"/>
      <c r="H1332"/>
      <c r="I1332"/>
      <c r="J1332"/>
      <c r="K1332"/>
      <c r="L1332"/>
      <c r="M1332"/>
      <c r="N1332"/>
      <c r="O1332"/>
    </row>
    <row r="1333" spans="1:15" x14ac:dyDescent="0.2">
      <c r="A1333"/>
      <c r="B1333"/>
      <c r="C1333"/>
      <c r="D1333"/>
      <c r="E1333"/>
      <c r="F1333"/>
      <c r="G1333"/>
      <c r="H1333"/>
      <c r="I1333"/>
      <c r="J1333"/>
      <c r="K1333"/>
      <c r="L1333"/>
      <c r="M1333"/>
      <c r="N1333"/>
      <c r="O1333"/>
    </row>
    <row r="1334" spans="1:15" x14ac:dyDescent="0.2">
      <c r="A1334"/>
      <c r="B1334"/>
      <c r="C1334"/>
      <c r="D1334"/>
      <c r="E1334"/>
      <c r="F1334"/>
      <c r="G1334"/>
      <c r="H1334"/>
      <c r="I1334"/>
      <c r="J1334"/>
      <c r="K1334"/>
      <c r="L1334"/>
      <c r="M1334"/>
      <c r="N1334"/>
      <c r="O1334"/>
    </row>
    <row r="1335" spans="1:15" x14ac:dyDescent="0.2">
      <c r="A1335"/>
      <c r="B1335"/>
      <c r="C1335"/>
      <c r="D1335"/>
      <c r="E1335"/>
      <c r="F1335"/>
      <c r="G1335"/>
      <c r="H1335"/>
      <c r="I1335"/>
      <c r="J1335"/>
      <c r="K1335"/>
      <c r="L1335"/>
      <c r="M1335"/>
      <c r="N1335"/>
      <c r="O1335"/>
    </row>
    <row r="1336" spans="1:15" x14ac:dyDescent="0.2">
      <c r="A1336"/>
      <c r="B1336"/>
      <c r="C1336"/>
      <c r="D1336"/>
      <c r="E1336"/>
      <c r="F1336"/>
      <c r="G1336"/>
      <c r="H1336"/>
      <c r="I1336"/>
      <c r="J1336"/>
      <c r="K1336"/>
      <c r="L1336"/>
      <c r="M1336"/>
      <c r="N1336"/>
      <c r="O1336"/>
    </row>
    <row r="1337" spans="1:15" x14ac:dyDescent="0.2">
      <c r="A1337"/>
      <c r="B1337"/>
      <c r="C1337"/>
      <c r="D1337"/>
      <c r="E1337"/>
      <c r="F1337"/>
      <c r="G1337"/>
      <c r="H1337"/>
      <c r="I1337"/>
      <c r="J1337"/>
      <c r="K1337"/>
      <c r="L1337"/>
      <c r="M1337"/>
      <c r="N1337"/>
      <c r="O1337"/>
    </row>
    <row r="1338" spans="1:15" x14ac:dyDescent="0.2">
      <c r="A1338"/>
      <c r="B1338"/>
      <c r="C1338"/>
      <c r="D1338"/>
      <c r="E1338"/>
      <c r="F1338"/>
      <c r="G1338"/>
      <c r="H1338"/>
      <c r="I1338"/>
      <c r="J1338"/>
      <c r="K1338"/>
      <c r="L1338"/>
      <c r="M1338"/>
      <c r="N1338"/>
      <c r="O1338"/>
    </row>
    <row r="1339" spans="1:15" x14ac:dyDescent="0.2">
      <c r="A1339"/>
      <c r="B1339"/>
      <c r="C1339"/>
      <c r="D1339"/>
      <c r="E1339"/>
      <c r="F1339"/>
      <c r="G1339"/>
      <c r="H1339"/>
      <c r="I1339"/>
      <c r="J1339"/>
      <c r="K1339"/>
      <c r="L1339"/>
      <c r="M1339"/>
      <c r="N1339"/>
      <c r="O1339"/>
    </row>
    <row r="1340" spans="1:15" x14ac:dyDescent="0.2">
      <c r="A1340"/>
      <c r="B1340"/>
      <c r="C1340"/>
      <c r="D1340"/>
      <c r="E1340"/>
      <c r="F1340"/>
      <c r="G1340"/>
      <c r="H1340"/>
      <c r="I1340"/>
      <c r="J1340"/>
      <c r="K1340"/>
      <c r="L1340"/>
      <c r="M1340"/>
      <c r="N1340"/>
      <c r="O1340"/>
    </row>
    <row r="1341" spans="1:15" x14ac:dyDescent="0.2">
      <c r="A1341"/>
      <c r="B1341"/>
      <c r="C1341"/>
      <c r="D1341"/>
      <c r="E1341"/>
      <c r="F1341"/>
      <c r="G1341"/>
      <c r="H1341"/>
      <c r="I1341"/>
      <c r="J1341"/>
      <c r="K1341"/>
      <c r="L1341"/>
      <c r="M1341"/>
      <c r="N1341"/>
      <c r="O1341"/>
    </row>
    <row r="1342" spans="1:15" x14ac:dyDescent="0.2">
      <c r="A1342"/>
      <c r="B1342"/>
      <c r="C1342"/>
      <c r="D1342"/>
      <c r="E1342"/>
      <c r="F1342"/>
      <c r="G1342"/>
      <c r="H1342"/>
      <c r="I1342"/>
      <c r="J1342"/>
      <c r="K1342"/>
      <c r="L1342"/>
      <c r="M1342"/>
      <c r="N1342"/>
      <c r="O1342"/>
    </row>
    <row r="1343" spans="1:15" x14ac:dyDescent="0.2">
      <c r="A1343"/>
      <c r="B1343"/>
      <c r="C1343"/>
      <c r="D1343"/>
      <c r="E1343"/>
      <c r="F1343"/>
      <c r="G1343"/>
      <c r="H1343"/>
      <c r="I1343"/>
      <c r="J1343"/>
      <c r="K1343"/>
      <c r="L1343"/>
      <c r="M1343"/>
      <c r="N1343"/>
      <c r="O1343"/>
    </row>
    <row r="1344" spans="1:15" x14ac:dyDescent="0.2">
      <c r="A1344"/>
      <c r="B1344"/>
      <c r="C1344"/>
      <c r="D1344"/>
      <c r="E1344"/>
      <c r="F1344"/>
      <c r="G1344"/>
      <c r="H1344"/>
      <c r="I1344"/>
      <c r="J1344"/>
      <c r="K1344"/>
      <c r="L1344"/>
      <c r="M1344"/>
      <c r="N1344"/>
      <c r="O1344"/>
    </row>
    <row r="1345" spans="1:15" x14ac:dyDescent="0.2">
      <c r="A1345"/>
      <c r="B1345"/>
      <c r="C1345"/>
      <c r="D1345"/>
      <c r="E1345"/>
      <c r="F1345"/>
      <c r="G1345"/>
      <c r="H1345"/>
      <c r="I1345"/>
      <c r="J1345"/>
      <c r="K1345"/>
      <c r="L1345"/>
      <c r="M1345"/>
      <c r="N1345"/>
      <c r="O1345"/>
    </row>
    <row r="1346" spans="1:15" x14ac:dyDescent="0.2">
      <c r="A1346"/>
      <c r="B1346"/>
      <c r="C1346"/>
      <c r="D1346"/>
      <c r="E1346"/>
      <c r="F1346"/>
      <c r="G1346"/>
      <c r="H1346"/>
      <c r="I1346"/>
      <c r="J1346"/>
      <c r="K1346"/>
      <c r="L1346"/>
      <c r="M1346"/>
      <c r="N1346"/>
      <c r="O1346"/>
    </row>
    <row r="1347" spans="1:15" x14ac:dyDescent="0.2">
      <c r="A1347"/>
      <c r="B1347"/>
      <c r="C1347"/>
      <c r="D1347"/>
      <c r="E1347"/>
      <c r="F1347"/>
      <c r="G1347"/>
      <c r="H1347"/>
      <c r="I1347"/>
      <c r="J1347"/>
      <c r="K1347"/>
      <c r="L1347"/>
      <c r="M1347"/>
      <c r="N1347"/>
      <c r="O1347"/>
    </row>
    <row r="1348" spans="1:15" x14ac:dyDescent="0.2">
      <c r="A1348"/>
      <c r="B1348"/>
      <c r="C1348"/>
      <c r="D1348"/>
      <c r="E1348"/>
      <c r="F1348"/>
      <c r="G1348"/>
      <c r="H1348"/>
      <c r="I1348"/>
      <c r="J1348"/>
      <c r="K1348"/>
      <c r="L1348"/>
      <c r="M1348"/>
      <c r="N1348"/>
      <c r="O1348"/>
    </row>
    <row r="1349" spans="1:15" x14ac:dyDescent="0.2">
      <c r="A1349"/>
      <c r="B1349"/>
      <c r="C1349"/>
      <c r="D1349"/>
      <c r="E1349"/>
      <c r="F1349"/>
      <c r="G1349"/>
      <c r="H1349"/>
      <c r="I1349"/>
      <c r="J1349"/>
      <c r="K1349"/>
      <c r="L1349"/>
      <c r="M1349"/>
      <c r="N1349"/>
      <c r="O1349"/>
    </row>
    <row r="1350" spans="1:15" x14ac:dyDescent="0.2">
      <c r="A1350"/>
      <c r="B1350"/>
      <c r="C1350"/>
      <c r="D1350"/>
      <c r="E1350"/>
      <c r="F1350"/>
      <c r="G1350"/>
      <c r="H1350"/>
      <c r="I1350"/>
      <c r="J1350"/>
      <c r="K1350"/>
      <c r="L1350"/>
      <c r="M1350"/>
      <c r="N1350"/>
      <c r="O1350"/>
    </row>
    <row r="1351" spans="1:15" x14ac:dyDescent="0.2">
      <c r="A1351"/>
      <c r="B1351"/>
      <c r="C1351"/>
      <c r="D1351"/>
      <c r="E1351"/>
      <c r="F1351"/>
      <c r="G1351"/>
      <c r="H1351"/>
      <c r="I1351"/>
      <c r="J1351"/>
      <c r="K1351"/>
      <c r="L1351"/>
      <c r="M1351"/>
      <c r="N1351"/>
      <c r="O1351"/>
    </row>
    <row r="1352" spans="1:15" x14ac:dyDescent="0.2">
      <c r="A1352"/>
      <c r="B1352"/>
      <c r="C1352"/>
      <c r="D1352"/>
      <c r="E1352"/>
      <c r="F1352"/>
      <c r="G1352"/>
      <c r="H1352"/>
      <c r="I1352"/>
      <c r="J1352"/>
      <c r="K1352"/>
      <c r="L1352"/>
      <c r="M1352"/>
      <c r="N1352"/>
      <c r="O1352"/>
    </row>
    <row r="1353" spans="1:15" x14ac:dyDescent="0.2">
      <c r="A1353"/>
      <c r="B1353"/>
      <c r="C1353"/>
      <c r="D1353"/>
      <c r="E1353"/>
      <c r="F1353"/>
      <c r="G1353"/>
      <c r="H1353"/>
      <c r="I1353"/>
      <c r="J1353"/>
      <c r="K1353"/>
      <c r="L1353"/>
      <c r="M1353"/>
      <c r="N1353"/>
      <c r="O1353"/>
    </row>
    <row r="1354" spans="1:15" x14ac:dyDescent="0.2">
      <c r="A1354"/>
      <c r="B1354"/>
      <c r="C1354"/>
      <c r="D1354"/>
      <c r="E1354"/>
      <c r="F1354"/>
      <c r="G1354"/>
      <c r="H1354"/>
      <c r="I1354"/>
      <c r="J1354"/>
      <c r="K1354"/>
      <c r="L1354"/>
      <c r="M1354"/>
      <c r="N1354"/>
      <c r="O1354"/>
    </row>
    <row r="1355" spans="1:15" x14ac:dyDescent="0.2">
      <c r="A1355"/>
      <c r="B1355"/>
      <c r="C1355"/>
      <c r="D1355"/>
      <c r="E1355"/>
      <c r="F1355"/>
      <c r="G1355"/>
      <c r="H1355"/>
      <c r="I1355"/>
      <c r="J1355"/>
      <c r="K1355"/>
      <c r="L1355"/>
      <c r="M1355"/>
      <c r="N1355"/>
      <c r="O1355"/>
    </row>
    <row r="1356" spans="1:15" x14ac:dyDescent="0.2">
      <c r="A1356"/>
      <c r="B1356"/>
      <c r="C1356"/>
      <c r="D1356"/>
      <c r="E1356"/>
      <c r="F1356"/>
      <c r="G1356"/>
      <c r="H1356"/>
      <c r="I1356"/>
      <c r="J1356"/>
      <c r="K1356"/>
      <c r="L1356"/>
      <c r="M1356"/>
      <c r="N1356"/>
      <c r="O1356"/>
    </row>
    <row r="1357" spans="1:15" x14ac:dyDescent="0.2">
      <c r="A1357"/>
      <c r="B1357"/>
      <c r="C1357"/>
      <c r="D1357"/>
      <c r="E1357"/>
      <c r="F1357"/>
      <c r="G1357"/>
      <c r="H1357"/>
      <c r="I1357"/>
      <c r="J1357"/>
      <c r="K1357"/>
      <c r="L1357"/>
      <c r="M1357"/>
      <c r="N1357"/>
      <c r="O1357"/>
    </row>
    <row r="1358" spans="1:15" x14ac:dyDescent="0.2">
      <c r="A1358"/>
      <c r="B1358"/>
      <c r="C1358"/>
      <c r="D1358"/>
      <c r="E1358"/>
      <c r="F1358"/>
      <c r="G1358"/>
      <c r="H1358"/>
      <c r="I1358"/>
      <c r="J1358"/>
      <c r="K1358"/>
      <c r="L1358"/>
      <c r="M1358"/>
      <c r="N1358"/>
      <c r="O1358"/>
    </row>
    <row r="1359" spans="1:15" x14ac:dyDescent="0.2">
      <c r="A1359"/>
      <c r="B1359"/>
      <c r="C1359"/>
      <c r="D1359"/>
      <c r="E1359"/>
      <c r="F1359"/>
      <c r="G1359"/>
      <c r="H1359"/>
      <c r="I1359"/>
      <c r="J1359"/>
      <c r="K1359"/>
      <c r="L1359"/>
      <c r="M1359"/>
      <c r="N1359"/>
      <c r="O1359"/>
    </row>
    <row r="1360" spans="1:15" x14ac:dyDescent="0.2">
      <c r="A1360"/>
      <c r="B1360"/>
      <c r="C1360"/>
      <c r="D1360"/>
      <c r="E1360"/>
      <c r="F1360"/>
      <c r="G1360"/>
      <c r="H1360"/>
      <c r="I1360"/>
      <c r="J1360"/>
      <c r="K1360"/>
      <c r="L1360"/>
      <c r="M1360"/>
      <c r="N1360"/>
      <c r="O1360"/>
    </row>
    <row r="1361" spans="1:15" x14ac:dyDescent="0.2">
      <c r="A1361"/>
      <c r="B1361"/>
      <c r="C1361"/>
      <c r="D1361"/>
      <c r="E1361"/>
      <c r="F1361"/>
      <c r="G1361"/>
      <c r="H1361"/>
      <c r="I1361"/>
      <c r="J1361"/>
      <c r="K1361"/>
      <c r="L1361"/>
      <c r="M1361"/>
      <c r="N1361"/>
      <c r="O1361"/>
    </row>
    <row r="1362" spans="1:15" x14ac:dyDescent="0.2">
      <c r="A1362"/>
      <c r="B1362"/>
      <c r="C1362"/>
      <c r="D1362"/>
      <c r="E1362"/>
      <c r="F1362"/>
      <c r="G1362"/>
      <c r="H1362"/>
      <c r="I1362"/>
      <c r="J1362"/>
      <c r="K1362"/>
      <c r="L1362"/>
      <c r="M1362"/>
      <c r="N1362"/>
      <c r="O1362"/>
    </row>
    <row r="1363" spans="1:15" x14ac:dyDescent="0.2">
      <c r="A1363"/>
      <c r="B1363"/>
      <c r="C1363"/>
      <c r="D1363"/>
      <c r="E1363"/>
      <c r="F1363"/>
      <c r="G1363"/>
      <c r="H1363"/>
      <c r="I1363"/>
      <c r="J1363"/>
      <c r="K1363"/>
      <c r="L1363"/>
      <c r="M1363"/>
      <c r="N1363"/>
      <c r="O1363"/>
    </row>
    <row r="1364" spans="1:15" x14ac:dyDescent="0.2">
      <c r="A1364"/>
      <c r="B1364"/>
      <c r="C1364"/>
      <c r="D1364"/>
      <c r="E1364"/>
      <c r="F1364"/>
      <c r="G1364"/>
      <c r="H1364"/>
      <c r="I1364"/>
      <c r="J1364"/>
      <c r="K1364"/>
      <c r="L1364"/>
      <c r="M1364"/>
      <c r="N1364"/>
      <c r="O1364"/>
    </row>
    <row r="1365" spans="1:15" x14ac:dyDescent="0.2">
      <c r="A1365"/>
      <c r="B1365"/>
      <c r="C1365"/>
      <c r="D1365"/>
      <c r="E1365"/>
      <c r="F1365"/>
      <c r="G1365"/>
      <c r="H1365"/>
      <c r="I1365"/>
      <c r="J1365"/>
      <c r="K1365"/>
      <c r="L1365"/>
      <c r="M1365"/>
      <c r="N1365"/>
      <c r="O1365"/>
    </row>
    <row r="1366" spans="1:15" x14ac:dyDescent="0.2">
      <c r="A1366"/>
      <c r="B1366"/>
      <c r="C1366"/>
      <c r="D1366"/>
      <c r="E1366"/>
      <c r="F1366"/>
      <c r="G1366"/>
      <c r="H1366"/>
      <c r="I1366"/>
      <c r="J1366"/>
      <c r="K1366"/>
      <c r="L1366"/>
      <c r="M1366"/>
      <c r="N1366"/>
      <c r="O1366"/>
    </row>
    <row r="1367" spans="1:15" x14ac:dyDescent="0.2">
      <c r="A1367"/>
      <c r="B1367"/>
      <c r="C1367"/>
      <c r="D1367"/>
      <c r="E1367"/>
      <c r="F1367"/>
      <c r="G1367"/>
      <c r="H1367"/>
      <c r="I1367"/>
      <c r="J1367"/>
      <c r="K1367"/>
      <c r="L1367"/>
      <c r="M1367"/>
      <c r="N1367"/>
      <c r="O1367"/>
    </row>
    <row r="1368" spans="1:15" x14ac:dyDescent="0.2">
      <c r="A1368"/>
      <c r="B1368"/>
      <c r="C1368"/>
      <c r="D1368"/>
      <c r="E1368"/>
      <c r="F1368"/>
      <c r="G1368"/>
      <c r="H1368"/>
      <c r="I1368"/>
      <c r="J1368"/>
      <c r="K1368"/>
      <c r="L1368"/>
      <c r="M1368"/>
      <c r="N1368"/>
      <c r="O1368"/>
    </row>
    <row r="1369" spans="1:15" x14ac:dyDescent="0.2">
      <c r="A1369"/>
      <c r="B1369"/>
      <c r="C1369"/>
      <c r="D1369"/>
      <c r="E1369"/>
      <c r="F1369"/>
      <c r="G1369"/>
      <c r="H1369"/>
      <c r="I1369"/>
      <c r="J1369"/>
      <c r="K1369"/>
      <c r="L1369"/>
      <c r="M1369"/>
      <c r="N1369"/>
      <c r="O1369"/>
    </row>
    <row r="1370" spans="1:15" x14ac:dyDescent="0.2">
      <c r="A1370"/>
      <c r="B1370"/>
      <c r="C1370"/>
      <c r="D1370"/>
      <c r="E1370"/>
      <c r="F1370"/>
      <c r="G1370"/>
      <c r="H1370"/>
      <c r="I1370"/>
      <c r="J1370"/>
      <c r="K1370"/>
      <c r="L1370"/>
      <c r="M1370"/>
      <c r="N1370"/>
      <c r="O1370"/>
    </row>
    <row r="1371" spans="1:15" x14ac:dyDescent="0.2">
      <c r="A1371"/>
      <c r="B1371"/>
      <c r="C1371"/>
      <c r="D1371"/>
      <c r="E1371"/>
      <c r="F1371"/>
      <c r="G1371"/>
      <c r="H1371"/>
      <c r="I1371"/>
      <c r="J1371"/>
      <c r="K1371"/>
      <c r="L1371"/>
      <c r="M1371"/>
      <c r="N1371"/>
      <c r="O1371"/>
    </row>
    <row r="1372" spans="1:15" x14ac:dyDescent="0.2">
      <c r="A1372"/>
      <c r="B1372"/>
      <c r="C1372"/>
      <c r="D1372"/>
      <c r="E1372"/>
      <c r="F1372"/>
      <c r="G1372"/>
      <c r="H1372"/>
      <c r="I1372"/>
      <c r="J1372"/>
      <c r="K1372"/>
      <c r="L1372"/>
      <c r="M1372"/>
      <c r="N1372"/>
      <c r="O1372"/>
    </row>
    <row r="1373" spans="1:15" x14ac:dyDescent="0.2">
      <c r="A1373"/>
      <c r="B1373"/>
      <c r="C1373"/>
      <c r="D1373"/>
      <c r="E1373"/>
      <c r="F1373"/>
      <c r="G1373"/>
      <c r="H1373"/>
      <c r="I1373"/>
      <c r="J1373"/>
      <c r="K1373"/>
      <c r="L1373"/>
      <c r="M1373"/>
      <c r="N1373"/>
      <c r="O1373"/>
    </row>
    <row r="1374" spans="1:15" x14ac:dyDescent="0.2">
      <c r="A1374"/>
      <c r="B1374"/>
      <c r="C1374"/>
      <c r="D1374"/>
      <c r="E1374"/>
      <c r="F1374"/>
      <c r="G1374"/>
      <c r="H1374"/>
      <c r="I1374"/>
      <c r="J1374"/>
      <c r="K1374"/>
      <c r="L1374"/>
      <c r="M1374"/>
      <c r="N1374"/>
      <c r="O1374"/>
    </row>
    <row r="1375" spans="1:15" x14ac:dyDescent="0.2">
      <c r="A1375"/>
      <c r="B1375"/>
      <c r="C1375"/>
      <c r="D1375"/>
      <c r="E1375"/>
      <c r="F1375"/>
      <c r="G1375"/>
      <c r="H1375"/>
      <c r="I1375"/>
      <c r="J1375"/>
      <c r="K1375"/>
      <c r="L1375"/>
      <c r="M1375"/>
      <c r="N1375"/>
      <c r="O1375"/>
    </row>
    <row r="1376" spans="1:15" x14ac:dyDescent="0.2">
      <c r="A1376"/>
      <c r="B1376"/>
      <c r="C1376"/>
      <c r="D1376"/>
      <c r="E1376"/>
      <c r="F1376"/>
      <c r="G1376"/>
      <c r="H1376"/>
      <c r="I1376"/>
      <c r="J1376"/>
      <c r="K1376"/>
      <c r="L1376"/>
      <c r="M1376"/>
      <c r="N1376"/>
      <c r="O1376"/>
    </row>
    <row r="1377" spans="1:15" x14ac:dyDescent="0.2">
      <c r="A1377"/>
      <c r="B1377"/>
      <c r="C1377"/>
      <c r="D1377"/>
      <c r="E1377"/>
      <c r="F1377"/>
      <c r="G1377"/>
      <c r="H1377"/>
      <c r="I1377"/>
      <c r="J1377"/>
      <c r="K1377"/>
      <c r="L1377"/>
      <c r="M1377"/>
      <c r="N1377"/>
      <c r="O1377"/>
    </row>
    <row r="1378" spans="1:15" x14ac:dyDescent="0.2">
      <c r="A1378"/>
      <c r="B1378"/>
      <c r="C1378"/>
      <c r="D1378"/>
      <c r="E1378"/>
      <c r="F1378"/>
      <c r="G1378"/>
      <c r="H1378"/>
      <c r="I1378"/>
      <c r="J1378"/>
      <c r="K1378"/>
      <c r="L1378"/>
      <c r="M1378"/>
      <c r="N1378"/>
      <c r="O1378"/>
    </row>
    <row r="1379" spans="1:15" x14ac:dyDescent="0.2">
      <c r="A1379"/>
      <c r="B1379"/>
      <c r="C1379"/>
      <c r="D1379"/>
      <c r="E1379"/>
      <c r="F1379"/>
      <c r="G1379"/>
      <c r="H1379"/>
      <c r="I1379"/>
      <c r="J1379"/>
      <c r="K1379"/>
      <c r="L1379"/>
      <c r="M1379"/>
      <c r="N1379"/>
      <c r="O1379"/>
    </row>
    <row r="1380" spans="1:15" x14ac:dyDescent="0.2">
      <c r="A1380"/>
      <c r="B1380"/>
      <c r="C1380"/>
      <c r="D1380"/>
      <c r="E1380"/>
      <c r="F1380"/>
      <c r="G1380"/>
      <c r="H1380"/>
      <c r="I1380"/>
      <c r="J1380"/>
      <c r="K1380"/>
      <c r="L1380"/>
      <c r="M1380"/>
      <c r="N1380"/>
      <c r="O1380"/>
    </row>
    <row r="1381" spans="1:15" x14ac:dyDescent="0.2">
      <c r="A1381"/>
      <c r="B1381"/>
      <c r="C1381"/>
      <c r="D1381"/>
      <c r="E1381"/>
      <c r="F1381"/>
      <c r="G1381"/>
      <c r="H1381"/>
      <c r="I1381"/>
      <c r="J1381"/>
      <c r="K1381"/>
      <c r="L1381"/>
      <c r="M1381"/>
      <c r="N1381"/>
      <c r="O1381"/>
    </row>
    <row r="1382" spans="1:15" x14ac:dyDescent="0.2">
      <c r="A1382"/>
      <c r="B1382"/>
      <c r="C1382"/>
      <c r="D1382"/>
      <c r="E1382"/>
      <c r="F1382"/>
      <c r="G1382"/>
      <c r="H1382"/>
      <c r="I1382"/>
      <c r="J1382"/>
      <c r="K1382"/>
      <c r="L1382"/>
      <c r="M1382"/>
      <c r="N1382"/>
      <c r="O1382"/>
    </row>
    <row r="1383" spans="1:15" x14ac:dyDescent="0.2">
      <c r="A1383"/>
      <c r="B1383"/>
      <c r="C1383"/>
      <c r="D1383"/>
      <c r="E1383"/>
      <c r="F1383"/>
      <c r="G1383"/>
      <c r="H1383"/>
      <c r="I1383"/>
      <c r="J1383"/>
      <c r="K1383"/>
      <c r="L1383"/>
      <c r="M1383"/>
      <c r="N1383"/>
      <c r="O1383"/>
    </row>
    <row r="1384" spans="1:15" x14ac:dyDescent="0.2">
      <c r="A1384"/>
      <c r="B1384"/>
      <c r="C1384"/>
      <c r="D1384"/>
      <c r="E1384"/>
      <c r="F1384"/>
      <c r="G1384"/>
      <c r="H1384"/>
      <c r="I1384"/>
      <c r="J1384"/>
      <c r="K1384"/>
      <c r="L1384"/>
      <c r="M1384"/>
      <c r="N1384"/>
      <c r="O1384"/>
    </row>
    <row r="1385" spans="1:15" x14ac:dyDescent="0.2">
      <c r="A1385"/>
      <c r="B1385"/>
      <c r="C1385"/>
      <c r="D1385"/>
      <c r="E1385"/>
      <c r="F1385"/>
      <c r="G1385"/>
      <c r="H1385"/>
      <c r="I1385"/>
      <c r="J1385"/>
      <c r="K1385"/>
      <c r="L1385"/>
      <c r="M1385"/>
      <c r="N1385"/>
      <c r="O1385"/>
    </row>
    <row r="1386" spans="1:15" x14ac:dyDescent="0.2">
      <c r="A1386"/>
      <c r="B1386"/>
      <c r="C1386"/>
      <c r="D1386"/>
      <c r="E1386"/>
      <c r="F1386"/>
      <c r="G1386"/>
      <c r="H1386"/>
      <c r="I1386"/>
      <c r="J1386"/>
      <c r="K1386"/>
      <c r="L1386"/>
      <c r="M1386"/>
      <c r="N1386"/>
      <c r="O1386"/>
    </row>
    <row r="1387" spans="1:15" x14ac:dyDescent="0.2">
      <c r="A1387"/>
      <c r="B1387"/>
      <c r="C1387"/>
      <c r="D1387"/>
      <c r="E1387"/>
      <c r="F1387"/>
      <c r="G1387"/>
      <c r="H1387"/>
      <c r="I1387"/>
      <c r="J1387"/>
      <c r="K1387"/>
      <c r="L1387"/>
      <c r="M1387"/>
      <c r="N1387"/>
      <c r="O1387"/>
    </row>
    <row r="1388" spans="1:15" x14ac:dyDescent="0.2">
      <c r="A1388"/>
      <c r="B1388"/>
      <c r="C1388"/>
      <c r="D1388"/>
      <c r="E1388"/>
      <c r="F1388"/>
      <c r="G1388"/>
      <c r="H1388"/>
      <c r="I1388"/>
      <c r="J1388"/>
      <c r="K1388"/>
      <c r="L1388"/>
      <c r="M1388"/>
      <c r="N1388"/>
      <c r="O1388"/>
    </row>
    <row r="1389" spans="1:15" x14ac:dyDescent="0.2">
      <c r="A1389"/>
      <c r="B1389"/>
      <c r="C1389"/>
      <c r="D1389"/>
      <c r="E1389"/>
      <c r="F1389"/>
      <c r="G1389"/>
      <c r="H1389"/>
      <c r="I1389"/>
      <c r="J1389"/>
      <c r="K1389"/>
      <c r="L1389"/>
      <c r="M1389"/>
      <c r="N1389"/>
      <c r="O1389"/>
    </row>
    <row r="1390" spans="1:15" x14ac:dyDescent="0.2">
      <c r="A1390"/>
      <c r="B1390"/>
      <c r="C1390"/>
      <c r="D1390"/>
      <c r="E1390"/>
      <c r="F1390"/>
      <c r="G1390"/>
      <c r="H1390"/>
      <c r="I1390"/>
      <c r="J1390"/>
      <c r="K1390"/>
      <c r="L1390"/>
      <c r="M1390"/>
      <c r="N1390"/>
      <c r="O1390"/>
    </row>
    <row r="1391" spans="1:15" x14ac:dyDescent="0.2">
      <c r="A1391"/>
      <c r="B1391"/>
      <c r="C1391"/>
      <c r="D1391"/>
      <c r="E1391"/>
      <c r="F1391"/>
      <c r="G1391"/>
      <c r="H1391"/>
      <c r="I1391"/>
      <c r="J1391"/>
      <c r="K1391"/>
      <c r="L1391"/>
      <c r="M1391"/>
      <c r="N1391"/>
      <c r="O1391"/>
    </row>
    <row r="1392" spans="1:15" x14ac:dyDescent="0.2">
      <c r="A1392"/>
      <c r="B1392"/>
      <c r="C1392"/>
      <c r="D1392"/>
      <c r="E1392"/>
      <c r="F1392"/>
      <c r="G1392"/>
      <c r="H1392"/>
      <c r="I1392"/>
      <c r="J1392"/>
      <c r="K1392"/>
      <c r="L1392"/>
      <c r="M1392"/>
      <c r="N1392"/>
      <c r="O1392"/>
    </row>
    <row r="1393" spans="1:15" x14ac:dyDescent="0.2">
      <c r="A1393"/>
      <c r="B1393"/>
      <c r="C1393"/>
      <c r="D1393"/>
      <c r="E1393"/>
      <c r="F1393"/>
      <c r="G1393"/>
      <c r="H1393"/>
      <c r="I1393"/>
      <c r="J1393"/>
      <c r="K1393"/>
      <c r="L1393"/>
      <c r="M1393"/>
      <c r="N1393"/>
      <c r="O1393"/>
    </row>
    <row r="1394" spans="1:15" x14ac:dyDescent="0.2">
      <c r="A1394"/>
      <c r="B1394"/>
      <c r="C1394"/>
      <c r="D1394"/>
      <c r="E1394"/>
      <c r="F1394"/>
      <c r="G1394"/>
      <c r="H1394"/>
      <c r="I1394"/>
      <c r="J1394"/>
      <c r="K1394"/>
      <c r="L1394"/>
      <c r="M1394"/>
      <c r="N1394"/>
      <c r="O1394"/>
    </row>
    <row r="1395" spans="1:15" x14ac:dyDescent="0.2">
      <c r="A1395"/>
      <c r="B1395"/>
      <c r="C1395"/>
      <c r="D1395"/>
      <c r="E1395"/>
      <c r="F1395"/>
      <c r="G1395"/>
      <c r="H1395"/>
      <c r="I1395"/>
      <c r="J1395"/>
      <c r="K1395"/>
      <c r="L1395"/>
      <c r="M1395"/>
      <c r="N1395"/>
      <c r="O1395"/>
    </row>
    <row r="1396" spans="1:15" x14ac:dyDescent="0.2">
      <c r="A1396"/>
      <c r="B1396"/>
      <c r="C1396"/>
      <c r="D1396"/>
      <c r="E1396"/>
      <c r="F1396"/>
      <c r="G1396"/>
      <c r="H1396"/>
      <c r="I1396"/>
      <c r="J1396"/>
      <c r="K1396"/>
      <c r="L1396"/>
      <c r="M1396"/>
      <c r="N1396"/>
      <c r="O1396"/>
    </row>
    <row r="1397" spans="1:15" x14ac:dyDescent="0.2">
      <c r="A1397"/>
      <c r="B1397"/>
      <c r="C1397"/>
      <c r="D1397"/>
      <c r="E1397"/>
      <c r="F1397"/>
      <c r="G1397"/>
      <c r="H1397"/>
      <c r="I1397"/>
      <c r="J1397"/>
      <c r="K1397"/>
      <c r="L1397"/>
      <c r="M1397"/>
      <c r="N1397"/>
      <c r="O1397"/>
    </row>
    <row r="1398" spans="1:15" x14ac:dyDescent="0.2">
      <c r="A1398"/>
      <c r="B1398"/>
      <c r="C1398"/>
      <c r="D1398"/>
      <c r="E1398"/>
      <c r="F1398"/>
      <c r="G1398"/>
      <c r="H1398"/>
      <c r="I1398"/>
      <c r="J1398"/>
      <c r="K1398"/>
      <c r="L1398"/>
      <c r="M1398"/>
      <c r="N1398"/>
      <c r="O1398"/>
    </row>
    <row r="1399" spans="1:15" x14ac:dyDescent="0.2">
      <c r="A1399"/>
      <c r="B1399"/>
      <c r="C1399"/>
      <c r="D1399"/>
      <c r="E1399"/>
      <c r="F1399"/>
      <c r="G1399"/>
      <c r="H1399"/>
      <c r="I1399"/>
      <c r="J1399"/>
      <c r="K1399"/>
      <c r="L1399"/>
      <c r="M1399"/>
      <c r="N1399"/>
      <c r="O1399"/>
    </row>
    <row r="1400" spans="1:15" x14ac:dyDescent="0.2">
      <c r="A1400"/>
      <c r="B1400"/>
      <c r="C1400"/>
      <c r="D1400"/>
      <c r="E1400"/>
      <c r="F1400"/>
      <c r="G1400"/>
      <c r="H1400"/>
      <c r="I1400"/>
      <c r="J1400"/>
      <c r="K1400"/>
      <c r="L1400"/>
      <c r="M1400"/>
      <c r="N1400"/>
      <c r="O1400"/>
    </row>
    <row r="1401" spans="1:15" x14ac:dyDescent="0.2">
      <c r="A1401"/>
      <c r="B1401"/>
      <c r="C1401"/>
      <c r="D1401"/>
      <c r="E1401"/>
      <c r="F1401"/>
      <c r="G1401"/>
      <c r="H1401"/>
      <c r="I1401"/>
      <c r="J1401"/>
      <c r="K1401"/>
      <c r="L1401"/>
      <c r="M1401"/>
      <c r="N1401"/>
      <c r="O1401"/>
    </row>
    <row r="1402" spans="1:15" x14ac:dyDescent="0.2">
      <c r="A1402"/>
      <c r="B1402"/>
      <c r="C1402"/>
      <c r="D1402"/>
      <c r="E1402"/>
      <c r="F1402"/>
      <c r="G1402"/>
      <c r="H1402"/>
      <c r="I1402"/>
      <c r="J1402"/>
      <c r="K1402"/>
      <c r="L1402"/>
      <c r="M1402"/>
      <c r="N1402"/>
      <c r="O1402"/>
    </row>
    <row r="1403" spans="1:15" x14ac:dyDescent="0.2">
      <c r="A1403"/>
      <c r="B1403"/>
      <c r="C1403"/>
      <c r="D1403"/>
      <c r="E1403"/>
      <c r="F1403"/>
      <c r="G1403"/>
      <c r="H1403"/>
      <c r="I1403"/>
      <c r="J1403"/>
      <c r="K1403"/>
      <c r="L1403"/>
      <c r="M1403"/>
      <c r="N1403"/>
      <c r="O1403"/>
    </row>
    <row r="1404" spans="1:15" x14ac:dyDescent="0.2">
      <c r="A1404"/>
      <c r="B1404"/>
      <c r="C1404"/>
      <c r="D1404"/>
      <c r="E1404"/>
      <c r="F1404"/>
      <c r="G1404"/>
      <c r="H1404"/>
      <c r="I1404"/>
      <c r="J1404"/>
      <c r="K1404"/>
      <c r="L1404"/>
      <c r="M1404"/>
      <c r="N1404"/>
      <c r="O1404"/>
    </row>
    <row r="1405" spans="1:15" x14ac:dyDescent="0.2">
      <c r="A1405"/>
      <c r="B1405"/>
      <c r="C1405"/>
      <c r="D1405"/>
      <c r="E1405"/>
      <c r="F1405"/>
      <c r="G1405"/>
      <c r="H1405"/>
      <c r="I1405"/>
      <c r="J1405"/>
      <c r="K1405"/>
      <c r="L1405"/>
      <c r="M1405"/>
      <c r="N1405"/>
      <c r="O1405"/>
    </row>
    <row r="1406" spans="1:15" x14ac:dyDescent="0.2">
      <c r="A1406"/>
      <c r="B1406"/>
      <c r="C1406"/>
      <c r="D1406"/>
      <c r="E1406"/>
      <c r="F1406"/>
      <c r="G1406"/>
      <c r="H1406"/>
      <c r="I1406"/>
      <c r="J1406"/>
      <c r="K1406"/>
      <c r="L1406"/>
      <c r="M1406"/>
      <c r="N1406"/>
      <c r="O1406"/>
    </row>
    <row r="1407" spans="1:15" x14ac:dyDescent="0.2">
      <c r="A1407"/>
      <c r="B1407"/>
      <c r="C1407"/>
      <c r="D1407"/>
      <c r="E1407"/>
      <c r="F1407"/>
      <c r="G1407"/>
      <c r="H1407"/>
      <c r="I1407"/>
      <c r="J1407"/>
      <c r="K1407"/>
      <c r="L1407"/>
      <c r="M1407"/>
      <c r="N1407"/>
      <c r="O1407"/>
    </row>
    <row r="1408" spans="1:15" x14ac:dyDescent="0.2">
      <c r="A1408"/>
      <c r="B1408"/>
      <c r="C1408"/>
      <c r="D1408"/>
      <c r="E1408"/>
      <c r="F1408"/>
      <c r="G1408"/>
      <c r="H1408"/>
      <c r="I1408"/>
      <c r="J1408"/>
      <c r="K1408"/>
      <c r="L1408"/>
      <c r="M1408"/>
      <c r="N1408"/>
      <c r="O1408"/>
    </row>
    <row r="1409" spans="1:15" x14ac:dyDescent="0.2">
      <c r="A1409"/>
      <c r="B1409"/>
      <c r="C1409"/>
      <c r="D1409"/>
      <c r="E1409"/>
      <c r="F1409"/>
      <c r="G1409"/>
      <c r="H1409"/>
      <c r="I1409"/>
      <c r="J1409"/>
      <c r="K1409"/>
      <c r="L1409"/>
      <c r="M1409"/>
      <c r="N1409"/>
      <c r="O1409"/>
    </row>
    <row r="1410" spans="1:15" x14ac:dyDescent="0.2">
      <c r="A1410"/>
      <c r="B1410"/>
      <c r="C1410"/>
      <c r="D1410"/>
      <c r="E1410"/>
      <c r="F1410"/>
      <c r="G1410"/>
      <c r="H1410"/>
      <c r="I1410"/>
      <c r="J1410"/>
      <c r="K1410"/>
      <c r="L1410"/>
      <c r="M1410"/>
      <c r="N1410"/>
      <c r="O1410"/>
    </row>
    <row r="1411" spans="1:15" x14ac:dyDescent="0.2">
      <c r="A1411"/>
      <c r="B1411"/>
      <c r="C1411"/>
      <c r="D1411"/>
      <c r="E1411"/>
      <c r="F1411"/>
      <c r="G1411"/>
      <c r="H1411"/>
      <c r="I1411"/>
      <c r="J1411"/>
      <c r="K1411"/>
      <c r="L1411"/>
      <c r="M1411"/>
      <c r="N1411"/>
      <c r="O1411"/>
    </row>
    <row r="1412" spans="1:15" x14ac:dyDescent="0.2">
      <c r="A1412"/>
      <c r="B1412"/>
      <c r="C1412"/>
      <c r="D1412"/>
      <c r="E1412"/>
      <c r="F1412"/>
      <c r="G1412"/>
      <c r="H1412"/>
      <c r="I1412"/>
      <c r="J1412"/>
      <c r="K1412"/>
      <c r="L1412"/>
      <c r="M1412"/>
      <c r="N1412"/>
      <c r="O1412"/>
    </row>
    <row r="1413" spans="1:15" x14ac:dyDescent="0.2">
      <c r="A1413"/>
      <c r="B1413"/>
      <c r="C1413"/>
      <c r="D1413"/>
      <c r="E1413"/>
      <c r="F1413"/>
      <c r="G1413"/>
      <c r="H1413"/>
      <c r="I1413"/>
      <c r="J1413"/>
      <c r="K1413"/>
      <c r="L1413"/>
      <c r="M1413"/>
      <c r="N1413"/>
      <c r="O1413"/>
    </row>
    <row r="1414" spans="1:15" x14ac:dyDescent="0.2">
      <c r="A1414"/>
      <c r="B1414"/>
      <c r="C1414"/>
      <c r="D1414"/>
      <c r="E1414"/>
      <c r="F1414"/>
      <c r="G1414"/>
      <c r="H1414"/>
      <c r="I1414"/>
      <c r="J1414"/>
      <c r="K1414"/>
      <c r="L1414"/>
      <c r="M1414"/>
      <c r="N1414"/>
      <c r="O1414"/>
    </row>
    <row r="1415" spans="1:15" x14ac:dyDescent="0.2">
      <c r="A1415"/>
      <c r="B1415"/>
      <c r="C1415"/>
      <c r="D1415"/>
      <c r="E1415"/>
      <c r="F1415"/>
      <c r="G1415"/>
      <c r="H1415"/>
      <c r="I1415"/>
      <c r="J1415"/>
      <c r="K1415"/>
      <c r="L1415"/>
      <c r="M1415"/>
      <c r="N1415"/>
      <c r="O1415"/>
    </row>
    <row r="1416" spans="1:15" x14ac:dyDescent="0.2">
      <c r="A1416"/>
      <c r="B1416"/>
      <c r="C1416"/>
      <c r="D1416"/>
      <c r="E1416"/>
      <c r="F1416"/>
      <c r="G1416"/>
      <c r="H1416"/>
      <c r="I1416"/>
      <c r="J1416"/>
      <c r="K1416"/>
      <c r="L1416"/>
      <c r="M1416"/>
      <c r="N1416"/>
      <c r="O1416"/>
    </row>
    <row r="1417" spans="1:15" x14ac:dyDescent="0.2">
      <c r="A1417"/>
      <c r="B1417"/>
      <c r="C1417"/>
      <c r="D1417"/>
      <c r="E1417"/>
      <c r="F1417"/>
      <c r="G1417"/>
      <c r="H1417"/>
      <c r="I1417"/>
      <c r="J1417"/>
      <c r="K1417"/>
      <c r="L1417"/>
      <c r="M1417"/>
      <c r="N1417"/>
      <c r="O1417"/>
    </row>
    <row r="1418" spans="1:15" x14ac:dyDescent="0.2">
      <c r="A1418"/>
      <c r="B1418"/>
      <c r="C1418"/>
      <c r="D1418"/>
      <c r="E1418"/>
      <c r="F1418"/>
      <c r="G1418"/>
      <c r="H1418"/>
      <c r="I1418"/>
      <c r="J1418"/>
      <c r="K1418"/>
      <c r="L1418"/>
      <c r="M1418"/>
      <c r="N1418"/>
      <c r="O1418"/>
    </row>
    <row r="1419" spans="1:15" x14ac:dyDescent="0.2">
      <c r="A1419"/>
      <c r="B1419"/>
      <c r="C1419"/>
      <c r="D1419"/>
      <c r="E1419"/>
      <c r="F1419"/>
      <c r="G1419"/>
      <c r="H1419"/>
      <c r="I1419"/>
      <c r="J1419"/>
      <c r="K1419"/>
      <c r="L1419"/>
      <c r="M1419"/>
      <c r="N1419"/>
      <c r="O1419"/>
    </row>
    <row r="1420" spans="1:15" x14ac:dyDescent="0.2">
      <c r="A1420"/>
      <c r="B1420"/>
      <c r="C1420"/>
      <c r="D1420"/>
      <c r="E1420"/>
      <c r="F1420"/>
      <c r="G1420"/>
      <c r="H1420"/>
      <c r="I1420"/>
      <c r="J1420"/>
      <c r="K1420"/>
      <c r="L1420"/>
      <c r="M1420"/>
      <c r="N1420"/>
      <c r="O1420"/>
    </row>
    <row r="1421" spans="1:15" x14ac:dyDescent="0.2">
      <c r="A1421"/>
      <c r="B1421"/>
      <c r="C1421"/>
      <c r="D1421"/>
      <c r="E1421"/>
      <c r="F1421"/>
      <c r="G1421"/>
      <c r="H1421"/>
      <c r="I1421"/>
      <c r="J1421"/>
      <c r="K1421"/>
      <c r="L1421"/>
      <c r="M1421"/>
      <c r="N1421"/>
      <c r="O1421"/>
    </row>
    <row r="1422" spans="1:15" x14ac:dyDescent="0.2">
      <c r="A1422"/>
      <c r="B1422"/>
      <c r="C1422"/>
      <c r="D1422"/>
      <c r="E1422"/>
      <c r="F1422"/>
      <c r="G1422"/>
      <c r="H1422"/>
      <c r="I1422"/>
      <c r="J1422"/>
      <c r="K1422"/>
      <c r="L1422"/>
      <c r="M1422"/>
      <c r="N1422"/>
      <c r="O1422"/>
    </row>
    <row r="1423" spans="1:15" x14ac:dyDescent="0.2">
      <c r="A1423"/>
      <c r="B1423"/>
      <c r="C1423"/>
      <c r="D1423"/>
      <c r="E1423"/>
      <c r="F1423"/>
      <c r="G1423"/>
      <c r="H1423"/>
      <c r="I1423"/>
      <c r="J1423"/>
      <c r="K1423"/>
      <c r="L1423"/>
      <c r="M1423"/>
      <c r="N1423"/>
      <c r="O1423"/>
    </row>
    <row r="1424" spans="1:15" x14ac:dyDescent="0.2">
      <c r="A1424"/>
      <c r="B1424"/>
      <c r="C1424"/>
      <c r="D1424"/>
      <c r="E1424"/>
      <c r="F1424"/>
      <c r="G1424"/>
      <c r="H1424"/>
      <c r="I1424"/>
      <c r="J1424"/>
      <c r="K1424"/>
      <c r="L1424"/>
      <c r="M1424"/>
      <c r="N1424"/>
      <c r="O1424"/>
    </row>
    <row r="1425" spans="1:15" x14ac:dyDescent="0.2">
      <c r="A1425"/>
      <c r="B1425"/>
      <c r="C1425"/>
      <c r="D1425"/>
      <c r="E1425"/>
      <c r="F1425"/>
      <c r="G1425"/>
      <c r="H1425"/>
      <c r="I1425"/>
      <c r="J1425"/>
      <c r="K1425"/>
      <c r="L1425"/>
      <c r="M1425"/>
      <c r="N1425"/>
      <c r="O1425"/>
    </row>
    <row r="1426" spans="1:15" x14ac:dyDescent="0.2">
      <c r="A1426"/>
      <c r="B1426"/>
      <c r="C1426"/>
      <c r="D1426"/>
      <c r="E1426"/>
      <c r="F1426"/>
      <c r="G1426"/>
      <c r="H1426"/>
      <c r="I1426"/>
      <c r="J1426"/>
      <c r="K1426"/>
      <c r="L1426"/>
      <c r="M1426"/>
      <c r="N1426"/>
      <c r="O1426"/>
    </row>
    <row r="1427" spans="1:15" x14ac:dyDescent="0.2">
      <c r="A1427"/>
      <c r="B1427"/>
      <c r="C1427"/>
      <c r="D1427"/>
      <c r="E1427"/>
      <c r="F1427"/>
      <c r="G1427"/>
      <c r="H1427"/>
      <c r="I1427"/>
      <c r="J1427"/>
      <c r="K1427"/>
      <c r="L1427"/>
      <c r="M1427"/>
      <c r="N1427"/>
      <c r="O1427"/>
    </row>
    <row r="1428" spans="1:15" x14ac:dyDescent="0.2">
      <c r="A1428"/>
      <c r="B1428"/>
      <c r="C1428"/>
      <c r="D1428"/>
      <c r="E1428"/>
      <c r="F1428"/>
      <c r="G1428"/>
      <c r="H1428"/>
      <c r="I1428"/>
      <c r="J1428"/>
      <c r="K1428"/>
      <c r="L1428"/>
      <c r="M1428"/>
      <c r="N1428"/>
      <c r="O1428"/>
    </row>
    <row r="1429" spans="1:15" x14ac:dyDescent="0.2">
      <c r="A1429"/>
      <c r="B1429"/>
      <c r="C1429"/>
      <c r="D1429"/>
      <c r="E1429"/>
      <c r="F1429"/>
      <c r="G1429"/>
      <c r="H1429"/>
      <c r="I1429"/>
      <c r="J1429"/>
      <c r="K1429"/>
      <c r="L1429"/>
      <c r="M1429"/>
      <c r="N1429"/>
      <c r="O1429"/>
    </row>
    <row r="1430" spans="1:15" x14ac:dyDescent="0.2">
      <c r="A1430"/>
      <c r="B1430"/>
      <c r="C1430"/>
      <c r="D1430"/>
      <c r="E1430"/>
      <c r="F1430"/>
      <c r="G1430"/>
      <c r="H1430"/>
      <c r="I1430"/>
      <c r="J1430"/>
      <c r="K1430"/>
      <c r="L1430"/>
      <c r="M1430"/>
      <c r="N1430"/>
      <c r="O1430"/>
    </row>
    <row r="1431" spans="1:15" x14ac:dyDescent="0.2">
      <c r="A1431"/>
      <c r="B1431"/>
      <c r="C1431"/>
      <c r="D1431"/>
      <c r="E1431"/>
      <c r="F1431"/>
      <c r="G1431"/>
      <c r="H1431"/>
      <c r="I1431"/>
      <c r="J1431"/>
      <c r="K1431"/>
      <c r="L1431"/>
      <c r="M1431"/>
      <c r="N1431"/>
      <c r="O1431"/>
    </row>
    <row r="1432" spans="1:15" x14ac:dyDescent="0.2">
      <c r="A1432"/>
      <c r="B1432"/>
      <c r="C1432"/>
      <c r="D1432"/>
      <c r="E1432"/>
      <c r="F1432"/>
      <c r="G1432"/>
      <c r="H1432"/>
      <c r="I1432"/>
      <c r="J1432"/>
      <c r="K1432"/>
      <c r="L1432"/>
      <c r="M1432"/>
      <c r="N1432"/>
      <c r="O1432"/>
    </row>
    <row r="1433" spans="1:15" x14ac:dyDescent="0.2">
      <c r="A1433"/>
      <c r="B1433"/>
      <c r="C1433"/>
      <c r="D1433"/>
      <c r="E1433"/>
      <c r="F1433"/>
      <c r="G1433"/>
      <c r="H1433"/>
      <c r="I1433"/>
      <c r="J1433"/>
      <c r="K1433"/>
      <c r="L1433"/>
      <c r="M1433"/>
      <c r="N1433"/>
      <c r="O1433"/>
    </row>
    <row r="1434" spans="1:15" x14ac:dyDescent="0.2">
      <c r="A1434"/>
      <c r="B1434"/>
      <c r="C1434"/>
      <c r="D1434"/>
      <c r="E1434"/>
      <c r="F1434"/>
      <c r="G1434"/>
      <c r="H1434"/>
      <c r="I1434"/>
      <c r="J1434"/>
      <c r="K1434"/>
      <c r="L1434"/>
      <c r="M1434"/>
      <c r="N1434"/>
      <c r="O1434"/>
    </row>
    <row r="1435" spans="1:15" x14ac:dyDescent="0.2">
      <c r="A1435"/>
      <c r="B1435"/>
      <c r="C1435"/>
      <c r="D1435"/>
      <c r="E1435"/>
      <c r="F1435"/>
      <c r="G1435"/>
      <c r="H1435"/>
      <c r="I1435"/>
      <c r="J1435"/>
      <c r="K1435"/>
      <c r="L1435"/>
      <c r="M1435"/>
      <c r="N1435"/>
      <c r="O1435"/>
    </row>
    <row r="1436" spans="1:15" x14ac:dyDescent="0.2">
      <c r="A1436"/>
      <c r="B1436"/>
      <c r="C1436"/>
      <c r="D1436"/>
      <c r="E1436"/>
      <c r="F1436"/>
      <c r="G1436"/>
      <c r="H1436"/>
      <c r="I1436"/>
      <c r="J1436"/>
      <c r="K1436"/>
      <c r="L1436"/>
      <c r="M1436"/>
      <c r="N1436"/>
      <c r="O1436"/>
    </row>
    <row r="1437" spans="1:15" x14ac:dyDescent="0.2">
      <c r="A1437"/>
      <c r="B1437"/>
      <c r="C1437"/>
      <c r="D1437"/>
      <c r="E1437"/>
      <c r="F1437"/>
      <c r="G1437"/>
      <c r="H1437"/>
      <c r="I1437"/>
      <c r="J1437"/>
      <c r="K1437"/>
      <c r="L1437"/>
      <c r="M1437"/>
      <c r="N1437"/>
      <c r="O1437"/>
    </row>
    <row r="1438" spans="1:15" x14ac:dyDescent="0.2">
      <c r="A1438"/>
      <c r="B1438"/>
      <c r="C1438"/>
      <c r="D1438"/>
      <c r="E1438"/>
      <c r="F1438"/>
      <c r="G1438"/>
      <c r="H1438"/>
      <c r="I1438"/>
      <c r="J1438"/>
      <c r="K1438"/>
      <c r="L1438"/>
      <c r="M1438"/>
      <c r="N1438"/>
      <c r="O1438"/>
    </row>
    <row r="1439" spans="1:15" x14ac:dyDescent="0.2">
      <c r="A1439"/>
      <c r="B1439"/>
      <c r="C1439"/>
      <c r="D1439"/>
      <c r="E1439"/>
      <c r="F1439"/>
      <c r="G1439"/>
      <c r="H1439"/>
      <c r="I1439"/>
      <c r="J1439"/>
      <c r="K1439"/>
      <c r="L1439"/>
      <c r="M1439"/>
      <c r="N1439"/>
      <c r="O1439"/>
    </row>
    <row r="1440" spans="1:15" x14ac:dyDescent="0.2">
      <c r="A1440"/>
      <c r="B1440"/>
      <c r="C1440"/>
      <c r="D1440"/>
      <c r="E1440"/>
      <c r="F1440"/>
      <c r="G1440"/>
      <c r="H1440"/>
      <c r="I1440"/>
      <c r="J1440"/>
      <c r="K1440"/>
      <c r="L1440"/>
      <c r="M1440"/>
      <c r="N1440"/>
      <c r="O1440"/>
    </row>
    <row r="1441" spans="1:15" x14ac:dyDescent="0.2">
      <c r="A1441"/>
      <c r="B1441"/>
      <c r="C1441"/>
      <c r="D1441"/>
      <c r="E1441"/>
      <c r="F1441"/>
      <c r="G1441"/>
      <c r="H1441"/>
      <c r="I1441"/>
      <c r="J1441"/>
      <c r="K1441"/>
      <c r="L1441"/>
      <c r="M1441"/>
      <c r="N1441"/>
      <c r="O1441"/>
    </row>
    <row r="1442" spans="1:15" x14ac:dyDescent="0.2">
      <c r="A1442"/>
      <c r="B1442"/>
      <c r="C1442"/>
      <c r="D1442"/>
      <c r="E1442"/>
      <c r="F1442"/>
      <c r="G1442"/>
      <c r="H1442"/>
      <c r="I1442"/>
      <c r="J1442"/>
      <c r="K1442"/>
      <c r="L1442"/>
      <c r="M1442"/>
      <c r="N1442"/>
      <c r="O1442"/>
    </row>
    <row r="1443" spans="1:15" x14ac:dyDescent="0.2">
      <c r="A1443"/>
      <c r="B1443"/>
      <c r="C1443"/>
      <c r="D1443"/>
      <c r="E1443"/>
      <c r="F1443"/>
      <c r="G1443"/>
      <c r="H1443"/>
      <c r="I1443"/>
      <c r="J1443"/>
      <c r="K1443"/>
      <c r="L1443"/>
      <c r="M1443"/>
      <c r="N1443"/>
      <c r="O1443"/>
    </row>
    <row r="1444" spans="1:15" x14ac:dyDescent="0.2">
      <c r="A1444"/>
      <c r="B1444"/>
      <c r="C1444"/>
      <c r="D1444"/>
      <c r="E1444"/>
      <c r="F1444"/>
      <c r="G1444"/>
      <c r="H1444"/>
      <c r="I1444"/>
      <c r="J1444"/>
      <c r="K1444"/>
      <c r="L1444"/>
      <c r="M1444"/>
      <c r="N1444"/>
      <c r="O1444"/>
    </row>
    <row r="1445" spans="1:15" x14ac:dyDescent="0.2">
      <c r="A1445"/>
      <c r="B1445"/>
      <c r="C1445"/>
      <c r="D1445"/>
      <c r="E1445"/>
      <c r="F1445"/>
      <c r="G1445"/>
      <c r="H1445"/>
      <c r="I1445"/>
      <c r="J1445"/>
      <c r="K1445"/>
      <c r="L1445"/>
      <c r="M1445"/>
      <c r="N1445"/>
      <c r="O1445"/>
    </row>
    <row r="1446" spans="1:15" x14ac:dyDescent="0.2">
      <c r="A1446"/>
      <c r="B1446"/>
      <c r="C1446"/>
      <c r="D1446"/>
      <c r="E1446"/>
      <c r="F1446"/>
      <c r="G1446"/>
      <c r="H1446"/>
      <c r="I1446"/>
      <c r="J1446"/>
      <c r="K1446"/>
      <c r="L1446"/>
      <c r="M1446"/>
      <c r="N1446"/>
      <c r="O1446"/>
    </row>
    <row r="1447" spans="1:15" x14ac:dyDescent="0.2">
      <c r="A1447"/>
      <c r="B1447"/>
      <c r="C1447"/>
      <c r="D1447"/>
      <c r="E1447"/>
      <c r="F1447"/>
      <c r="G1447"/>
      <c r="H1447"/>
      <c r="I1447"/>
      <c r="J1447"/>
      <c r="K1447"/>
      <c r="L1447"/>
      <c r="M1447"/>
      <c r="N1447"/>
      <c r="O1447"/>
    </row>
    <row r="1448" spans="1:15" x14ac:dyDescent="0.2">
      <c r="A1448"/>
      <c r="B1448"/>
      <c r="C1448"/>
      <c r="D1448"/>
      <c r="E1448"/>
      <c r="F1448"/>
      <c r="G1448"/>
      <c r="H1448"/>
      <c r="I1448"/>
      <c r="J1448"/>
      <c r="K1448"/>
      <c r="L1448"/>
      <c r="M1448"/>
      <c r="N1448"/>
      <c r="O1448"/>
    </row>
    <row r="1449" spans="1:15" x14ac:dyDescent="0.2">
      <c r="A1449"/>
      <c r="B1449"/>
      <c r="C1449"/>
      <c r="D1449"/>
      <c r="E1449"/>
      <c r="F1449"/>
      <c r="G1449"/>
      <c r="H1449"/>
      <c r="I1449"/>
      <c r="J1449"/>
      <c r="K1449"/>
      <c r="L1449"/>
      <c r="M1449"/>
      <c r="N1449"/>
      <c r="O1449"/>
    </row>
    <row r="1450" spans="1:15" x14ac:dyDescent="0.2">
      <c r="A1450"/>
      <c r="B1450"/>
      <c r="C1450"/>
      <c r="D1450"/>
      <c r="E1450"/>
      <c r="F1450"/>
      <c r="G1450"/>
      <c r="H1450"/>
      <c r="I1450"/>
      <c r="J1450"/>
      <c r="K1450"/>
      <c r="L1450"/>
      <c r="M1450"/>
      <c r="N1450"/>
      <c r="O1450"/>
    </row>
  </sheetData>
  <sheetProtection selectLockedCells="1"/>
  <mergeCells count="70">
    <mergeCell ref="B54:D54"/>
    <mergeCell ref="B55:D55"/>
    <mergeCell ref="B60:D60"/>
    <mergeCell ref="B61:D61"/>
    <mergeCell ref="N21:N22"/>
    <mergeCell ref="O21:O22"/>
    <mergeCell ref="A3:K3"/>
    <mergeCell ref="F20:H20"/>
    <mergeCell ref="J20:L20"/>
    <mergeCell ref="N20:O20"/>
    <mergeCell ref="D14:O14"/>
    <mergeCell ref="B10:O10"/>
    <mergeCell ref="B11:O11"/>
    <mergeCell ref="D21:D22"/>
    <mergeCell ref="A82:K82"/>
    <mergeCell ref="B89:O89"/>
    <mergeCell ref="B90:O90"/>
    <mergeCell ref="D93:O93"/>
    <mergeCell ref="F97:H97"/>
    <mergeCell ref="J97:L97"/>
    <mergeCell ref="N97:O97"/>
    <mergeCell ref="D98:D99"/>
    <mergeCell ref="N98:N99"/>
    <mergeCell ref="O98:O99"/>
    <mergeCell ref="B131:D131"/>
    <mergeCell ref="B132:D132"/>
    <mergeCell ref="B137:D137"/>
    <mergeCell ref="B138:D138"/>
    <mergeCell ref="A159:K159"/>
    <mergeCell ref="B166:O166"/>
    <mergeCell ref="B167:O167"/>
    <mergeCell ref="D170:O170"/>
    <mergeCell ref="F174:H174"/>
    <mergeCell ref="J174:L174"/>
    <mergeCell ref="N174:O174"/>
    <mergeCell ref="D175:D176"/>
    <mergeCell ref="N175:N176"/>
    <mergeCell ref="O175:O176"/>
    <mergeCell ref="B208:D208"/>
    <mergeCell ref="B209:D209"/>
    <mergeCell ref="B214:D214"/>
    <mergeCell ref="B215:D215"/>
    <mergeCell ref="A236:K236"/>
    <mergeCell ref="B243:O243"/>
    <mergeCell ref="B244:O244"/>
    <mergeCell ref="D247:O247"/>
    <mergeCell ref="F251:H251"/>
    <mergeCell ref="J251:L251"/>
    <mergeCell ref="N251:O251"/>
    <mergeCell ref="D252:D253"/>
    <mergeCell ref="N252:N253"/>
    <mergeCell ref="O252:O253"/>
    <mergeCell ref="B285:D285"/>
    <mergeCell ref="B286:D286"/>
    <mergeCell ref="B291:D291"/>
    <mergeCell ref="B292:D292"/>
    <mergeCell ref="A313:K313"/>
    <mergeCell ref="B320:O320"/>
    <mergeCell ref="B321:O321"/>
    <mergeCell ref="B362:D362"/>
    <mergeCell ref="B363:D363"/>
    <mergeCell ref="B368:D368"/>
    <mergeCell ref="B369:D369"/>
    <mergeCell ref="D324:O324"/>
    <mergeCell ref="F328:H328"/>
    <mergeCell ref="J328:L328"/>
    <mergeCell ref="N328:O328"/>
    <mergeCell ref="D329:D330"/>
    <mergeCell ref="N329:N330"/>
    <mergeCell ref="O329:O330"/>
  </mergeCells>
  <phoneticPr fontId="36" type="noConversion"/>
  <dataValidations count="4">
    <dataValidation type="list" allowBlank="1" showInputMessage="1" showErrorMessage="1" sqref="E48:E49 E40:E46 E23:E38 E51:E57 E60">
      <formula1>#REF!</formula1>
    </dataValidation>
    <dataValidation type="list" allowBlank="1" showInputMessage="1" showErrorMessage="1" prompt="Select Charge Unit - monthly, per kWh, per kW" sqref="D48:D49 D40:D46 D66 D23:D38 D72 D51:D60">
      <formula1>"Monthly, per kWh, per kW"</formula1>
    </dataValidation>
    <dataValidation type="list" allowBlank="1" showInputMessage="1" showErrorMessage="1" sqref="E72 E66 E58:E59">
      <formula1>#REF!</formula1>
    </dataValidation>
    <dataValidation type="list" allowBlank="1" showInputMessage="1" showErrorMessage="1" sqref="D16">
      <formula1>"TOU, non-TOU"</formula1>
    </dataValidation>
  </dataValidations>
  <pageMargins left="0.75" right="0.75" top="1" bottom="1" header="0.5" footer="0.5"/>
  <pageSetup scale="50" orientation="portrait" r:id="rId1"/>
  <headerFooter alignWithMargins="0">
    <oddFooter>&amp;C9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56" r:id="rId4" name="Option Button 44">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8957" r:id="rId5" name="Option Button 45">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T41"/>
  <sheetViews>
    <sheetView showGridLines="0" topLeftCell="A7" workbookViewId="0">
      <selection activeCell="H2" sqref="H2"/>
    </sheetView>
  </sheetViews>
  <sheetFormatPr defaultColWidth="9.140625" defaultRowHeight="12.75" x14ac:dyDescent="0.2"/>
  <cols>
    <col min="1" max="2" width="9.140625" style="216"/>
    <col min="3" max="3" width="15.5703125" style="216" customWidth="1"/>
    <col min="4" max="6" width="14.7109375" style="216" customWidth="1"/>
    <col min="7" max="9" width="20.7109375" style="216" customWidth="1"/>
    <col min="10" max="16384" width="9.140625" style="216"/>
  </cols>
  <sheetData>
    <row r="1" spans="1:9" x14ac:dyDescent="0.2">
      <c r="H1" s="217" t="s">
        <v>419</v>
      </c>
      <c r="I1" s="766" t="str">
        <f>EBNUMBER</f>
        <v>EB-2014-0113</v>
      </c>
    </row>
    <row r="2" spans="1:9" x14ac:dyDescent="0.2">
      <c r="H2" s="217" t="s">
        <v>420</v>
      </c>
      <c r="I2" s="767">
        <v>1</v>
      </c>
    </row>
    <row r="3" spans="1:9" x14ac:dyDescent="0.2">
      <c r="H3" s="217" t="s">
        <v>421</v>
      </c>
      <c r="I3" s="767">
        <v>2</v>
      </c>
    </row>
    <row r="4" spans="1:9" x14ac:dyDescent="0.2">
      <c r="H4" s="217" t="s">
        <v>422</v>
      </c>
      <c r="I4" s="767">
        <v>2</v>
      </c>
    </row>
    <row r="5" spans="1:9" x14ac:dyDescent="0.2">
      <c r="H5" s="217" t="s">
        <v>423</v>
      </c>
      <c r="I5" s="768"/>
    </row>
    <row r="6" spans="1:9" x14ac:dyDescent="0.2">
      <c r="H6" s="217"/>
      <c r="I6" s="766"/>
    </row>
    <row r="7" spans="1:9" x14ac:dyDescent="0.2">
      <c r="H7" s="217" t="s">
        <v>424</v>
      </c>
      <c r="I7" s="1467">
        <v>42119</v>
      </c>
    </row>
    <row r="9" spans="1:9" ht="18" x14ac:dyDescent="0.25">
      <c r="A9" s="1856" t="s">
        <v>893</v>
      </c>
      <c r="B9" s="1967"/>
      <c r="C9" s="1967"/>
      <c r="D9" s="1967"/>
      <c r="E9" s="1967"/>
      <c r="F9" s="1967"/>
      <c r="G9" s="1967"/>
      <c r="H9" s="1967"/>
      <c r="I9" s="1967"/>
    </row>
    <row r="10" spans="1:9" ht="18" x14ac:dyDescent="0.25">
      <c r="A10" s="1856" t="s">
        <v>894</v>
      </c>
      <c r="B10" s="1968"/>
      <c r="C10" s="1968"/>
      <c r="D10" s="1968"/>
      <c r="E10" s="1968"/>
      <c r="F10" s="1968"/>
      <c r="G10" s="1968"/>
      <c r="H10" s="1968"/>
      <c r="I10" s="1968"/>
    </row>
    <row r="11" spans="1:9" ht="18" x14ac:dyDescent="0.25">
      <c r="A11" s="1856" t="s">
        <v>895</v>
      </c>
      <c r="B11" s="1968"/>
      <c r="C11" s="1968"/>
      <c r="D11" s="1968"/>
      <c r="E11" s="1968"/>
      <c r="F11" s="1968"/>
      <c r="G11" s="1968"/>
      <c r="H11" s="1968"/>
      <c r="I11" s="1968"/>
    </row>
    <row r="14" spans="1:9" ht="13.5" thickBot="1" x14ac:dyDescent="0.25"/>
    <row r="15" spans="1:9" ht="12.75" customHeight="1" x14ac:dyDescent="0.2">
      <c r="A15" s="1896" t="s">
        <v>896</v>
      </c>
      <c r="B15" s="1897"/>
      <c r="C15" s="1898"/>
      <c r="D15" s="244">
        <f>TestYear</f>
        <v>2015</v>
      </c>
      <c r="E15" s="244">
        <f>TestYear</f>
        <v>2015</v>
      </c>
      <c r="F15" s="244" t="s">
        <v>110</v>
      </c>
      <c r="G15" s="1905" t="s">
        <v>897</v>
      </c>
      <c r="H15" s="1906"/>
      <c r="I15" s="1907"/>
    </row>
    <row r="16" spans="1:9" x14ac:dyDescent="0.2">
      <c r="A16" s="1899"/>
      <c r="B16" s="1900"/>
      <c r="C16" s="1901"/>
      <c r="D16" s="246" t="s">
        <v>162</v>
      </c>
      <c r="E16" s="246" t="s">
        <v>161</v>
      </c>
      <c r="F16" s="246"/>
      <c r="G16" s="1908" t="s">
        <v>898</v>
      </c>
      <c r="H16" s="1909"/>
      <c r="I16" s="1910"/>
    </row>
    <row r="17" spans="1:9" ht="13.5" thickBot="1" x14ac:dyDescent="0.25">
      <c r="A17" s="1902"/>
      <c r="B17" s="1903"/>
      <c r="C17" s="1904"/>
      <c r="D17" s="247"/>
      <c r="E17" s="247"/>
      <c r="F17" s="247"/>
      <c r="G17" s="1911" t="s">
        <v>899</v>
      </c>
      <c r="H17" s="1912"/>
      <c r="I17" s="1913"/>
    </row>
    <row r="18" spans="1:9" x14ac:dyDescent="0.2">
      <c r="A18" s="2274" t="s">
        <v>900</v>
      </c>
      <c r="B18" s="2275"/>
      <c r="C18" s="2276"/>
      <c r="D18" s="260"/>
      <c r="E18" s="260"/>
      <c r="F18" s="249">
        <f t="shared" ref="F18:F21" si="0">+D18-E18</f>
        <v>0</v>
      </c>
      <c r="G18" s="1917"/>
      <c r="H18" s="1918"/>
      <c r="I18" s="1919"/>
    </row>
    <row r="19" spans="1:9" x14ac:dyDescent="0.2">
      <c r="A19" s="2277" t="s">
        <v>901</v>
      </c>
      <c r="B19" s="2278"/>
      <c r="C19" s="2279"/>
      <c r="D19" s="260"/>
      <c r="E19" s="260"/>
      <c r="F19" s="249">
        <f t="shared" si="0"/>
        <v>0</v>
      </c>
      <c r="G19" s="1917"/>
      <c r="H19" s="1918"/>
      <c r="I19" s="1919"/>
    </row>
    <row r="20" spans="1:9" x14ac:dyDescent="0.2">
      <c r="A20" s="2280" t="s">
        <v>902</v>
      </c>
      <c r="B20" s="2281"/>
      <c r="C20" s="2282"/>
      <c r="D20" s="892">
        <f>(D18+D19)/2</f>
        <v>0</v>
      </c>
      <c r="E20" s="249">
        <f>(E18+E19)/2</f>
        <v>0</v>
      </c>
      <c r="F20" s="249">
        <f>(F18+F19)/2</f>
        <v>0</v>
      </c>
      <c r="G20" s="1917"/>
      <c r="H20" s="1918"/>
      <c r="I20" s="1919"/>
    </row>
    <row r="21" spans="1:9" ht="13.5" thickBot="1" x14ac:dyDescent="0.25">
      <c r="A21" s="2261" t="s">
        <v>903</v>
      </c>
      <c r="B21" s="2262"/>
      <c r="C21" s="2263"/>
      <c r="D21" s="260"/>
      <c r="E21" s="260"/>
      <c r="F21" s="893">
        <f t="shared" si="0"/>
        <v>0</v>
      </c>
      <c r="G21" s="2264"/>
      <c r="H21" s="1918"/>
      <c r="I21" s="1919"/>
    </row>
    <row r="22" spans="1:9" ht="13.5" thickBot="1" x14ac:dyDescent="0.25">
      <c r="A22" s="2265" t="s">
        <v>904</v>
      </c>
      <c r="B22" s="2266"/>
      <c r="C22" s="2267"/>
      <c r="D22" s="894">
        <f>SUM(D20:D21)</f>
        <v>0</v>
      </c>
      <c r="E22" s="894">
        <f>SUM(E20:E21)</f>
        <v>0</v>
      </c>
      <c r="F22" s="894">
        <f>SUM(F20:F21)</f>
        <v>0</v>
      </c>
      <c r="G22" s="2268"/>
      <c r="H22" s="2269"/>
      <c r="I22" s="2270"/>
    </row>
    <row r="23" spans="1:9" ht="13.5" thickTop="1" x14ac:dyDescent="0.2">
      <c r="A23" s="2271"/>
      <c r="B23" s="2272"/>
      <c r="C23" s="2273"/>
      <c r="D23" s="2271"/>
      <c r="E23" s="2272"/>
      <c r="F23" s="2273">
        <f t="shared" ref="F23:F34" si="1">+D23-E23</f>
        <v>0</v>
      </c>
      <c r="G23" s="2271"/>
      <c r="H23" s="2272"/>
      <c r="I23" s="2273"/>
    </row>
    <row r="24" spans="1:9" x14ac:dyDescent="0.2">
      <c r="A24" s="1923" t="s">
        <v>905</v>
      </c>
      <c r="B24" s="1924"/>
      <c r="C24" s="1925"/>
      <c r="D24" s="260"/>
      <c r="E24" s="260"/>
      <c r="F24" s="249">
        <f t="shared" si="1"/>
        <v>0</v>
      </c>
      <c r="G24" s="1917"/>
      <c r="H24" s="1918"/>
      <c r="I24" s="1919"/>
    </row>
    <row r="25" spans="1:9" x14ac:dyDescent="0.2">
      <c r="A25" s="1926"/>
      <c r="B25" s="1927"/>
      <c r="C25" s="1928"/>
      <c r="D25" s="260"/>
      <c r="E25" s="260"/>
      <c r="F25" s="249">
        <f t="shared" si="1"/>
        <v>0</v>
      </c>
      <c r="G25" s="1917"/>
      <c r="H25" s="1918"/>
      <c r="I25" s="1919"/>
    </row>
    <row r="26" spans="1:9" x14ac:dyDescent="0.2">
      <c r="A26" s="1923" t="s">
        <v>179</v>
      </c>
      <c r="B26" s="1924"/>
      <c r="C26" s="1925"/>
      <c r="D26" s="260"/>
      <c r="E26" s="260"/>
      <c r="F26" s="249">
        <f t="shared" si="1"/>
        <v>0</v>
      </c>
      <c r="G26" s="1917"/>
      <c r="H26" s="1918"/>
      <c r="I26" s="1919"/>
    </row>
    <row r="27" spans="1:9" ht="12.75" customHeight="1" x14ac:dyDescent="0.2">
      <c r="A27" s="1923" t="s">
        <v>906</v>
      </c>
      <c r="B27" s="1924"/>
      <c r="C27" s="1925"/>
      <c r="D27" s="260"/>
      <c r="E27" s="260"/>
      <c r="F27" s="249">
        <f t="shared" si="1"/>
        <v>0</v>
      </c>
      <c r="G27" s="1917"/>
      <c r="H27" s="1918"/>
      <c r="I27" s="1919"/>
    </row>
    <row r="28" spans="1:9" x14ac:dyDescent="0.2">
      <c r="A28" s="1926" t="s">
        <v>907</v>
      </c>
      <c r="B28" s="1927"/>
      <c r="C28" s="1928"/>
      <c r="D28" s="260"/>
      <c r="E28" s="260"/>
      <c r="F28" s="249">
        <f t="shared" si="1"/>
        <v>0</v>
      </c>
      <c r="G28" s="1917"/>
      <c r="H28" s="1918"/>
      <c r="I28" s="1919"/>
    </row>
    <row r="29" spans="1:9" x14ac:dyDescent="0.2">
      <c r="A29" s="1926"/>
      <c r="B29" s="1927"/>
      <c r="C29" s="1928"/>
      <c r="D29" s="260"/>
      <c r="E29" s="260"/>
      <c r="F29" s="249">
        <f t="shared" si="1"/>
        <v>0</v>
      </c>
      <c r="G29" s="1917"/>
      <c r="H29" s="1918"/>
      <c r="I29" s="1919"/>
    </row>
    <row r="30" spans="1:9" x14ac:dyDescent="0.2">
      <c r="A30" s="1923" t="s">
        <v>908</v>
      </c>
      <c r="B30" s="1924"/>
      <c r="C30" s="1925"/>
      <c r="D30" s="260"/>
      <c r="E30" s="260"/>
      <c r="F30" s="249">
        <f t="shared" si="1"/>
        <v>0</v>
      </c>
      <c r="G30" s="1917"/>
      <c r="H30" s="1918"/>
      <c r="I30" s="1919"/>
    </row>
    <row r="31" spans="1:9" x14ac:dyDescent="0.2">
      <c r="A31" s="1914"/>
      <c r="B31" s="1915"/>
      <c r="C31" s="1916"/>
      <c r="D31" s="260"/>
      <c r="E31" s="260"/>
      <c r="F31" s="249">
        <f t="shared" si="1"/>
        <v>0</v>
      </c>
      <c r="G31" s="1917"/>
      <c r="H31" s="1918"/>
      <c r="I31" s="1919"/>
    </row>
    <row r="32" spans="1:9" x14ac:dyDescent="0.2">
      <c r="A32" s="1923"/>
      <c r="B32" s="1924"/>
      <c r="C32" s="1925"/>
      <c r="D32" s="260"/>
      <c r="E32" s="260"/>
      <c r="F32" s="249">
        <f t="shared" si="1"/>
        <v>0</v>
      </c>
      <c r="G32" s="1917"/>
      <c r="H32" s="1918"/>
      <c r="I32" s="1919"/>
    </row>
    <row r="33" spans="1:20" x14ac:dyDescent="0.2">
      <c r="A33" s="1923"/>
      <c r="B33" s="1924"/>
      <c r="C33" s="1925"/>
      <c r="D33" s="260"/>
      <c r="E33" s="260"/>
      <c r="F33" s="249">
        <f t="shared" si="1"/>
        <v>0</v>
      </c>
      <c r="G33" s="1917"/>
      <c r="H33" s="1918"/>
      <c r="I33" s="1919"/>
    </row>
    <row r="34" spans="1:20" ht="13.5" thickBot="1" x14ac:dyDescent="0.25">
      <c r="A34" s="1935" t="s">
        <v>257</v>
      </c>
      <c r="B34" s="1936"/>
      <c r="C34" s="1937"/>
      <c r="D34" s="261"/>
      <c r="E34" s="261"/>
      <c r="F34" s="249">
        <f t="shared" si="1"/>
        <v>0</v>
      </c>
      <c r="G34" s="1938"/>
      <c r="H34" s="1939"/>
      <c r="I34" s="1940"/>
    </row>
    <row r="35" spans="1:20" ht="14.25" customHeight="1" thickTop="1" thickBot="1" x14ac:dyDescent="0.25">
      <c r="A35" s="2258" t="s">
        <v>909</v>
      </c>
      <c r="B35" s="2259"/>
      <c r="C35" s="2260"/>
      <c r="D35" s="90">
        <f>SUM(D24:D34)</f>
        <v>0</v>
      </c>
      <c r="E35" s="90">
        <f>SUM(E24:E34)</f>
        <v>0</v>
      </c>
      <c r="F35" s="90">
        <f>SUM(F24:F34)</f>
        <v>0</v>
      </c>
      <c r="G35" s="1944"/>
      <c r="H35" s="1945"/>
      <c r="I35" s="1946"/>
    </row>
    <row r="38" spans="1:20" ht="12.75" customHeight="1" x14ac:dyDescent="0.2">
      <c r="A38" s="1857" t="s">
        <v>1939</v>
      </c>
      <c r="B38" s="1857"/>
      <c r="C38" s="1857"/>
      <c r="D38" s="1857"/>
      <c r="E38" s="1857"/>
      <c r="F38" s="1857"/>
      <c r="G38" s="1857"/>
      <c r="H38" s="1857"/>
      <c r="I38" s="1857"/>
      <c r="J38" s="685"/>
      <c r="K38" s="685"/>
      <c r="L38" s="685"/>
      <c r="M38" s="685"/>
      <c r="N38" s="685"/>
      <c r="O38" s="685"/>
      <c r="P38" s="685"/>
      <c r="Q38" s="685"/>
      <c r="R38" s="685"/>
      <c r="S38" s="685"/>
      <c r="T38" s="685"/>
    </row>
    <row r="39" spans="1:20" x14ac:dyDescent="0.2">
      <c r="A39" s="1857"/>
      <c r="B39" s="1857"/>
      <c r="C39" s="1857"/>
      <c r="D39" s="1857"/>
      <c r="E39" s="1857"/>
      <c r="F39" s="1857"/>
      <c r="G39" s="1857"/>
      <c r="H39" s="1857"/>
      <c r="I39" s="1857"/>
      <c r="J39" s="685"/>
      <c r="K39" s="685"/>
      <c r="L39" s="685"/>
      <c r="M39" s="685"/>
      <c r="N39" s="685"/>
      <c r="O39" s="685"/>
      <c r="P39" s="685"/>
      <c r="Q39" s="685"/>
      <c r="R39" s="685"/>
      <c r="S39" s="685"/>
      <c r="T39" s="685"/>
    </row>
    <row r="40" spans="1:20" x14ac:dyDescent="0.2">
      <c r="A40" s="1857"/>
      <c r="B40" s="1857"/>
      <c r="C40" s="1857"/>
      <c r="D40" s="1857"/>
      <c r="E40" s="1857"/>
      <c r="F40" s="1857"/>
      <c r="G40" s="1857"/>
      <c r="H40" s="1857"/>
      <c r="I40" s="1857"/>
      <c r="J40" s="685"/>
      <c r="K40" s="685"/>
      <c r="L40" s="685"/>
      <c r="M40" s="685"/>
      <c r="N40" s="685"/>
      <c r="O40" s="685"/>
      <c r="P40" s="685"/>
      <c r="Q40" s="685"/>
      <c r="R40" s="685"/>
      <c r="S40" s="685"/>
      <c r="T40" s="685"/>
    </row>
    <row r="41" spans="1:20" x14ac:dyDescent="0.2">
      <c r="A41" s="1857"/>
      <c r="B41" s="1857"/>
      <c r="C41" s="1857"/>
      <c r="D41" s="1857"/>
      <c r="E41" s="1857"/>
      <c r="F41" s="1857"/>
      <c r="G41" s="1857"/>
      <c r="H41" s="1857"/>
      <c r="I41" s="1857"/>
    </row>
  </sheetData>
  <mergeCells count="45">
    <mergeCell ref="A9:I9"/>
    <mergeCell ref="A10:I10"/>
    <mergeCell ref="A11:I11"/>
    <mergeCell ref="A15:C17"/>
    <mergeCell ref="G15:I15"/>
    <mergeCell ref="G16:I16"/>
    <mergeCell ref="G17:I17"/>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0:C30"/>
    <mergeCell ref="G30:I30"/>
    <mergeCell ref="A31:C31"/>
    <mergeCell ref="G31:I31"/>
    <mergeCell ref="A32:C32"/>
    <mergeCell ref="G32:I32"/>
    <mergeCell ref="A38:I41"/>
    <mergeCell ref="A33:C33"/>
    <mergeCell ref="G33:I33"/>
    <mergeCell ref="A34:C34"/>
    <mergeCell ref="G34:I34"/>
    <mergeCell ref="A35:C35"/>
    <mergeCell ref="G35:I35"/>
  </mergeCells>
  <pageMargins left="0.7" right="0.7" top="0.75" bottom="0.75" header="0.3" footer="0.3"/>
  <pageSetup scale="8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I45"/>
  <sheetViews>
    <sheetView showGridLines="0" workbookViewId="0">
      <selection activeCell="H2" sqref="H2"/>
    </sheetView>
  </sheetViews>
  <sheetFormatPr defaultColWidth="9.140625" defaultRowHeight="12.75" x14ac:dyDescent="0.2"/>
  <cols>
    <col min="1" max="2" width="9.140625" style="216"/>
    <col min="3" max="3" width="15.5703125" style="216" customWidth="1"/>
    <col min="4" max="6" width="15.7109375" style="216" customWidth="1"/>
    <col min="7" max="9" width="20.7109375" style="216" customWidth="1"/>
    <col min="10" max="16384" width="9.140625" style="216"/>
  </cols>
  <sheetData>
    <row r="1" spans="1:9" x14ac:dyDescent="0.2">
      <c r="H1" s="217" t="s">
        <v>419</v>
      </c>
      <c r="I1" s="766" t="str">
        <f>EBNUMBER</f>
        <v>EB-2014-0113</v>
      </c>
    </row>
    <row r="2" spans="1:9" x14ac:dyDescent="0.2">
      <c r="H2" s="217" t="s">
        <v>420</v>
      </c>
      <c r="I2" s="767"/>
    </row>
    <row r="3" spans="1:9" x14ac:dyDescent="0.2">
      <c r="H3" s="217" t="s">
        <v>421</v>
      </c>
      <c r="I3" s="767"/>
    </row>
    <row r="4" spans="1:9" x14ac:dyDescent="0.2">
      <c r="H4" s="217" t="s">
        <v>422</v>
      </c>
      <c r="I4" s="767"/>
    </row>
    <row r="5" spans="1:9" x14ac:dyDescent="0.2">
      <c r="H5" s="217" t="s">
        <v>423</v>
      </c>
      <c r="I5" s="768"/>
    </row>
    <row r="6" spans="1:9" x14ac:dyDescent="0.2">
      <c r="H6" s="217"/>
      <c r="I6" s="766"/>
    </row>
    <row r="7" spans="1:9" x14ac:dyDescent="0.2">
      <c r="H7" s="217" t="s">
        <v>424</v>
      </c>
      <c r="I7" s="768"/>
    </row>
    <row r="9" spans="1:9" ht="18" x14ac:dyDescent="0.25">
      <c r="A9" s="1856" t="s">
        <v>910</v>
      </c>
      <c r="B9" s="1967"/>
      <c r="C9" s="1967"/>
      <c r="D9" s="1967"/>
      <c r="E9" s="1967"/>
      <c r="F9" s="1967"/>
      <c r="G9" s="1967"/>
      <c r="H9" s="1967"/>
      <c r="I9" s="1967"/>
    </row>
    <row r="10" spans="1:9" ht="18" x14ac:dyDescent="0.25">
      <c r="A10" s="1856" t="s">
        <v>894</v>
      </c>
      <c r="B10" s="1968"/>
      <c r="C10" s="1968"/>
      <c r="D10" s="1968"/>
      <c r="E10" s="1968"/>
      <c r="F10" s="1968"/>
      <c r="G10" s="1968"/>
      <c r="H10" s="1968"/>
      <c r="I10" s="1968"/>
    </row>
    <row r="11" spans="1:9" ht="18" x14ac:dyDescent="0.25">
      <c r="A11" s="1856" t="s">
        <v>911</v>
      </c>
      <c r="B11" s="1968"/>
      <c r="C11" s="1968"/>
      <c r="D11" s="1968"/>
      <c r="E11" s="1968"/>
      <c r="F11" s="1968"/>
      <c r="G11" s="1968"/>
      <c r="H11" s="1968"/>
      <c r="I11" s="1968"/>
    </row>
    <row r="14" spans="1:9" ht="13.5" thickBot="1" x14ac:dyDescent="0.25"/>
    <row r="15" spans="1:9" ht="12.75" customHeight="1" x14ac:dyDescent="0.2">
      <c r="A15" s="1896" t="s">
        <v>896</v>
      </c>
      <c r="B15" s="1897"/>
      <c r="C15" s="2286"/>
      <c r="D15" s="927">
        <f>TestYear</f>
        <v>2015</v>
      </c>
      <c r="E15" s="927">
        <f>TestYear</f>
        <v>2015</v>
      </c>
      <c r="F15" s="244" t="s">
        <v>110</v>
      </c>
      <c r="G15" s="1905" t="s">
        <v>897</v>
      </c>
      <c r="H15" s="1906"/>
      <c r="I15" s="1907"/>
    </row>
    <row r="16" spans="1:9" x14ac:dyDescent="0.2">
      <c r="A16" s="1899"/>
      <c r="B16" s="1900"/>
      <c r="C16" s="2287"/>
      <c r="D16" s="928" t="s">
        <v>912</v>
      </c>
      <c r="E16" s="246" t="s">
        <v>161</v>
      </c>
      <c r="F16" s="246"/>
      <c r="G16" s="1908" t="s">
        <v>898</v>
      </c>
      <c r="H16" s="1909"/>
      <c r="I16" s="1910"/>
    </row>
    <row r="17" spans="1:9" x14ac:dyDescent="0.2">
      <c r="A17" s="1899"/>
      <c r="B17" s="1900"/>
      <c r="C17" s="2287"/>
      <c r="D17" s="928" t="s">
        <v>913</v>
      </c>
      <c r="E17" s="928" t="s">
        <v>914</v>
      </c>
      <c r="F17" s="895"/>
      <c r="G17" s="1908" t="s">
        <v>915</v>
      </c>
      <c r="H17" s="1909"/>
      <c r="I17" s="1910"/>
    </row>
    <row r="18" spans="1:9" x14ac:dyDescent="0.2">
      <c r="A18" s="1899"/>
      <c r="B18" s="1900"/>
      <c r="C18" s="2287"/>
      <c r="D18" s="928" t="s">
        <v>916</v>
      </c>
      <c r="E18" s="928" t="s">
        <v>916</v>
      </c>
      <c r="F18" s="246"/>
      <c r="G18" s="1908" t="s">
        <v>917</v>
      </c>
      <c r="H18" s="1931"/>
      <c r="I18" s="1932"/>
    </row>
    <row r="19" spans="1:9" ht="13.5" thickBot="1" x14ac:dyDescent="0.25">
      <c r="A19" s="1902"/>
      <c r="B19" s="1903"/>
      <c r="C19" s="2288"/>
      <c r="D19" s="942" t="s">
        <v>918</v>
      </c>
      <c r="E19" s="247" t="s">
        <v>918</v>
      </c>
      <c r="F19" s="246"/>
      <c r="G19" s="896"/>
      <c r="H19" s="897"/>
      <c r="I19" s="898"/>
    </row>
    <row r="20" spans="1:9" ht="14.25" customHeight="1" x14ac:dyDescent="0.2">
      <c r="A20" s="2274" t="s">
        <v>900</v>
      </c>
      <c r="B20" s="2275"/>
      <c r="C20" s="2276"/>
      <c r="D20" s="260"/>
      <c r="E20" s="260"/>
      <c r="F20" s="249">
        <f t="shared" ref="F20:F23" si="0">+D20-E20</f>
        <v>0</v>
      </c>
      <c r="G20" s="1917"/>
      <c r="H20" s="1918"/>
      <c r="I20" s="1919"/>
    </row>
    <row r="21" spans="1:9" ht="12.75" customHeight="1" x14ac:dyDescent="0.2">
      <c r="A21" s="2277" t="s">
        <v>901</v>
      </c>
      <c r="B21" s="2278"/>
      <c r="C21" s="2279"/>
      <c r="D21" s="260"/>
      <c r="E21" s="260"/>
      <c r="F21" s="249">
        <f t="shared" si="0"/>
        <v>0</v>
      </c>
      <c r="G21" s="1917"/>
      <c r="H21" s="1918"/>
      <c r="I21" s="1919"/>
    </row>
    <row r="22" spans="1:9" ht="12.75" customHeight="1" x14ac:dyDescent="0.2">
      <c r="A22" s="2280" t="s">
        <v>902</v>
      </c>
      <c r="B22" s="2281"/>
      <c r="C22" s="2282"/>
      <c r="D22" s="892">
        <f>(D20+D21)/2</f>
        <v>0</v>
      </c>
      <c r="E22" s="249">
        <f>(E20+E21)/2</f>
        <v>0</v>
      </c>
      <c r="F22" s="249">
        <f>(F20+F21)/2</f>
        <v>0</v>
      </c>
      <c r="G22" s="1917"/>
      <c r="H22" s="1918"/>
      <c r="I22" s="1919"/>
    </row>
    <row r="23" spans="1:9" ht="13.5" customHeight="1" thickBot="1" x14ac:dyDescent="0.25">
      <c r="A23" s="2261" t="s">
        <v>903</v>
      </c>
      <c r="B23" s="2262"/>
      <c r="C23" s="2263"/>
      <c r="D23" s="260"/>
      <c r="E23" s="260"/>
      <c r="F23" s="893">
        <f t="shared" si="0"/>
        <v>0</v>
      </c>
      <c r="G23" s="2264"/>
      <c r="H23" s="1918"/>
      <c r="I23" s="1919"/>
    </row>
    <row r="24" spans="1:9" ht="13.5" customHeight="1" thickBot="1" x14ac:dyDescent="0.25">
      <c r="A24" s="2265" t="s">
        <v>904</v>
      </c>
      <c r="B24" s="2266"/>
      <c r="C24" s="2267"/>
      <c r="D24" s="894">
        <f>SUM(D22:D23)</f>
        <v>0</v>
      </c>
      <c r="E24" s="894">
        <f>SUM(E22:E23)</f>
        <v>0</v>
      </c>
      <c r="F24" s="894">
        <f>SUM(F22:F23)</f>
        <v>0</v>
      </c>
      <c r="G24" s="2268"/>
      <c r="H24" s="2269"/>
      <c r="I24" s="2270"/>
    </row>
    <row r="25" spans="1:9" ht="13.5" thickTop="1" x14ac:dyDescent="0.2">
      <c r="A25" s="2271"/>
      <c r="B25" s="2272"/>
      <c r="C25" s="2273"/>
      <c r="D25" s="2271"/>
      <c r="E25" s="2272"/>
      <c r="F25" s="2273"/>
      <c r="G25" s="2271"/>
      <c r="H25" s="2272"/>
      <c r="I25" s="2273"/>
    </row>
    <row r="26" spans="1:9" x14ac:dyDescent="0.2">
      <c r="A26" s="1923" t="s">
        <v>905</v>
      </c>
      <c r="B26" s="1924"/>
      <c r="C26" s="1925"/>
      <c r="D26" s="260"/>
      <c r="E26" s="260"/>
      <c r="F26" s="249">
        <f t="shared" ref="F26:F36" si="1">+D26-E26</f>
        <v>0</v>
      </c>
      <c r="G26" s="1917"/>
      <c r="H26" s="1918"/>
      <c r="I26" s="1919"/>
    </row>
    <row r="27" spans="1:9" x14ac:dyDescent="0.2">
      <c r="A27" s="1926"/>
      <c r="B27" s="1927"/>
      <c r="C27" s="1928"/>
      <c r="D27" s="260"/>
      <c r="E27" s="260"/>
      <c r="F27" s="249">
        <f t="shared" si="1"/>
        <v>0</v>
      </c>
      <c r="G27" s="1917"/>
      <c r="H27" s="1918"/>
      <c r="I27" s="1919"/>
    </row>
    <row r="28" spans="1:9" x14ac:dyDescent="0.2">
      <c r="A28" s="1923" t="s">
        <v>179</v>
      </c>
      <c r="B28" s="1924"/>
      <c r="C28" s="1925"/>
      <c r="D28" s="260"/>
      <c r="E28" s="260"/>
      <c r="F28" s="249">
        <f t="shared" si="1"/>
        <v>0</v>
      </c>
      <c r="G28" s="1917"/>
      <c r="H28" s="1918"/>
      <c r="I28" s="1919"/>
    </row>
    <row r="29" spans="1:9" ht="12.75" customHeight="1" x14ac:dyDescent="0.2">
      <c r="A29" s="1923" t="s">
        <v>906</v>
      </c>
      <c r="B29" s="1924"/>
      <c r="C29" s="1925"/>
      <c r="D29" s="260"/>
      <c r="E29" s="260"/>
      <c r="F29" s="249">
        <f t="shared" si="1"/>
        <v>0</v>
      </c>
      <c r="G29" s="1917"/>
      <c r="H29" s="1918"/>
      <c r="I29" s="1919"/>
    </row>
    <row r="30" spans="1:9" x14ac:dyDescent="0.2">
      <c r="A30" s="1926" t="s">
        <v>907</v>
      </c>
      <c r="B30" s="1927"/>
      <c r="C30" s="1928"/>
      <c r="D30" s="260"/>
      <c r="E30" s="260"/>
      <c r="F30" s="249">
        <f t="shared" si="1"/>
        <v>0</v>
      </c>
      <c r="G30" s="1917"/>
      <c r="H30" s="1918"/>
      <c r="I30" s="1919"/>
    </row>
    <row r="31" spans="1:9" x14ac:dyDescent="0.2">
      <c r="A31" s="1926"/>
      <c r="B31" s="1927"/>
      <c r="C31" s="1928"/>
      <c r="D31" s="260"/>
      <c r="E31" s="260"/>
      <c r="F31" s="249">
        <f t="shared" si="1"/>
        <v>0</v>
      </c>
      <c r="G31" s="1917"/>
      <c r="H31" s="1918"/>
      <c r="I31" s="1919"/>
    </row>
    <row r="32" spans="1:9" x14ac:dyDescent="0.2">
      <c r="A32" s="1923" t="s">
        <v>908</v>
      </c>
      <c r="B32" s="1924"/>
      <c r="C32" s="1925"/>
      <c r="D32" s="260"/>
      <c r="E32" s="260"/>
      <c r="F32" s="249">
        <f t="shared" si="1"/>
        <v>0</v>
      </c>
      <c r="G32" s="1917"/>
      <c r="H32" s="1918"/>
      <c r="I32" s="1919"/>
    </row>
    <row r="33" spans="1:9" x14ac:dyDescent="0.2">
      <c r="A33" s="1914"/>
      <c r="B33" s="1915"/>
      <c r="C33" s="1916"/>
      <c r="D33" s="260"/>
      <c r="E33" s="260"/>
      <c r="F33" s="249">
        <f t="shared" si="1"/>
        <v>0</v>
      </c>
      <c r="G33" s="1917"/>
      <c r="H33" s="1918"/>
      <c r="I33" s="1919"/>
    </row>
    <row r="34" spans="1:9" x14ac:dyDescent="0.2">
      <c r="A34" s="1923"/>
      <c r="B34" s="1924"/>
      <c r="C34" s="1925"/>
      <c r="D34" s="260"/>
      <c r="E34" s="260"/>
      <c r="F34" s="249">
        <f t="shared" si="1"/>
        <v>0</v>
      </c>
      <c r="G34" s="1917"/>
      <c r="H34" s="1918"/>
      <c r="I34" s="1919"/>
    </row>
    <row r="35" spans="1:9" x14ac:dyDescent="0.2">
      <c r="A35" s="1923"/>
      <c r="B35" s="1924"/>
      <c r="C35" s="1925"/>
      <c r="D35" s="260"/>
      <c r="E35" s="260"/>
      <c r="F35" s="249">
        <f t="shared" si="1"/>
        <v>0</v>
      </c>
      <c r="G35" s="1917"/>
      <c r="H35" s="1918"/>
      <c r="I35" s="1919"/>
    </row>
    <row r="36" spans="1:9" ht="13.5" thickBot="1" x14ac:dyDescent="0.25">
      <c r="A36" s="1935" t="s">
        <v>257</v>
      </c>
      <c r="B36" s="1936"/>
      <c r="C36" s="1937"/>
      <c r="D36" s="261"/>
      <c r="E36" s="261"/>
      <c r="F36" s="249">
        <f t="shared" si="1"/>
        <v>0</v>
      </c>
      <c r="G36" s="1938"/>
      <c r="H36" s="1939"/>
      <c r="I36" s="1940"/>
    </row>
    <row r="37" spans="1:9" ht="14.25" customHeight="1" thickTop="1" thickBot="1" x14ac:dyDescent="0.25">
      <c r="A37" s="2258" t="s">
        <v>909</v>
      </c>
      <c r="B37" s="2259"/>
      <c r="C37" s="2260"/>
      <c r="D37" s="90">
        <f>SUM(D26:D36)</f>
        <v>0</v>
      </c>
      <c r="E37" s="90">
        <f>SUM(E26:E36)</f>
        <v>0</v>
      </c>
      <c r="F37" s="90">
        <f>SUM(F26:F36)</f>
        <v>0</v>
      </c>
      <c r="G37" s="2283"/>
      <c r="H37" s="2284"/>
      <c r="I37" s="2285"/>
    </row>
    <row r="40" spans="1:9" x14ac:dyDescent="0.2">
      <c r="A40" s="1857" t="s">
        <v>919</v>
      </c>
      <c r="B40" s="1857"/>
      <c r="C40" s="1857"/>
      <c r="D40" s="1857"/>
      <c r="E40" s="1857"/>
      <c r="F40" s="1857"/>
      <c r="G40" s="1857"/>
      <c r="H40" s="1857"/>
      <c r="I40" s="1857"/>
    </row>
    <row r="41" spans="1:9" x14ac:dyDescent="0.2">
      <c r="A41" s="1857"/>
      <c r="B41" s="1857"/>
      <c r="C41" s="1857"/>
      <c r="D41" s="1857"/>
      <c r="E41" s="1857"/>
      <c r="F41" s="1857"/>
      <c r="G41" s="1857"/>
      <c r="H41" s="1857"/>
      <c r="I41" s="1857"/>
    </row>
    <row r="42" spans="1:9" x14ac:dyDescent="0.2">
      <c r="A42" s="1857"/>
      <c r="B42" s="1857"/>
      <c r="C42" s="1857"/>
      <c r="D42" s="1857"/>
      <c r="E42" s="1857"/>
      <c r="F42" s="1857"/>
      <c r="G42" s="1857"/>
      <c r="H42" s="1857"/>
      <c r="I42" s="1857"/>
    </row>
    <row r="43" spans="1:9" x14ac:dyDescent="0.2">
      <c r="A43" s="1857"/>
      <c r="B43" s="1857"/>
      <c r="C43" s="1857"/>
      <c r="D43" s="1857"/>
      <c r="E43" s="1857"/>
      <c r="F43" s="1857"/>
      <c r="G43" s="1857"/>
      <c r="H43" s="1857"/>
      <c r="I43" s="1857"/>
    </row>
    <row r="45" spans="1:9" x14ac:dyDescent="0.2">
      <c r="A45" s="236"/>
    </row>
  </sheetData>
  <mergeCells count="46">
    <mergeCell ref="A9:I9"/>
    <mergeCell ref="A10:I10"/>
    <mergeCell ref="A11:I11"/>
    <mergeCell ref="A15:C19"/>
    <mergeCell ref="G15:I15"/>
    <mergeCell ref="G16:I16"/>
    <mergeCell ref="G17:I17"/>
    <mergeCell ref="G18:I18"/>
    <mergeCell ref="A20:C20"/>
    <mergeCell ref="G20:I20"/>
    <mergeCell ref="A21:C21"/>
    <mergeCell ref="G21:I21"/>
    <mergeCell ref="A22:C22"/>
    <mergeCell ref="G22:I22"/>
    <mergeCell ref="A23:C23"/>
    <mergeCell ref="G23:I23"/>
    <mergeCell ref="A24:C24"/>
    <mergeCell ref="G24:I24"/>
    <mergeCell ref="A25:C25"/>
    <mergeCell ref="D25:F25"/>
    <mergeCell ref="G25:I25"/>
    <mergeCell ref="A26:C26"/>
    <mergeCell ref="G26:I26"/>
    <mergeCell ref="A27:C27"/>
    <mergeCell ref="G27:I27"/>
    <mergeCell ref="A28:C28"/>
    <mergeCell ref="G28:I28"/>
    <mergeCell ref="A29:C29"/>
    <mergeCell ref="G29:I29"/>
    <mergeCell ref="A30:C30"/>
    <mergeCell ref="G30:I30"/>
    <mergeCell ref="A31:C31"/>
    <mergeCell ref="G31:I31"/>
    <mergeCell ref="A32:C32"/>
    <mergeCell ref="G32:I32"/>
    <mergeCell ref="A33:C33"/>
    <mergeCell ref="G33:I33"/>
    <mergeCell ref="A34:C34"/>
    <mergeCell ref="G34:I34"/>
    <mergeCell ref="A40:I43"/>
    <mergeCell ref="A35:C35"/>
    <mergeCell ref="G35:I35"/>
    <mergeCell ref="A36:C36"/>
    <mergeCell ref="G36:I36"/>
    <mergeCell ref="A37:C37"/>
    <mergeCell ref="G37:I37"/>
  </mergeCells>
  <pageMargins left="0.7" right="0.7" top="0.75" bottom="0.75" header="0.3" footer="0.3"/>
  <pageSetup scale="89" orientation="landscape"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dimension ref="A1:N1000"/>
  <sheetViews>
    <sheetView showGridLines="0" tabSelected="1" topLeftCell="A460" zoomScaleNormal="100" workbookViewId="0">
      <selection activeCell="A471" sqref="A471:B471"/>
    </sheetView>
  </sheetViews>
  <sheetFormatPr defaultRowHeight="12.75" x14ac:dyDescent="0.2"/>
  <cols>
    <col min="1" max="1" width="58.28515625" customWidth="1"/>
    <col min="2" max="2" width="16.42578125" customWidth="1"/>
    <col min="3" max="3" width="5.7109375" customWidth="1"/>
    <col min="4" max="4" width="10.28515625" bestFit="1" customWidth="1"/>
    <col min="5" max="5" width="16.7109375" customWidth="1"/>
    <col min="6" max="6" width="14.28515625" customWidth="1"/>
    <col min="7" max="7" width="13.7109375" customWidth="1"/>
    <col min="11" max="11" width="0" hidden="1" customWidth="1"/>
  </cols>
  <sheetData>
    <row r="1" spans="1:14" x14ac:dyDescent="0.2">
      <c r="B1" s="217" t="s">
        <v>419</v>
      </c>
      <c r="C1" s="2308" t="str">
        <f>EBNUMBER</f>
        <v>EB-2014-0113</v>
      </c>
      <c r="D1" s="2308"/>
    </row>
    <row r="2" spans="1:14" x14ac:dyDescent="0.2">
      <c r="B2" s="217" t="s">
        <v>420</v>
      </c>
      <c r="C2" s="2314">
        <v>1</v>
      </c>
      <c r="D2" s="2314"/>
    </row>
    <row r="3" spans="1:14" x14ac:dyDescent="0.2">
      <c r="B3" s="217" t="s">
        <v>421</v>
      </c>
      <c r="C3" s="2314">
        <v>2</v>
      </c>
      <c r="D3" s="2314"/>
      <c r="E3" s="1168"/>
    </row>
    <row r="4" spans="1:14" x14ac:dyDescent="0.2">
      <c r="B4" s="217" t="s">
        <v>422</v>
      </c>
      <c r="C4" s="2314">
        <v>2</v>
      </c>
      <c r="D4" s="2314"/>
    </row>
    <row r="5" spans="1:14" x14ac:dyDescent="0.2">
      <c r="B5" s="217" t="s">
        <v>423</v>
      </c>
      <c r="C5" s="2313"/>
      <c r="D5" s="2313"/>
    </row>
    <row r="6" spans="1:14" x14ac:dyDescent="0.2">
      <c r="B6" s="217"/>
      <c r="C6" s="766"/>
    </row>
    <row r="7" spans="1:14" x14ac:dyDescent="0.2">
      <c r="B7" s="217" t="s">
        <v>424</v>
      </c>
      <c r="C7" s="2312">
        <v>42119</v>
      </c>
      <c r="D7" s="2313"/>
    </row>
    <row r="8" spans="1:14" ht="48.75" customHeight="1" x14ac:dyDescent="0.2">
      <c r="A8" s="1757" t="s">
        <v>1951</v>
      </c>
      <c r="B8" s="1747"/>
      <c r="C8" s="1747"/>
      <c r="D8" s="1747"/>
    </row>
    <row r="9" spans="1:14" ht="4.5" customHeight="1" x14ac:dyDescent="0.2"/>
    <row r="10" spans="1:14" ht="79.5" customHeight="1" x14ac:dyDescent="0.2">
      <c r="A10" s="1752" t="s">
        <v>1784</v>
      </c>
      <c r="B10" s="1752"/>
      <c r="C10" s="1752"/>
      <c r="D10" s="1752"/>
      <c r="E10" s="1255"/>
      <c r="F10" s="1255"/>
      <c r="G10" s="1255"/>
      <c r="H10" s="1255"/>
    </row>
    <row r="11" spans="1:14" ht="21" customHeight="1" x14ac:dyDescent="0.2">
      <c r="A11" s="2309" t="s">
        <v>1295</v>
      </c>
      <c r="B11" s="2309"/>
      <c r="C11" s="2309"/>
      <c r="D11" s="2309"/>
      <c r="E11" s="1171"/>
      <c r="F11" s="1171"/>
      <c r="G11" s="1171"/>
      <c r="H11" s="1171"/>
      <c r="I11" s="1171"/>
      <c r="J11" s="1171"/>
      <c r="K11" s="1171"/>
      <c r="L11" s="1171"/>
      <c r="M11" s="1171"/>
      <c r="N11" s="1171"/>
    </row>
    <row r="12" spans="1:14" x14ac:dyDescent="0.2">
      <c r="G12" s="69"/>
    </row>
    <row r="13" spans="1:14" ht="27" customHeight="1" x14ac:dyDescent="0.2">
      <c r="A13" s="2036" t="s">
        <v>1296</v>
      </c>
      <c r="B13" s="2036"/>
      <c r="C13" s="1310">
        <v>6</v>
      </c>
      <c r="D13" s="13"/>
      <c r="E13" s="13"/>
      <c r="G13" s="13"/>
      <c r="H13" s="13"/>
      <c r="I13" s="13"/>
      <c r="K13" s="13"/>
      <c r="L13" s="13"/>
    </row>
    <row r="14" spans="1:14" x14ac:dyDescent="0.2">
      <c r="C14" s="13"/>
      <c r="D14" s="13"/>
      <c r="E14" s="13"/>
      <c r="F14" s="13"/>
      <c r="G14" s="13"/>
      <c r="H14" s="13"/>
      <c r="I14" s="13"/>
      <c r="J14" s="13"/>
      <c r="K14" s="13"/>
      <c r="L14" s="13"/>
    </row>
    <row r="15" spans="1:14" ht="30" customHeight="1" x14ac:dyDescent="0.2">
      <c r="A15" s="2035" t="s">
        <v>1796</v>
      </c>
      <c r="B15" s="2036"/>
      <c r="C15" s="2036"/>
      <c r="D15" s="2036"/>
      <c r="E15" s="1169"/>
      <c r="F15" s="1311"/>
      <c r="G15" s="1170"/>
      <c r="H15" s="1170"/>
      <c r="I15" s="1170"/>
      <c r="J15" s="1170"/>
      <c r="K15" s="13"/>
      <c r="L15" s="13"/>
    </row>
    <row r="18" spans="1:10" s="1312" customFormat="1" ht="15.75" x14ac:dyDescent="0.2">
      <c r="A18" s="2310" t="s">
        <v>1297</v>
      </c>
      <c r="B18" s="2310"/>
      <c r="C18" s="2310"/>
      <c r="D18" s="2311"/>
      <c r="E18" s="1313"/>
      <c r="F18" s="1313"/>
      <c r="G18" s="1313"/>
      <c r="H18" s="1314"/>
      <c r="I18" s="1315"/>
      <c r="J18" s="1316"/>
    </row>
    <row r="19" spans="1:10" ht="15" customHeight="1" x14ac:dyDescent="0.2">
      <c r="A19" s="2296" t="s">
        <v>1627</v>
      </c>
      <c r="B19" s="2297"/>
      <c r="C19" s="2297"/>
      <c r="D19" s="2298"/>
      <c r="E19" s="1250"/>
      <c r="F19" s="1250"/>
      <c r="G19" s="1250"/>
      <c r="H19" s="1251"/>
      <c r="I19" s="1247"/>
      <c r="J19" s="1248"/>
    </row>
    <row r="20" spans="1:10" ht="12.75" customHeight="1" x14ac:dyDescent="0.2">
      <c r="A20" s="2296" t="s">
        <v>1562</v>
      </c>
      <c r="B20" s="2297"/>
      <c r="C20" s="2297"/>
      <c r="D20" s="2298"/>
      <c r="E20" s="1250"/>
      <c r="F20" s="1247"/>
      <c r="G20" s="1247"/>
      <c r="H20" s="1248"/>
      <c r="I20" s="1247"/>
      <c r="J20" s="1248"/>
    </row>
    <row r="21" spans="1:10" ht="12.75" customHeight="1" x14ac:dyDescent="0.2">
      <c r="A21" s="2296" t="s">
        <v>1485</v>
      </c>
      <c r="B21" s="2297"/>
      <c r="C21" s="2297"/>
      <c r="D21" s="2298"/>
      <c r="E21" s="1250"/>
      <c r="F21" s="1250"/>
      <c r="G21" s="1250"/>
      <c r="H21" s="1251"/>
      <c r="I21" s="1247"/>
      <c r="J21" s="1248"/>
    </row>
    <row r="22" spans="1:10" ht="12.75" customHeight="1" x14ac:dyDescent="0.2">
      <c r="A22" s="2296" t="s">
        <v>1649</v>
      </c>
      <c r="B22" s="2297"/>
      <c r="C22" s="2297"/>
      <c r="D22" s="2298"/>
      <c r="E22" s="1247"/>
      <c r="F22" s="1247"/>
      <c r="G22" s="1247"/>
      <c r="H22" s="1248"/>
      <c r="I22" s="1247"/>
      <c r="J22" s="1248"/>
    </row>
    <row r="23" spans="1:10" ht="12.75" customHeight="1" x14ac:dyDescent="0.2">
      <c r="A23" s="2296" t="s">
        <v>1682</v>
      </c>
      <c r="B23" s="2297"/>
      <c r="C23" s="2297"/>
      <c r="D23" s="2298"/>
      <c r="E23" s="1250"/>
      <c r="F23" s="1250"/>
      <c r="G23" s="1250"/>
      <c r="H23" s="1251"/>
      <c r="I23" s="1247"/>
      <c r="J23" s="1248"/>
    </row>
    <row r="24" spans="1:10" ht="12.75" customHeight="1" x14ac:dyDescent="0.2">
      <c r="A24" s="2296" t="s">
        <v>1597</v>
      </c>
      <c r="B24" s="2297"/>
      <c r="C24" s="2297"/>
      <c r="D24" s="2298"/>
      <c r="E24" s="1247"/>
      <c r="F24" s="1247"/>
      <c r="G24" s="1247"/>
      <c r="H24" s="1248"/>
      <c r="I24" s="1247"/>
      <c r="J24" s="1248"/>
    </row>
    <row r="25" spans="1:10" ht="12.75" hidden="1" customHeight="1" x14ac:dyDescent="0.2">
      <c r="A25" s="1321"/>
      <c r="B25" s="1322"/>
      <c r="C25" s="1322"/>
      <c r="D25" s="1323"/>
      <c r="E25" s="1247"/>
      <c r="F25" s="1247"/>
      <c r="G25" s="1247"/>
      <c r="H25" s="1248"/>
      <c r="I25" s="1173"/>
      <c r="J25" s="1173"/>
    </row>
    <row r="26" spans="1:10" ht="12.75" hidden="1" customHeight="1" x14ac:dyDescent="0.2">
      <c r="A26" s="1318"/>
      <c r="B26" s="1319"/>
      <c r="C26" s="1319"/>
      <c r="D26" s="1320"/>
      <c r="E26" s="1247"/>
      <c r="F26" s="1247"/>
      <c r="G26" s="1247"/>
      <c r="H26" s="1248"/>
      <c r="I26" s="1173"/>
      <c r="J26" s="1173"/>
    </row>
    <row r="27" spans="1:10" ht="12.75" hidden="1" customHeight="1" x14ac:dyDescent="0.2">
      <c r="A27" s="1318"/>
      <c r="B27" s="1319"/>
      <c r="C27" s="1319"/>
      <c r="D27" s="1320"/>
      <c r="E27" s="1247"/>
      <c r="F27" s="1247"/>
      <c r="G27" s="1247"/>
      <c r="H27" s="1248"/>
      <c r="I27" s="1173"/>
      <c r="J27" s="1173"/>
    </row>
    <row r="28" spans="1:10" ht="12.75" hidden="1" customHeight="1" x14ac:dyDescent="0.2">
      <c r="A28" s="1318"/>
      <c r="B28" s="1319"/>
      <c r="C28" s="1319"/>
      <c r="D28" s="1320"/>
      <c r="E28" s="1247"/>
      <c r="F28" s="1247"/>
      <c r="G28" s="1247"/>
      <c r="H28" s="1248"/>
      <c r="I28" s="1173"/>
      <c r="J28" s="1173"/>
    </row>
    <row r="29" spans="1:10" ht="12.75" hidden="1" customHeight="1" x14ac:dyDescent="0.2">
      <c r="A29" s="1318"/>
      <c r="B29" s="1319"/>
      <c r="C29" s="1319"/>
      <c r="D29" s="1320"/>
      <c r="E29" s="1247"/>
      <c r="F29" s="1247"/>
      <c r="G29" s="1247"/>
      <c r="H29" s="1248"/>
      <c r="I29" s="1173"/>
      <c r="J29" s="1173"/>
    </row>
    <row r="30" spans="1:10" ht="12.75" hidden="1" customHeight="1" x14ac:dyDescent="0.2">
      <c r="A30" s="1317"/>
      <c r="B30" s="1249"/>
      <c r="C30" s="1250"/>
      <c r="D30" s="1250"/>
      <c r="E30" s="1247"/>
      <c r="F30" s="1247"/>
      <c r="G30" s="1247"/>
      <c r="H30" s="1248"/>
      <c r="I30" s="1173"/>
      <c r="J30" s="1173"/>
    </row>
    <row r="31" spans="1:10" ht="12.75" hidden="1" customHeight="1" x14ac:dyDescent="0.2">
      <c r="A31" s="1317"/>
      <c r="B31" s="1246"/>
      <c r="C31" s="1247"/>
      <c r="D31" s="1247"/>
      <c r="E31" s="1247"/>
      <c r="F31" s="1247"/>
      <c r="G31" s="1247"/>
      <c r="H31" s="1248"/>
      <c r="I31" s="1173"/>
      <c r="J31" s="1173"/>
    </row>
    <row r="32" spans="1:10" ht="12.75" hidden="1" customHeight="1" x14ac:dyDescent="0.2">
      <c r="A32" s="1317"/>
      <c r="B32" s="1246"/>
      <c r="C32" s="1247"/>
      <c r="D32" s="1247"/>
      <c r="E32" s="1247"/>
      <c r="F32" s="1247"/>
      <c r="G32" s="1247"/>
      <c r="H32" s="1248"/>
      <c r="I32" s="1173"/>
      <c r="J32" s="1173"/>
    </row>
    <row r="33" spans="1:10" ht="12.75" hidden="1" customHeight="1" x14ac:dyDescent="0.2">
      <c r="A33" s="1317"/>
      <c r="B33" s="1246"/>
      <c r="C33" s="1247"/>
      <c r="D33" s="1247"/>
      <c r="E33" s="1247"/>
      <c r="F33" s="1247"/>
      <c r="G33" s="1247"/>
      <c r="H33" s="1248"/>
      <c r="I33" s="1173"/>
      <c r="J33" s="1173"/>
    </row>
    <row r="34" spans="1:10" hidden="1" x14ac:dyDescent="0.2">
      <c r="A34" s="1172"/>
      <c r="B34" s="1172"/>
      <c r="C34" s="1172"/>
      <c r="D34" s="1172"/>
      <c r="E34" s="1172"/>
      <c r="F34" s="1172"/>
      <c r="G34" s="1172"/>
      <c r="H34" s="1172"/>
      <c r="I34" s="1173"/>
      <c r="J34" s="1173"/>
    </row>
    <row r="35" spans="1:10" ht="55.5" customHeight="1" x14ac:dyDescent="0.2">
      <c r="A35" s="1252" t="s">
        <v>1777</v>
      </c>
      <c r="C35" s="1137"/>
      <c r="D35" s="1137"/>
      <c r="E35" s="1137"/>
      <c r="F35" s="1137"/>
      <c r="G35" s="1137"/>
      <c r="H35" s="1137"/>
    </row>
    <row r="36" spans="1:10" x14ac:dyDescent="0.2">
      <c r="A36" s="1137"/>
      <c r="B36" s="1137"/>
      <c r="C36" s="1137"/>
      <c r="D36" s="1137"/>
      <c r="E36" s="1137"/>
      <c r="F36" s="1137"/>
      <c r="G36" s="1137"/>
      <c r="H36" s="1137"/>
    </row>
    <row r="37" spans="1:10" ht="23.25" customHeight="1" x14ac:dyDescent="0.2">
      <c r="A37" s="2299" t="str">
        <f>'LDC Info'!E14</f>
        <v>St. Thomas Energy Inc.</v>
      </c>
      <c r="B37" s="2299"/>
      <c r="C37" s="2299"/>
      <c r="D37" s="2299"/>
      <c r="E37" s="1163"/>
      <c r="F37" s="1163"/>
      <c r="G37" s="1163"/>
      <c r="H37" s="1163"/>
      <c r="I37" s="1163"/>
    </row>
    <row r="38" spans="1:10" ht="18" customHeight="1" x14ac:dyDescent="0.2">
      <c r="A38" s="2300" t="s">
        <v>1290</v>
      </c>
      <c r="B38" s="2300"/>
      <c r="C38" s="2300"/>
      <c r="D38" s="2300"/>
      <c r="E38" s="1164"/>
      <c r="F38" s="1164"/>
      <c r="G38" s="1164"/>
      <c r="H38" s="1164"/>
      <c r="I38" s="1164"/>
    </row>
    <row r="39" spans="1:10" ht="15.75" customHeight="1" x14ac:dyDescent="0.2">
      <c r="A39" s="2301" t="str">
        <f>"Effective and Implementation Date May 1, 2014"</f>
        <v>Effective and Implementation Date May 1, 2014</v>
      </c>
      <c r="B39" s="2301"/>
      <c r="C39" s="2301"/>
      <c r="D39" s="2301"/>
      <c r="E39" s="1165"/>
      <c r="F39" s="1165"/>
      <c r="G39" s="1165"/>
      <c r="H39" s="1165"/>
      <c r="I39" s="1165"/>
    </row>
    <row r="40" spans="1:10" ht="15" x14ac:dyDescent="0.2">
      <c r="A40" s="1166"/>
      <c r="B40" s="1166"/>
      <c r="C40" s="1166"/>
      <c r="D40" s="1166"/>
      <c r="E40" s="1166"/>
      <c r="F40" s="1166"/>
      <c r="G40" s="1166"/>
      <c r="H40" s="1166"/>
      <c r="I40" s="1166"/>
    </row>
    <row r="41" spans="1:10" ht="12.75" customHeight="1" x14ac:dyDescent="0.2">
      <c r="A41" s="2302" t="s">
        <v>1291</v>
      </c>
      <c r="B41" s="2302"/>
      <c r="C41" s="2302"/>
      <c r="D41" s="2302"/>
      <c r="E41" s="1167"/>
      <c r="F41" s="1167"/>
      <c r="G41" s="1167"/>
      <c r="H41" s="1167"/>
      <c r="I41" s="1167"/>
    </row>
    <row r="42" spans="1:10" ht="12.75" customHeight="1" x14ac:dyDescent="0.2">
      <c r="A42" s="2302" t="s">
        <v>1292</v>
      </c>
      <c r="B42" s="2302"/>
      <c r="C42" s="2302"/>
      <c r="D42" s="2302"/>
      <c r="E42" s="1167"/>
      <c r="F42" s="1167"/>
      <c r="G42" s="1167"/>
      <c r="H42" s="1167"/>
      <c r="I42" s="1167"/>
    </row>
    <row r="43" spans="1:10" x14ac:dyDescent="0.2">
      <c r="A43" s="2303" t="str">
        <f>EBNUMBER</f>
        <v>EB-2014-0113</v>
      </c>
      <c r="B43" s="2303"/>
      <c r="C43" s="2303"/>
      <c r="D43" s="2303"/>
      <c r="E43" s="1162"/>
      <c r="F43" s="1162"/>
      <c r="G43" s="1162"/>
      <c r="H43" s="1162"/>
      <c r="I43" s="1162"/>
    </row>
    <row r="45" spans="1:10" ht="18" x14ac:dyDescent="0.25">
      <c r="A45" s="2304" t="s">
        <v>2103</v>
      </c>
      <c r="B45" s="2304"/>
      <c r="C45" s="2304"/>
      <c r="D45" s="2304"/>
      <c r="E45" s="1331"/>
      <c r="F45" s="1331"/>
      <c r="G45" s="1331"/>
      <c r="H45" s="1331"/>
      <c r="I45" s="1331"/>
      <c r="J45" s="1174"/>
    </row>
    <row r="46" spans="1:10" ht="15" x14ac:dyDescent="0.25">
      <c r="A46" s="1268"/>
      <c r="B46" s="1268"/>
      <c r="C46" s="1268"/>
      <c r="D46" s="1268"/>
      <c r="E46" s="1268"/>
      <c r="F46" s="1268"/>
      <c r="G46" s="1268"/>
      <c r="H46" s="1268"/>
      <c r="I46" s="1268"/>
      <c r="J46" s="1189"/>
    </row>
    <row r="47" spans="1:10" ht="87" customHeight="1" x14ac:dyDescent="0.25">
      <c r="A47" s="2292" t="s">
        <v>2109</v>
      </c>
      <c r="B47" s="2292"/>
      <c r="C47" s="2292"/>
      <c r="D47" s="2292"/>
      <c r="E47" s="1174"/>
      <c r="F47" s="1174"/>
      <c r="G47" s="1174"/>
      <c r="H47" s="1174"/>
      <c r="I47" s="1174"/>
      <c r="J47" s="1174"/>
    </row>
    <row r="48" spans="1:10" ht="15" x14ac:dyDescent="0.25">
      <c r="A48" s="1144" t="s">
        <v>1260</v>
      </c>
      <c r="B48" s="1143"/>
      <c r="C48" s="1143"/>
      <c r="D48" s="1143"/>
      <c r="E48" s="1143"/>
      <c r="F48" s="1143"/>
      <c r="G48" s="1143"/>
      <c r="H48" s="1143"/>
      <c r="I48" s="1143"/>
      <c r="J48" s="1174"/>
    </row>
    <row r="49" spans="1:10" ht="15" x14ac:dyDescent="0.25">
      <c r="A49" s="1143"/>
      <c r="B49" s="1143"/>
      <c r="C49" s="1143"/>
      <c r="D49" s="1143"/>
      <c r="E49" s="1143"/>
      <c r="F49" s="1143"/>
      <c r="G49" s="1143"/>
      <c r="H49" s="1143"/>
      <c r="I49" s="1143"/>
      <c r="J49" s="1174"/>
    </row>
    <row r="50" spans="1:10" ht="87" customHeight="1" x14ac:dyDescent="0.25">
      <c r="A50" s="2305" t="s">
        <v>1778</v>
      </c>
      <c r="B50" s="2306"/>
      <c r="C50" s="2306"/>
      <c r="D50" s="2307"/>
      <c r="E50" s="1174"/>
      <c r="F50" s="1174"/>
      <c r="G50" s="1174"/>
      <c r="H50" s="1174"/>
      <c r="I50" s="1174"/>
      <c r="J50" s="1174"/>
    </row>
    <row r="51" spans="1:10" ht="87" customHeight="1" x14ac:dyDescent="0.25">
      <c r="A51" s="2305" t="s">
        <v>2110</v>
      </c>
      <c r="B51" s="2306"/>
      <c r="C51" s="2306"/>
      <c r="D51" s="2307"/>
      <c r="E51" s="1174"/>
      <c r="F51" s="1174"/>
      <c r="G51" s="1174"/>
      <c r="H51" s="1174"/>
      <c r="I51" s="1174"/>
      <c r="J51" s="1174"/>
    </row>
    <row r="52" spans="1:10" ht="87" customHeight="1" x14ac:dyDescent="0.25">
      <c r="A52" s="2305" t="s">
        <v>2111</v>
      </c>
      <c r="B52" s="2306"/>
      <c r="C52" s="2306"/>
      <c r="D52" s="2307"/>
      <c r="E52" s="1174"/>
      <c r="F52" s="1174"/>
      <c r="G52" s="1174"/>
      <c r="H52" s="1143"/>
      <c r="I52" s="1275"/>
      <c r="J52" s="1174"/>
    </row>
    <row r="53" spans="1:10" ht="87" customHeight="1" x14ac:dyDescent="0.25">
      <c r="A53" s="2305" t="s">
        <v>1780</v>
      </c>
      <c r="B53" s="2306"/>
      <c r="C53" s="2306"/>
      <c r="D53" s="2307"/>
      <c r="E53" s="1174"/>
      <c r="F53" s="1174"/>
      <c r="G53" s="1174"/>
      <c r="H53" s="1143"/>
      <c r="I53" s="1275"/>
      <c r="J53" s="1174"/>
    </row>
    <row r="54" spans="1:10" ht="15" x14ac:dyDescent="0.25">
      <c r="A54" s="1174"/>
      <c r="B54" s="1174"/>
      <c r="C54" s="1174"/>
      <c r="D54" s="1174"/>
      <c r="E54" s="1174"/>
      <c r="F54" s="1174"/>
      <c r="G54" s="1189"/>
      <c r="H54" s="1143"/>
      <c r="I54" s="1275"/>
      <c r="J54" s="1174"/>
    </row>
    <row r="55" spans="1:10" ht="15" x14ac:dyDescent="0.25">
      <c r="A55" s="1144" t="s">
        <v>1795</v>
      </c>
      <c r="B55" s="1143"/>
      <c r="C55" s="1143"/>
      <c r="D55" s="1143"/>
      <c r="E55" s="1174"/>
      <c r="F55" s="1174"/>
      <c r="G55" s="1143"/>
      <c r="H55" s="1143"/>
      <c r="I55" s="1275"/>
      <c r="J55" s="1174"/>
    </row>
    <row r="56" spans="1:10" ht="15" x14ac:dyDescent="0.25">
      <c r="A56" s="1144"/>
      <c r="B56" s="1143"/>
      <c r="C56" s="1143"/>
      <c r="D56" s="1143"/>
      <c r="E56" s="1174"/>
      <c r="F56" s="1174"/>
      <c r="G56" s="1143"/>
      <c r="H56" s="1143"/>
      <c r="I56" s="1275"/>
      <c r="J56" s="1174"/>
    </row>
    <row r="57" spans="1:10" ht="15.75" thickBot="1" x14ac:dyDescent="0.3">
      <c r="A57" s="2289" t="s">
        <v>1772</v>
      </c>
      <c r="B57" s="2289"/>
      <c r="C57" s="1324" t="s">
        <v>229</v>
      </c>
      <c r="D57" s="1706">
        <v>15.07</v>
      </c>
      <c r="E57" s="1333"/>
      <c r="F57" s="1333"/>
      <c r="G57" s="1334"/>
      <c r="H57" s="1145"/>
      <c r="I57" s="1275"/>
      <c r="J57" s="1174"/>
    </row>
    <row r="58" spans="1:10" ht="16.5" thickTop="1" thickBot="1" x14ac:dyDescent="0.3">
      <c r="A58" s="2289" t="s">
        <v>1751</v>
      </c>
      <c r="B58" s="2289"/>
      <c r="C58" s="1324" t="s">
        <v>229</v>
      </c>
      <c r="D58" s="1706">
        <v>0.79</v>
      </c>
      <c r="E58" s="1333"/>
      <c r="F58" s="1333"/>
      <c r="G58" s="1335"/>
      <c r="H58" s="1145"/>
      <c r="I58" s="1275"/>
      <c r="J58" s="1174"/>
    </row>
    <row r="59" spans="1:10" ht="16.5" thickTop="1" thickBot="1" x14ac:dyDescent="0.3">
      <c r="A59" s="2289" t="s">
        <v>29</v>
      </c>
      <c r="B59" s="2289"/>
      <c r="C59" s="1324" t="s">
        <v>1311</v>
      </c>
      <c r="D59" s="1325">
        <v>1.78E-2</v>
      </c>
      <c r="E59" s="1333"/>
      <c r="F59" s="1333"/>
      <c r="G59" s="1335"/>
      <c r="H59" s="1145"/>
      <c r="I59" s="1275"/>
      <c r="J59" s="1174"/>
    </row>
    <row r="60" spans="1:10" ht="16.5" thickTop="1" thickBot="1" x14ac:dyDescent="0.3">
      <c r="A60" s="2289" t="s">
        <v>1763</v>
      </c>
      <c r="B60" s="2289"/>
      <c r="C60" s="1324" t="s">
        <v>1311</v>
      </c>
      <c r="D60" s="1325">
        <v>7.1000000000000004E-3</v>
      </c>
      <c r="E60" s="1333"/>
      <c r="F60" s="1333"/>
      <c r="G60" s="1335"/>
      <c r="H60" s="1145"/>
      <c r="I60" s="1275"/>
      <c r="J60" s="1174"/>
    </row>
    <row r="61" spans="1:10" ht="16.5" thickTop="1" thickBot="1" x14ac:dyDescent="0.3">
      <c r="A61" s="2289" t="s">
        <v>1754</v>
      </c>
      <c r="B61" s="2289"/>
      <c r="C61" s="1324" t="s">
        <v>1311</v>
      </c>
      <c r="D61" s="1325">
        <v>5.4000000000000003E-3</v>
      </c>
      <c r="E61" s="1333"/>
      <c r="F61" s="1333"/>
      <c r="G61" s="1335"/>
      <c r="H61" s="1145"/>
      <c r="I61" s="1275"/>
      <c r="J61" s="1174"/>
    </row>
    <row r="62" spans="1:10" ht="16.5" thickTop="1" thickBot="1" x14ac:dyDescent="0.3">
      <c r="A62" s="2289"/>
      <c r="B62" s="2289"/>
      <c r="C62" s="1324"/>
      <c r="D62" s="1325"/>
      <c r="E62" s="1333"/>
      <c r="F62" s="1333"/>
      <c r="G62" s="1335"/>
      <c r="H62" s="1145"/>
      <c r="I62" s="1275"/>
      <c r="J62" s="1174"/>
    </row>
    <row r="63" spans="1:10" ht="16.5" thickTop="1" thickBot="1" x14ac:dyDescent="0.3">
      <c r="A63" s="2289"/>
      <c r="B63" s="2289"/>
      <c r="C63" s="1324"/>
      <c r="D63" s="1325"/>
      <c r="E63" s="1333"/>
      <c r="F63" s="1333"/>
      <c r="G63" s="1335"/>
      <c r="H63" s="1145"/>
      <c r="I63" s="1275"/>
      <c r="J63" s="1174"/>
    </row>
    <row r="64" spans="1:10" ht="16.5" thickTop="1" thickBot="1" x14ac:dyDescent="0.3">
      <c r="A64" s="2289"/>
      <c r="B64" s="2289"/>
      <c r="C64" s="1324"/>
      <c r="D64" s="1325"/>
      <c r="E64" s="1333"/>
      <c r="F64" s="1333"/>
      <c r="G64" s="1335"/>
      <c r="H64" s="1145"/>
      <c r="I64" s="1275"/>
      <c r="J64" s="1174"/>
    </row>
    <row r="65" spans="1:10" ht="16.5" thickTop="1" thickBot="1" x14ac:dyDescent="0.3">
      <c r="A65" s="2289"/>
      <c r="B65" s="2289"/>
      <c r="C65" s="1324"/>
      <c r="D65" s="1325"/>
      <c r="E65" s="1333"/>
      <c r="F65" s="1333"/>
      <c r="G65" s="1335"/>
      <c r="H65" s="1145"/>
      <c r="I65" s="1275"/>
      <c r="J65" s="1174"/>
    </row>
    <row r="66" spans="1:10" ht="16.5" thickTop="1" thickBot="1" x14ac:dyDescent="0.3">
      <c r="A66" s="2289"/>
      <c r="B66" s="2289"/>
      <c r="C66" s="1324"/>
      <c r="D66" s="1325"/>
      <c r="E66" s="1333"/>
      <c r="F66" s="1333"/>
      <c r="G66" s="1335"/>
      <c r="H66" s="1145"/>
      <c r="I66" s="1275"/>
      <c r="J66" s="1174"/>
    </row>
    <row r="67" spans="1:10" ht="16.5" thickTop="1" thickBot="1" x14ac:dyDescent="0.3">
      <c r="A67" s="2289"/>
      <c r="B67" s="2289"/>
      <c r="C67" s="1324"/>
      <c r="D67" s="1325"/>
      <c r="E67" s="1333"/>
      <c r="F67" s="1333"/>
      <c r="G67" s="1335"/>
      <c r="H67" s="1145"/>
      <c r="I67" s="1275"/>
      <c r="J67" s="1174"/>
    </row>
    <row r="68" spans="1:10" ht="16.5" thickTop="1" thickBot="1" x14ac:dyDescent="0.3">
      <c r="A68" s="2289"/>
      <c r="B68" s="2289"/>
      <c r="C68" s="1324"/>
      <c r="D68" s="1325"/>
      <c r="E68" s="1333"/>
      <c r="F68" s="1333"/>
      <c r="G68" s="1335"/>
      <c r="H68" s="1145"/>
      <c r="I68" s="1275"/>
      <c r="J68" s="1174"/>
    </row>
    <row r="69" spans="1:10" ht="16.5" thickTop="1" thickBot="1" x14ac:dyDescent="0.3">
      <c r="A69" s="2289"/>
      <c r="B69" s="2289"/>
      <c r="C69" s="1324"/>
      <c r="D69" s="1325"/>
      <c r="E69" s="1333"/>
      <c r="F69" s="1333"/>
      <c r="G69" s="1335"/>
      <c r="H69" s="1145"/>
      <c r="I69" s="1275"/>
      <c r="J69" s="1174"/>
    </row>
    <row r="70" spans="1:10" ht="16.5" thickTop="1" thickBot="1" x14ac:dyDescent="0.3">
      <c r="A70" s="2289"/>
      <c r="B70" s="2289"/>
      <c r="C70" s="1324"/>
      <c r="D70" s="1325"/>
      <c r="E70" s="1333"/>
      <c r="F70" s="1333"/>
      <c r="G70" s="1335"/>
      <c r="H70" s="1145"/>
      <c r="I70" s="1275"/>
      <c r="J70" s="1174"/>
    </row>
    <row r="71" spans="1:10" ht="16.5" thickTop="1" thickBot="1" x14ac:dyDescent="0.3">
      <c r="A71" s="2289"/>
      <c r="B71" s="2289"/>
      <c r="C71" s="1324"/>
      <c r="D71" s="1325"/>
      <c r="E71" s="1333"/>
      <c r="F71" s="1333"/>
      <c r="G71" s="1335"/>
      <c r="H71" s="1145"/>
      <c r="I71" s="1275"/>
      <c r="J71" s="1174"/>
    </row>
    <row r="72" spans="1:10" ht="16.5" thickTop="1" thickBot="1" x14ac:dyDescent="0.3">
      <c r="A72" s="2289"/>
      <c r="B72" s="2289"/>
      <c r="C72" s="1324"/>
      <c r="D72" s="1325"/>
      <c r="E72" s="1333"/>
      <c r="F72" s="1333"/>
      <c r="G72" s="1335"/>
      <c r="H72" s="1145"/>
      <c r="I72" s="1275"/>
      <c r="J72" s="1174"/>
    </row>
    <row r="73" spans="1:10" ht="16.5" thickTop="1" thickBot="1" x14ac:dyDescent="0.3">
      <c r="A73" s="2289"/>
      <c r="B73" s="2289"/>
      <c r="C73" s="1324"/>
      <c r="D73" s="1325"/>
      <c r="E73" s="1333"/>
      <c r="F73" s="1333"/>
      <c r="G73" s="1335"/>
      <c r="H73" s="1145"/>
      <c r="I73" s="1275"/>
      <c r="J73" s="1174"/>
    </row>
    <row r="74" spans="1:10" ht="16.5" thickTop="1" thickBot="1" x14ac:dyDescent="0.3">
      <c r="A74" s="2289"/>
      <c r="B74" s="2289"/>
      <c r="C74" s="1324"/>
      <c r="D74" s="1325"/>
      <c r="E74" s="1333"/>
      <c r="F74" s="1333"/>
      <c r="G74" s="1335"/>
      <c r="H74" s="1145"/>
      <c r="I74" s="1275"/>
      <c r="J74" s="1174"/>
    </row>
    <row r="75" spans="1:10" ht="16.5" thickTop="1" thickBot="1" x14ac:dyDescent="0.3">
      <c r="A75" s="2289"/>
      <c r="B75" s="2289"/>
      <c r="C75" s="1324"/>
      <c r="D75" s="1325"/>
      <c r="E75" s="1333"/>
      <c r="F75" s="1333"/>
      <c r="G75" s="1335"/>
      <c r="H75" s="1145"/>
      <c r="I75" s="1275"/>
      <c r="J75" s="1174"/>
    </row>
    <row r="76" spans="1:10" ht="16.5" thickTop="1" thickBot="1" x14ac:dyDescent="0.3">
      <c r="A76" s="2289"/>
      <c r="B76" s="2289"/>
      <c r="C76" s="1324"/>
      <c r="D76" s="1325"/>
      <c r="E76" s="1333"/>
      <c r="F76" s="1333"/>
      <c r="G76" s="1335"/>
      <c r="H76" s="1145"/>
      <c r="I76" s="1275"/>
      <c r="J76" s="1174"/>
    </row>
    <row r="77" spans="1:10" ht="16.5" thickTop="1" thickBot="1" x14ac:dyDescent="0.3">
      <c r="A77" s="2289"/>
      <c r="B77" s="2289"/>
      <c r="C77" s="1324"/>
      <c r="D77" s="1325"/>
      <c r="E77" s="1333"/>
      <c r="F77" s="1333"/>
      <c r="G77" s="1335"/>
      <c r="H77" s="1145"/>
      <c r="I77" s="1275"/>
      <c r="J77" s="1174"/>
    </row>
    <row r="78" spans="1:10" ht="16.5" thickTop="1" thickBot="1" x14ac:dyDescent="0.3">
      <c r="A78" s="2289"/>
      <c r="B78" s="2289"/>
      <c r="C78" s="1324"/>
      <c r="D78" s="1325"/>
      <c r="E78" s="1333"/>
      <c r="F78" s="1333"/>
      <c r="G78" s="1335"/>
      <c r="H78" s="1145"/>
      <c r="I78" s="1275"/>
      <c r="J78" s="1174"/>
    </row>
    <row r="79" spans="1:10" ht="16.5" thickTop="1" thickBot="1" x14ac:dyDescent="0.3">
      <c r="A79" s="2289"/>
      <c r="B79" s="2289"/>
      <c r="C79" s="1324"/>
      <c r="D79" s="1325"/>
      <c r="E79" s="1333"/>
      <c r="F79" s="1333"/>
      <c r="G79" s="1335"/>
      <c r="H79" s="1145"/>
      <c r="I79" s="1275"/>
      <c r="J79" s="1174"/>
    </row>
    <row r="80" spans="1:10" ht="16.5" thickTop="1" thickBot="1" x14ac:dyDescent="0.3">
      <c r="A80" s="2289"/>
      <c r="B80" s="2289"/>
      <c r="C80" s="1324"/>
      <c r="D80" s="1325"/>
      <c r="E80" s="1333"/>
      <c r="F80" s="1333"/>
      <c r="G80" s="1335"/>
      <c r="H80" s="1145"/>
      <c r="I80" s="1275"/>
      <c r="J80" s="1174"/>
    </row>
    <row r="81" spans="1:10" ht="16.5" thickTop="1" thickBot="1" x14ac:dyDescent="0.3">
      <c r="A81" s="2290" t="s">
        <v>2112</v>
      </c>
      <c r="B81" s="2291"/>
      <c r="C81" s="1324" t="s">
        <v>1311</v>
      </c>
      <c r="D81" s="1325">
        <v>-6.4000000000000003E-3</v>
      </c>
      <c r="E81" s="1333"/>
      <c r="F81" s="1333"/>
      <c r="G81" s="1335"/>
      <c r="H81" s="1145"/>
      <c r="I81" s="1275"/>
      <c r="J81" s="1174"/>
    </row>
    <row r="82" spans="1:10" ht="16.5" thickTop="1" thickBot="1" x14ac:dyDescent="0.3">
      <c r="A82" s="2290" t="s">
        <v>2113</v>
      </c>
      <c r="B82" s="2290"/>
      <c r="C82" s="1324" t="s">
        <v>1311</v>
      </c>
      <c r="D82" s="1325">
        <v>9.4999999999999998E-3</v>
      </c>
      <c r="E82" s="1333"/>
      <c r="F82" s="1333"/>
      <c r="G82" s="1335"/>
      <c r="H82" s="1145"/>
      <c r="I82" s="1275"/>
      <c r="J82" s="1174"/>
    </row>
    <row r="83" spans="1:10" ht="16.5" thickTop="1" thickBot="1" x14ac:dyDescent="0.3">
      <c r="A83" s="2290" t="s">
        <v>2114</v>
      </c>
      <c r="B83" s="2290"/>
      <c r="C83" s="1324" t="s">
        <v>1311</v>
      </c>
      <c r="D83" s="1325">
        <v>-1E-4</v>
      </c>
      <c r="E83" s="1333"/>
      <c r="F83" s="1333"/>
      <c r="G83" s="1335"/>
      <c r="H83" s="1145"/>
      <c r="I83" s="1275"/>
      <c r="J83" s="1174"/>
    </row>
    <row r="84" spans="1:10" ht="16.5" thickTop="1" thickBot="1" x14ac:dyDescent="0.3">
      <c r="A84" s="2290" t="s">
        <v>2115</v>
      </c>
      <c r="B84" s="2291"/>
      <c r="C84" s="1324" t="s">
        <v>1311</v>
      </c>
      <c r="D84" s="1325">
        <v>-2.7000000000000001E-3</v>
      </c>
      <c r="E84" s="1333"/>
      <c r="F84" s="1333"/>
      <c r="G84" s="1335"/>
      <c r="H84" s="1145"/>
      <c r="I84" s="1275"/>
      <c r="J84" s="1174"/>
    </row>
    <row r="85" spans="1:10" ht="16.5" thickTop="1" thickBot="1" x14ac:dyDescent="0.3">
      <c r="A85" s="2290" t="s">
        <v>2116</v>
      </c>
      <c r="B85" s="2290"/>
      <c r="C85" s="1324" t="s">
        <v>1311</v>
      </c>
      <c r="D85" s="1325">
        <v>1.9300000000000001E-2</v>
      </c>
      <c r="E85" s="1333"/>
      <c r="F85" s="1333"/>
      <c r="G85" s="1335"/>
      <c r="H85" s="1145"/>
      <c r="I85" s="1275"/>
      <c r="J85" s="1174"/>
    </row>
    <row r="86" spans="1:10" ht="16.5" thickTop="1" thickBot="1" x14ac:dyDescent="0.3">
      <c r="A86" s="2290" t="s">
        <v>2117</v>
      </c>
      <c r="B86" s="2290"/>
      <c r="C86" s="1324" t="s">
        <v>229</v>
      </c>
      <c r="D86" s="1706">
        <v>0.42</v>
      </c>
      <c r="E86" s="1333"/>
      <c r="F86" s="1333"/>
      <c r="G86" s="1336"/>
      <c r="H86" s="1145"/>
      <c r="I86" s="1275"/>
      <c r="J86" s="1174"/>
    </row>
    <row r="87" spans="1:10" ht="15.75" thickTop="1" x14ac:dyDescent="0.25">
      <c r="A87" s="1143"/>
      <c r="B87" s="1143"/>
      <c r="C87" s="1143"/>
      <c r="D87" s="1145"/>
      <c r="E87" s="1333"/>
      <c r="F87" s="1333"/>
      <c r="G87" s="1337"/>
      <c r="H87" s="1145"/>
      <c r="I87" s="1275"/>
      <c r="J87" s="1174"/>
    </row>
    <row r="88" spans="1:10" ht="15" x14ac:dyDescent="0.25">
      <c r="A88" s="1144" t="s">
        <v>1261</v>
      </c>
      <c r="B88" s="1143"/>
      <c r="C88" s="1143"/>
      <c r="D88" s="1145"/>
      <c r="E88" s="1333"/>
      <c r="F88" s="1333"/>
      <c r="G88" s="1337"/>
      <c r="H88" s="1145"/>
      <c r="I88" s="1275"/>
      <c r="J88" s="1174"/>
    </row>
    <row r="89" spans="1:10" ht="15" x14ac:dyDescent="0.25">
      <c r="A89" s="1143"/>
      <c r="B89" s="1143"/>
      <c r="C89" s="1143"/>
      <c r="D89" s="1145"/>
      <c r="E89" s="1333"/>
      <c r="F89" s="1333"/>
      <c r="G89" s="1337"/>
      <c r="H89" s="1145"/>
      <c r="I89" s="1275"/>
      <c r="J89" s="1174"/>
    </row>
    <row r="90" spans="1:10" ht="15.75" thickBot="1" x14ac:dyDescent="0.3">
      <c r="A90" s="2294" t="s">
        <v>1262</v>
      </c>
      <c r="B90" s="2295"/>
      <c r="C90" s="1287" t="s">
        <v>1311</v>
      </c>
      <c r="D90" s="1265">
        <v>4.4000000000000003E-3</v>
      </c>
      <c r="E90" s="1333"/>
      <c r="F90" s="1333"/>
      <c r="G90" s="1338"/>
      <c r="H90" s="1333"/>
      <c r="I90" s="1333"/>
      <c r="J90" s="1174"/>
    </row>
    <row r="91" spans="1:10" ht="16.5" thickTop="1" thickBot="1" x14ac:dyDescent="0.3">
      <c r="A91" s="2294" t="s">
        <v>1263</v>
      </c>
      <c r="B91" s="2295"/>
      <c r="C91" s="1288" t="s">
        <v>1311</v>
      </c>
      <c r="D91" s="1266">
        <v>1.2999999999999999E-3</v>
      </c>
      <c r="E91" s="1333"/>
      <c r="F91" s="1333"/>
      <c r="G91" s="1338"/>
      <c r="H91" s="1333"/>
      <c r="I91" s="1333"/>
      <c r="J91" s="1174"/>
    </row>
    <row r="92" spans="1:10" ht="16.5" thickTop="1" thickBot="1" x14ac:dyDescent="0.3">
      <c r="A92" s="2294" t="s">
        <v>1264</v>
      </c>
      <c r="B92" s="2295"/>
      <c r="C92" s="1289" t="s">
        <v>229</v>
      </c>
      <c r="D92" s="1267">
        <v>0.25</v>
      </c>
      <c r="E92" s="1333"/>
      <c r="F92" s="1333"/>
      <c r="G92" s="1338"/>
      <c r="H92" s="1333"/>
      <c r="I92" s="1333"/>
      <c r="J92" s="1174"/>
    </row>
    <row r="93" spans="1:10" ht="18.75" thickTop="1" x14ac:dyDescent="0.25">
      <c r="A93" s="2304" t="s">
        <v>2104</v>
      </c>
      <c r="B93" s="2304"/>
      <c r="C93" s="2304"/>
      <c r="D93" s="2315"/>
      <c r="E93" s="1419"/>
      <c r="F93" s="1419"/>
      <c r="G93" s="1419"/>
      <c r="H93" s="1419"/>
      <c r="I93" s="1419"/>
      <c r="J93" s="1174"/>
    </row>
    <row r="94" spans="1:10" ht="15" x14ac:dyDescent="0.25">
      <c r="A94" s="1268"/>
      <c r="B94" s="1268"/>
      <c r="C94" s="1268"/>
      <c r="D94" s="1420"/>
      <c r="E94" s="1420"/>
      <c r="F94" s="1420"/>
      <c r="G94" s="1420"/>
      <c r="H94" s="1420"/>
      <c r="I94" s="1420"/>
      <c r="J94" s="1189"/>
    </row>
    <row r="95" spans="1:10" ht="87" customHeight="1" x14ac:dyDescent="0.25">
      <c r="A95" s="2292" t="s">
        <v>2118</v>
      </c>
      <c r="B95" s="2292"/>
      <c r="C95" s="2292"/>
      <c r="D95" s="2293"/>
      <c r="E95" s="1333"/>
      <c r="F95" s="1333"/>
      <c r="G95" s="1333"/>
      <c r="H95" s="1333"/>
      <c r="I95" s="1333"/>
      <c r="J95" s="1174"/>
    </row>
    <row r="96" spans="1:10" ht="15" x14ac:dyDescent="0.25">
      <c r="A96" s="1144" t="s">
        <v>1260</v>
      </c>
      <c r="B96" s="1143"/>
      <c r="C96" s="1143"/>
      <c r="D96" s="1145"/>
      <c r="E96" s="1145"/>
      <c r="F96" s="1145"/>
      <c r="G96" s="1145"/>
      <c r="H96" s="1145"/>
      <c r="I96" s="1145"/>
      <c r="J96" s="1174"/>
    </row>
    <row r="97" spans="1:10" ht="15" x14ac:dyDescent="0.25">
      <c r="A97" s="1143"/>
      <c r="B97" s="1143"/>
      <c r="C97" s="1143"/>
      <c r="D97" s="1145"/>
      <c r="E97" s="1145"/>
      <c r="F97" s="1145"/>
      <c r="G97" s="1145"/>
      <c r="H97" s="1145"/>
      <c r="I97" s="1145"/>
      <c r="J97" s="1174"/>
    </row>
    <row r="98" spans="1:10" ht="87" customHeight="1" x14ac:dyDescent="0.25">
      <c r="A98" s="2292" t="s">
        <v>1778</v>
      </c>
      <c r="B98" s="2292"/>
      <c r="C98" s="2292"/>
      <c r="D98" s="2293"/>
      <c r="E98" s="1333"/>
      <c r="F98" s="1333"/>
      <c r="G98" s="1333"/>
      <c r="H98" s="1333"/>
      <c r="I98" s="1333"/>
      <c r="J98" s="1174"/>
    </row>
    <row r="99" spans="1:10" ht="87" customHeight="1" x14ac:dyDescent="0.25">
      <c r="A99" s="2292" t="s">
        <v>2119</v>
      </c>
      <c r="B99" s="2292"/>
      <c r="C99" s="2292"/>
      <c r="D99" s="2293"/>
      <c r="E99" s="1333"/>
      <c r="F99" s="1333"/>
      <c r="G99" s="1333"/>
      <c r="H99" s="1333"/>
      <c r="I99" s="1333"/>
      <c r="J99" s="1174"/>
    </row>
    <row r="100" spans="1:10" ht="87" customHeight="1" x14ac:dyDescent="0.25">
      <c r="A100" s="2292" t="s">
        <v>2111</v>
      </c>
      <c r="B100" s="2292"/>
      <c r="C100" s="2292"/>
      <c r="D100" s="2293"/>
      <c r="E100" s="1333"/>
      <c r="F100" s="1333"/>
      <c r="G100" s="1333"/>
      <c r="H100" s="1145"/>
      <c r="I100" s="1275"/>
      <c r="J100" s="1174"/>
    </row>
    <row r="101" spans="1:10" ht="87" customHeight="1" x14ac:dyDescent="0.25">
      <c r="A101" s="2292" t="s">
        <v>1780</v>
      </c>
      <c r="B101" s="2292"/>
      <c r="C101" s="2292"/>
      <c r="D101" s="2293"/>
      <c r="E101" s="1333"/>
      <c r="F101" s="1333"/>
      <c r="G101" s="1333"/>
      <c r="H101" s="1145"/>
      <c r="I101" s="1275"/>
      <c r="J101" s="1174"/>
    </row>
    <row r="102" spans="1:10" ht="15" x14ac:dyDescent="0.25">
      <c r="A102" s="1174"/>
      <c r="B102" s="1174"/>
      <c r="C102" s="1174"/>
      <c r="D102" s="1333"/>
      <c r="E102" s="1333"/>
      <c r="F102" s="1333"/>
      <c r="G102" s="1421"/>
      <c r="H102" s="1145"/>
      <c r="I102" s="1275"/>
      <c r="J102" s="1174"/>
    </row>
    <row r="103" spans="1:10" ht="15" x14ac:dyDescent="0.25">
      <c r="A103" s="1144" t="s">
        <v>1795</v>
      </c>
      <c r="B103" s="1143"/>
      <c r="C103" s="1143"/>
      <c r="D103" s="1145"/>
      <c r="E103" s="1333"/>
      <c r="F103" s="1333"/>
      <c r="G103" s="1145"/>
      <c r="H103" s="1145"/>
      <c r="I103" s="1275"/>
      <c r="J103" s="1174"/>
    </row>
    <row r="104" spans="1:10" ht="15" x14ac:dyDescent="0.25">
      <c r="A104" s="1144"/>
      <c r="B104" s="1143"/>
      <c r="C104" s="1143"/>
      <c r="D104" s="1145"/>
      <c r="E104" s="1333"/>
      <c r="F104" s="1333"/>
      <c r="G104" s="1145"/>
      <c r="H104" s="1145"/>
      <c r="I104" s="1275"/>
      <c r="J104" s="1174"/>
    </row>
    <row r="105" spans="1:10" ht="15.75" thickBot="1" x14ac:dyDescent="0.3">
      <c r="A105" s="2289" t="s">
        <v>1772</v>
      </c>
      <c r="B105" s="2289"/>
      <c r="C105" s="1324" t="s">
        <v>1311</v>
      </c>
      <c r="D105" s="1325">
        <v>24.61</v>
      </c>
      <c r="E105" s="1333"/>
      <c r="F105" s="1333"/>
      <c r="G105" s="1334"/>
      <c r="H105" s="1145"/>
      <c r="I105" s="1275"/>
      <c r="J105" s="1174"/>
    </row>
    <row r="106" spans="1:10" ht="16.5" thickTop="1" thickBot="1" x14ac:dyDescent="0.3">
      <c r="A106" s="2289" t="s">
        <v>1751</v>
      </c>
      <c r="B106" s="2289"/>
      <c r="C106" s="1324" t="s">
        <v>229</v>
      </c>
      <c r="D106" s="1706">
        <v>0.79</v>
      </c>
      <c r="E106" s="1333"/>
      <c r="F106" s="1333"/>
      <c r="G106" s="1335"/>
      <c r="H106" s="1145"/>
      <c r="I106" s="1275"/>
      <c r="J106" s="1174"/>
    </row>
    <row r="107" spans="1:10" ht="16.5" thickTop="1" thickBot="1" x14ac:dyDescent="0.3">
      <c r="A107" s="2289" t="s">
        <v>29</v>
      </c>
      <c r="B107" s="2289"/>
      <c r="C107" s="1324" t="s">
        <v>1311</v>
      </c>
      <c r="D107" s="1325">
        <v>1.6799999999999999E-2</v>
      </c>
      <c r="E107" s="1333"/>
      <c r="F107" s="1333"/>
      <c r="G107" s="1335"/>
      <c r="H107" s="1145"/>
      <c r="I107" s="1275"/>
      <c r="J107" s="1174"/>
    </row>
    <row r="108" spans="1:10" ht="16.5" thickTop="1" thickBot="1" x14ac:dyDescent="0.3">
      <c r="A108" s="2289" t="s">
        <v>1763</v>
      </c>
      <c r="B108" s="2289"/>
      <c r="C108" s="1324" t="s">
        <v>1311</v>
      </c>
      <c r="D108" s="1325">
        <v>7.0000000000000001E-3</v>
      </c>
      <c r="E108" s="1333"/>
      <c r="F108" s="1333"/>
      <c r="G108" s="1335"/>
      <c r="H108" s="1145"/>
      <c r="I108" s="1275"/>
      <c r="J108" s="1174"/>
    </row>
    <row r="109" spans="1:10" ht="16.5" thickTop="1" thickBot="1" x14ac:dyDescent="0.3">
      <c r="A109" s="2289" t="s">
        <v>1754</v>
      </c>
      <c r="B109" s="2289"/>
      <c r="C109" s="1324" t="s">
        <v>1311</v>
      </c>
      <c r="D109" s="1325">
        <v>5.0000000000000001E-3</v>
      </c>
      <c r="E109" s="1333"/>
      <c r="F109" s="1333"/>
      <c r="G109" s="1335"/>
      <c r="H109" s="1145"/>
      <c r="I109" s="1275"/>
      <c r="J109" s="1174"/>
    </row>
    <row r="110" spans="1:10" ht="16.5" thickTop="1" thickBot="1" x14ac:dyDescent="0.3">
      <c r="A110" s="2289"/>
      <c r="B110" s="2289"/>
      <c r="C110" s="1324"/>
      <c r="D110" s="1325"/>
      <c r="E110" s="1333"/>
      <c r="F110" s="1333"/>
      <c r="G110" s="1335"/>
      <c r="H110" s="1145"/>
      <c r="I110" s="1275"/>
      <c r="J110" s="1174"/>
    </row>
    <row r="111" spans="1:10" ht="16.5" thickTop="1" thickBot="1" x14ac:dyDescent="0.3">
      <c r="A111" s="2289"/>
      <c r="B111" s="2289"/>
      <c r="C111" s="1324"/>
      <c r="D111" s="1325"/>
      <c r="E111" s="1333"/>
      <c r="F111" s="1333"/>
      <c r="G111" s="1335"/>
      <c r="H111" s="1145"/>
      <c r="I111" s="1275"/>
      <c r="J111" s="1174"/>
    </row>
    <row r="112" spans="1:10" ht="16.5" thickTop="1" thickBot="1" x14ac:dyDescent="0.3">
      <c r="A112" s="2289"/>
      <c r="B112" s="2289"/>
      <c r="C112" s="1324"/>
      <c r="D112" s="1325"/>
      <c r="E112" s="1333"/>
      <c r="F112" s="1333"/>
      <c r="G112" s="1335"/>
      <c r="H112" s="1145"/>
      <c r="I112" s="1275"/>
      <c r="J112" s="1174"/>
    </row>
    <row r="113" spans="1:10" ht="16.5" thickTop="1" thickBot="1" x14ac:dyDescent="0.3">
      <c r="A113" s="2289"/>
      <c r="B113" s="2289"/>
      <c r="C113" s="1324"/>
      <c r="D113" s="1325"/>
      <c r="E113" s="1333"/>
      <c r="F113" s="1333"/>
      <c r="G113" s="1335"/>
      <c r="H113" s="1145"/>
      <c r="I113" s="1275"/>
      <c r="J113" s="1174"/>
    </row>
    <row r="114" spans="1:10" ht="16.5" thickTop="1" thickBot="1" x14ac:dyDescent="0.3">
      <c r="A114" s="2289"/>
      <c r="B114" s="2289"/>
      <c r="C114" s="1324"/>
      <c r="D114" s="1325"/>
      <c r="E114" s="1333"/>
      <c r="F114" s="1333"/>
      <c r="G114" s="1335"/>
      <c r="H114" s="1145"/>
      <c r="I114" s="1275"/>
      <c r="J114" s="1174"/>
    </row>
    <row r="115" spans="1:10" ht="16.5" thickTop="1" thickBot="1" x14ac:dyDescent="0.3">
      <c r="A115" s="2289"/>
      <c r="B115" s="2289"/>
      <c r="C115" s="1324"/>
      <c r="D115" s="1325"/>
      <c r="E115" s="1333"/>
      <c r="F115" s="1333"/>
      <c r="G115" s="1335"/>
      <c r="H115" s="1145"/>
      <c r="I115" s="1275"/>
      <c r="J115" s="1174"/>
    </row>
    <row r="116" spans="1:10" ht="16.5" thickTop="1" thickBot="1" x14ac:dyDescent="0.3">
      <c r="A116" s="2289"/>
      <c r="B116" s="2289"/>
      <c r="C116" s="1324"/>
      <c r="D116" s="1325"/>
      <c r="E116" s="1333"/>
      <c r="F116" s="1333"/>
      <c r="G116" s="1335"/>
      <c r="H116" s="1145"/>
      <c r="I116" s="1275"/>
      <c r="J116" s="1174"/>
    </row>
    <row r="117" spans="1:10" ht="16.5" thickTop="1" thickBot="1" x14ac:dyDescent="0.3">
      <c r="A117" s="2289"/>
      <c r="B117" s="2289"/>
      <c r="C117" s="1324"/>
      <c r="D117" s="1325"/>
      <c r="E117" s="1333"/>
      <c r="F117" s="1333"/>
      <c r="G117" s="1335"/>
      <c r="H117" s="1145"/>
      <c r="I117" s="1275"/>
      <c r="J117" s="1174"/>
    </row>
    <row r="118" spans="1:10" ht="16.5" thickTop="1" thickBot="1" x14ac:dyDescent="0.3">
      <c r="A118" s="2289"/>
      <c r="B118" s="2289"/>
      <c r="C118" s="1324"/>
      <c r="D118" s="1325"/>
      <c r="E118" s="1333"/>
      <c r="F118" s="1333"/>
      <c r="G118" s="1335"/>
      <c r="H118" s="1145"/>
      <c r="I118" s="1275"/>
      <c r="J118" s="1174"/>
    </row>
    <row r="119" spans="1:10" ht="16.5" thickTop="1" thickBot="1" x14ac:dyDescent="0.3">
      <c r="A119" s="2289"/>
      <c r="B119" s="2289"/>
      <c r="C119" s="1324"/>
      <c r="D119" s="1325"/>
      <c r="E119" s="1333"/>
      <c r="F119" s="1333"/>
      <c r="G119" s="1335"/>
      <c r="H119" s="1145"/>
      <c r="I119" s="1275"/>
      <c r="J119" s="1174"/>
    </row>
    <row r="120" spans="1:10" ht="16.5" thickTop="1" thickBot="1" x14ac:dyDescent="0.3">
      <c r="A120" s="2289"/>
      <c r="B120" s="2289"/>
      <c r="C120" s="1324"/>
      <c r="D120" s="1325"/>
      <c r="E120" s="1333"/>
      <c r="F120" s="1333"/>
      <c r="G120" s="1335"/>
      <c r="H120" s="1145"/>
      <c r="I120" s="1275"/>
      <c r="J120" s="1174"/>
    </row>
    <row r="121" spans="1:10" ht="16.5" thickTop="1" thickBot="1" x14ac:dyDescent="0.3">
      <c r="A121" s="2289"/>
      <c r="B121" s="2289"/>
      <c r="C121" s="1324"/>
      <c r="D121" s="1325"/>
      <c r="E121" s="1333"/>
      <c r="F121" s="1333"/>
      <c r="G121" s="1335"/>
      <c r="H121" s="1145"/>
      <c r="I121" s="1275"/>
      <c r="J121" s="1174"/>
    </row>
    <row r="122" spans="1:10" ht="16.5" thickTop="1" thickBot="1" x14ac:dyDescent="0.3">
      <c r="A122" s="2289"/>
      <c r="B122" s="2289"/>
      <c r="C122" s="1324"/>
      <c r="D122" s="1325"/>
      <c r="E122" s="1333"/>
      <c r="F122" s="1333"/>
      <c r="G122" s="1335"/>
      <c r="H122" s="1145"/>
      <c r="I122" s="1275"/>
      <c r="J122" s="1174"/>
    </row>
    <row r="123" spans="1:10" ht="16.5" thickTop="1" thickBot="1" x14ac:dyDescent="0.3">
      <c r="A123" s="2289"/>
      <c r="B123" s="2289"/>
      <c r="C123" s="1324"/>
      <c r="D123" s="1325"/>
      <c r="E123" s="1333"/>
      <c r="F123" s="1333"/>
      <c r="G123" s="1335"/>
      <c r="H123" s="1145"/>
      <c r="I123" s="1275"/>
      <c r="J123" s="1174"/>
    </row>
    <row r="124" spans="1:10" ht="16.5" thickTop="1" thickBot="1" x14ac:dyDescent="0.3">
      <c r="A124" s="2289"/>
      <c r="B124" s="2289"/>
      <c r="C124" s="1324"/>
      <c r="D124" s="1325"/>
      <c r="E124" s="1333"/>
      <c r="F124" s="1333"/>
      <c r="G124" s="1335"/>
      <c r="H124" s="1145"/>
      <c r="I124" s="1275"/>
      <c r="J124" s="1174"/>
    </row>
    <row r="125" spans="1:10" ht="16.5" thickTop="1" thickBot="1" x14ac:dyDescent="0.3">
      <c r="A125" s="2289"/>
      <c r="B125" s="2289"/>
      <c r="C125" s="1324"/>
      <c r="D125" s="1325"/>
      <c r="E125" s="1333"/>
      <c r="F125" s="1333"/>
      <c r="G125" s="1335"/>
      <c r="H125" s="1145"/>
      <c r="I125" s="1275"/>
      <c r="J125" s="1174"/>
    </row>
    <row r="126" spans="1:10" ht="16.5" thickTop="1" thickBot="1" x14ac:dyDescent="0.3">
      <c r="A126" s="2289"/>
      <c r="B126" s="2289"/>
      <c r="C126" s="1324"/>
      <c r="D126" s="1325"/>
      <c r="E126" s="1333"/>
      <c r="F126" s="1333"/>
      <c r="G126" s="1335"/>
      <c r="H126" s="1145"/>
      <c r="I126" s="1275"/>
      <c r="J126" s="1174"/>
    </row>
    <row r="127" spans="1:10" ht="16.5" thickTop="1" thickBot="1" x14ac:dyDescent="0.3">
      <c r="A127" s="2289"/>
      <c r="B127" s="2289"/>
      <c r="C127" s="1324"/>
      <c r="D127" s="1325"/>
      <c r="E127" s="1333"/>
      <c r="F127" s="1333"/>
      <c r="G127" s="1335"/>
      <c r="H127" s="1145"/>
      <c r="I127" s="1275"/>
      <c r="J127" s="1174"/>
    </row>
    <row r="128" spans="1:10" ht="16.5" thickTop="1" thickBot="1" x14ac:dyDescent="0.3">
      <c r="A128" s="2289"/>
      <c r="B128" s="2289"/>
      <c r="C128" s="1324"/>
      <c r="D128" s="1325"/>
      <c r="E128" s="1333"/>
      <c r="F128" s="1333"/>
      <c r="G128" s="1335"/>
      <c r="H128" s="1145"/>
      <c r="I128" s="1275"/>
      <c r="J128" s="1174"/>
    </row>
    <row r="129" spans="1:10" ht="16.5" thickTop="1" thickBot="1" x14ac:dyDescent="0.3">
      <c r="A129" s="2290" t="s">
        <v>2112</v>
      </c>
      <c r="B129" s="2291"/>
      <c r="C129" s="1324" t="s">
        <v>1311</v>
      </c>
      <c r="D129" s="1325">
        <v>-6.3E-3</v>
      </c>
      <c r="E129" s="1333"/>
      <c r="F129" s="1333"/>
      <c r="G129" s="1335"/>
      <c r="H129" s="1145"/>
      <c r="I129" s="1275"/>
      <c r="J129" s="1174"/>
    </row>
    <row r="130" spans="1:10" ht="16.5" thickTop="1" thickBot="1" x14ac:dyDescent="0.3">
      <c r="A130" s="2290" t="s">
        <v>2113</v>
      </c>
      <c r="B130" s="2290"/>
      <c r="C130" s="1324" t="s">
        <v>1311</v>
      </c>
      <c r="D130" s="1325">
        <v>9.4999999999999998E-3</v>
      </c>
      <c r="E130" s="1333"/>
      <c r="F130" s="1333"/>
      <c r="G130" s="1335"/>
      <c r="H130" s="1145"/>
      <c r="I130" s="1275"/>
      <c r="J130" s="1174"/>
    </row>
    <row r="131" spans="1:10" ht="16.5" thickTop="1" thickBot="1" x14ac:dyDescent="0.3">
      <c r="A131" s="2290" t="s">
        <v>2114</v>
      </c>
      <c r="B131" s="2290"/>
      <c r="C131" s="1324" t="s">
        <v>1311</v>
      </c>
      <c r="D131" s="1325">
        <v>-1E-4</v>
      </c>
      <c r="E131" s="1333"/>
      <c r="F131" s="1333"/>
      <c r="G131" s="1335"/>
      <c r="H131" s="1145"/>
      <c r="I131" s="1275"/>
      <c r="J131" s="1174"/>
    </row>
    <row r="132" spans="1:10" ht="16.5" thickTop="1" thickBot="1" x14ac:dyDescent="0.3">
      <c r="A132" s="2290" t="s">
        <v>2115</v>
      </c>
      <c r="B132" s="2291"/>
      <c r="C132" s="1324" t="s">
        <v>1311</v>
      </c>
      <c r="D132" s="1325">
        <v>-2.7000000000000001E-3</v>
      </c>
      <c r="E132" s="1333"/>
      <c r="F132" s="1333"/>
      <c r="G132" s="1335"/>
      <c r="H132" s="1145"/>
      <c r="I132" s="1275"/>
      <c r="J132" s="1174"/>
    </row>
    <row r="133" spans="1:10" ht="16.5" thickTop="1" thickBot="1" x14ac:dyDescent="0.3">
      <c r="A133" s="2290" t="s">
        <v>2116</v>
      </c>
      <c r="B133" s="2290"/>
      <c r="C133" s="1324" t="s">
        <v>1311</v>
      </c>
      <c r="D133" s="1325">
        <v>1.15E-2</v>
      </c>
      <c r="E133" s="1333"/>
      <c r="F133" s="1333"/>
      <c r="G133" s="1335"/>
      <c r="H133" s="1145"/>
      <c r="I133" s="1275"/>
      <c r="J133" s="1174"/>
    </row>
    <row r="134" spans="1:10" ht="16.5" thickTop="1" thickBot="1" x14ac:dyDescent="0.3">
      <c r="A134" s="2290" t="s">
        <v>2117</v>
      </c>
      <c r="B134" s="2290"/>
      <c r="C134" s="1324" t="s">
        <v>229</v>
      </c>
      <c r="D134" s="1706">
        <v>0.42</v>
      </c>
      <c r="E134" s="1333"/>
      <c r="F134" s="1333"/>
      <c r="G134" s="1336"/>
      <c r="H134" s="1145"/>
      <c r="I134" s="1275"/>
      <c r="J134" s="1174"/>
    </row>
    <row r="135" spans="1:10" ht="15.75" thickTop="1" x14ac:dyDescent="0.25">
      <c r="A135" s="1143"/>
      <c r="B135" s="1143"/>
      <c r="C135" s="1143"/>
      <c r="D135" s="1145"/>
      <c r="E135" s="1333"/>
      <c r="F135" s="1333"/>
      <c r="G135" s="1337"/>
      <c r="H135" s="1145"/>
      <c r="I135" s="1275"/>
      <c r="J135" s="1174"/>
    </row>
    <row r="136" spans="1:10" ht="15" x14ac:dyDescent="0.25">
      <c r="A136" s="1144" t="s">
        <v>1261</v>
      </c>
      <c r="B136" s="1143"/>
      <c r="C136" s="1143"/>
      <c r="D136" s="1145"/>
      <c r="E136" s="1333"/>
      <c r="F136" s="1333"/>
      <c r="G136" s="1337"/>
      <c r="H136" s="1145"/>
      <c r="I136" s="1275"/>
      <c r="J136" s="1174"/>
    </row>
    <row r="137" spans="1:10" ht="15" x14ac:dyDescent="0.25">
      <c r="A137" s="1143"/>
      <c r="B137" s="1143"/>
      <c r="C137" s="1143"/>
      <c r="D137" s="1145"/>
      <c r="E137" s="1333"/>
      <c r="F137" s="1333"/>
      <c r="G137" s="1337"/>
      <c r="H137" s="1145"/>
      <c r="I137" s="1275"/>
      <c r="J137" s="1174"/>
    </row>
    <row r="138" spans="1:10" ht="15.75" thickBot="1" x14ac:dyDescent="0.3">
      <c r="A138" s="2294" t="s">
        <v>1262</v>
      </c>
      <c r="B138" s="2295"/>
      <c r="C138" s="1287" t="s">
        <v>1311</v>
      </c>
      <c r="D138" s="1265">
        <v>4.4000000000000003E-3</v>
      </c>
      <c r="E138" s="1333"/>
      <c r="F138" s="1333"/>
      <c r="G138" s="1338"/>
      <c r="H138" s="1333"/>
      <c r="I138" s="1333"/>
      <c r="J138" s="1174"/>
    </row>
    <row r="139" spans="1:10" ht="16.5" thickTop="1" thickBot="1" x14ac:dyDescent="0.3">
      <c r="A139" s="2294" t="s">
        <v>1263</v>
      </c>
      <c r="B139" s="2295"/>
      <c r="C139" s="1288" t="s">
        <v>1311</v>
      </c>
      <c r="D139" s="1266">
        <v>1.2999999999999999E-3</v>
      </c>
      <c r="E139" s="1333"/>
      <c r="F139" s="1333"/>
      <c r="G139" s="1338"/>
      <c r="H139" s="1333"/>
      <c r="I139" s="1333"/>
      <c r="J139" s="1174"/>
    </row>
    <row r="140" spans="1:10" ht="16.5" thickTop="1" thickBot="1" x14ac:dyDescent="0.3">
      <c r="A140" s="2294" t="s">
        <v>1264</v>
      </c>
      <c r="B140" s="2295"/>
      <c r="C140" s="1289" t="s">
        <v>229</v>
      </c>
      <c r="D140" s="1267">
        <v>0.25</v>
      </c>
      <c r="E140" s="1333"/>
      <c r="F140" s="1333"/>
      <c r="G140" s="1338"/>
      <c r="H140" s="1333"/>
      <c r="I140" s="1333"/>
      <c r="J140" s="1174"/>
    </row>
    <row r="141" spans="1:10" ht="18.75" thickTop="1" x14ac:dyDescent="0.25">
      <c r="A141" s="2304" t="s">
        <v>2105</v>
      </c>
      <c r="B141" s="2304"/>
      <c r="C141" s="2304"/>
      <c r="D141" s="2315"/>
      <c r="E141" s="1419"/>
      <c r="F141" s="1419"/>
      <c r="G141" s="1419"/>
      <c r="H141" s="1419"/>
      <c r="I141" s="1419"/>
      <c r="J141" s="1174"/>
    </row>
    <row r="142" spans="1:10" ht="15" x14ac:dyDescent="0.25">
      <c r="A142" s="1268"/>
      <c r="B142" s="1268"/>
      <c r="C142" s="1268"/>
      <c r="D142" s="1420"/>
      <c r="E142" s="1420"/>
      <c r="F142" s="1420"/>
      <c r="G142" s="1420"/>
      <c r="H142" s="1420"/>
      <c r="I142" s="1420"/>
      <c r="J142" s="1189"/>
    </row>
    <row r="143" spans="1:10" ht="87" customHeight="1" x14ac:dyDescent="0.25">
      <c r="A143" s="2292" t="s">
        <v>2120</v>
      </c>
      <c r="B143" s="2292"/>
      <c r="C143" s="2292"/>
      <c r="D143" s="2293"/>
      <c r="E143" s="1333"/>
      <c r="F143" s="1333"/>
      <c r="G143" s="1333"/>
      <c r="H143" s="1333"/>
      <c r="I143" s="1333"/>
      <c r="J143" s="1174"/>
    </row>
    <row r="144" spans="1:10" ht="15" x14ac:dyDescent="0.25">
      <c r="A144" s="1144" t="s">
        <v>1260</v>
      </c>
      <c r="B144" s="1143"/>
      <c r="C144" s="1143"/>
      <c r="D144" s="1145"/>
      <c r="E144" s="1145"/>
      <c r="F144" s="1145"/>
      <c r="G144" s="1145"/>
      <c r="H144" s="1145"/>
      <c r="I144" s="1145"/>
      <c r="J144" s="1174"/>
    </row>
    <row r="145" spans="1:10" ht="15" x14ac:dyDescent="0.25">
      <c r="A145" s="1143"/>
      <c r="B145" s="1143"/>
      <c r="C145" s="1143"/>
      <c r="D145" s="1145"/>
      <c r="E145" s="1145"/>
      <c r="F145" s="1145"/>
      <c r="G145" s="1145"/>
      <c r="H145" s="1145"/>
      <c r="I145" s="1145"/>
      <c r="J145" s="1174"/>
    </row>
    <row r="146" spans="1:10" ht="87" customHeight="1" x14ac:dyDescent="0.25">
      <c r="A146" s="2292" t="s">
        <v>1778</v>
      </c>
      <c r="B146" s="2292"/>
      <c r="C146" s="2292"/>
      <c r="D146" s="2293"/>
      <c r="E146" s="1333"/>
      <c r="F146" s="1333"/>
      <c r="G146" s="1333"/>
      <c r="H146" s="1333"/>
      <c r="I146" s="1333"/>
      <c r="J146" s="1174"/>
    </row>
    <row r="147" spans="1:10" ht="87" customHeight="1" x14ac:dyDescent="0.25">
      <c r="A147" s="2292" t="s">
        <v>2110</v>
      </c>
      <c r="B147" s="2292"/>
      <c r="C147" s="2292"/>
      <c r="D147" s="2293"/>
      <c r="E147" s="1333"/>
      <c r="F147" s="1333"/>
      <c r="G147" s="1333"/>
      <c r="H147" s="1333"/>
      <c r="I147" s="1333"/>
      <c r="J147" s="1174"/>
    </row>
    <row r="148" spans="1:10" ht="87" customHeight="1" x14ac:dyDescent="0.25">
      <c r="A148" s="2292" t="s">
        <v>2121</v>
      </c>
      <c r="B148" s="2292"/>
      <c r="C148" s="2292"/>
      <c r="D148" s="2293"/>
      <c r="E148" s="1333"/>
      <c r="F148" s="1333"/>
      <c r="G148" s="1333"/>
      <c r="H148" s="1145"/>
      <c r="I148" s="1275"/>
      <c r="J148" s="1174"/>
    </row>
    <row r="149" spans="1:10" ht="87" customHeight="1" x14ac:dyDescent="0.25">
      <c r="A149" s="2292" t="s">
        <v>1780</v>
      </c>
      <c r="B149" s="2292"/>
      <c r="C149" s="2292"/>
      <c r="D149" s="2293"/>
      <c r="E149" s="1333"/>
      <c r="F149" s="1333"/>
      <c r="G149" s="1333"/>
      <c r="H149" s="1145"/>
      <c r="I149" s="1275"/>
      <c r="J149" s="1174"/>
    </row>
    <row r="150" spans="1:10" ht="15" x14ac:dyDescent="0.25">
      <c r="A150" s="1174"/>
      <c r="B150" s="1174"/>
      <c r="C150" s="1174"/>
      <c r="D150" s="1333"/>
      <c r="E150" s="1333"/>
      <c r="F150" s="1333"/>
      <c r="G150" s="1421"/>
      <c r="H150" s="1145"/>
      <c r="I150" s="1275"/>
      <c r="J150" s="1174"/>
    </row>
    <row r="151" spans="1:10" ht="15" x14ac:dyDescent="0.25">
      <c r="A151" s="1144" t="s">
        <v>1795</v>
      </c>
      <c r="B151" s="1143"/>
      <c r="C151" s="1143"/>
      <c r="D151" s="1145"/>
      <c r="E151" s="1333"/>
      <c r="F151" s="1333"/>
      <c r="G151" s="1145"/>
      <c r="H151" s="1145"/>
      <c r="I151" s="1275"/>
      <c r="J151" s="1174"/>
    </row>
    <row r="152" spans="1:10" ht="15" x14ac:dyDescent="0.25">
      <c r="A152" s="1144"/>
      <c r="B152" s="1143"/>
      <c r="C152" s="1143"/>
      <c r="D152" s="1145"/>
      <c r="E152" s="1333"/>
      <c r="F152" s="1333"/>
      <c r="G152" s="1145"/>
      <c r="H152" s="1145"/>
      <c r="I152" s="1275"/>
      <c r="J152" s="1174"/>
    </row>
    <row r="153" spans="1:10" ht="15.75" thickBot="1" x14ac:dyDescent="0.3">
      <c r="A153" s="2289" t="s">
        <v>1772</v>
      </c>
      <c r="B153" s="2289"/>
      <c r="C153" s="1324" t="s">
        <v>229</v>
      </c>
      <c r="D153" s="1706">
        <v>81.430000000000007</v>
      </c>
      <c r="E153" s="1333"/>
      <c r="F153" s="1333"/>
      <c r="G153" s="1334"/>
      <c r="H153" s="1145"/>
      <c r="I153" s="1275"/>
      <c r="J153" s="1174"/>
    </row>
    <row r="154" spans="1:10" ht="16.5" thickTop="1" thickBot="1" x14ac:dyDescent="0.3">
      <c r="A154" s="2289" t="s">
        <v>29</v>
      </c>
      <c r="B154" s="2289"/>
      <c r="C154" s="1324" t="s">
        <v>1318</v>
      </c>
      <c r="D154" s="1325">
        <v>3.6257999999999999</v>
      </c>
      <c r="E154" s="1333"/>
      <c r="F154" s="1333"/>
      <c r="G154" s="1335"/>
      <c r="H154" s="1145"/>
      <c r="I154" s="1275"/>
      <c r="J154" s="1174"/>
    </row>
    <row r="155" spans="1:10" ht="16.5" thickTop="1" thickBot="1" x14ac:dyDescent="0.3">
      <c r="A155" s="2289" t="s">
        <v>1763</v>
      </c>
      <c r="B155" s="2289"/>
      <c r="C155" s="1324" t="s">
        <v>1318</v>
      </c>
      <c r="D155" s="1325">
        <v>2.8088000000000002</v>
      </c>
      <c r="E155" s="1333"/>
      <c r="F155" s="1333"/>
      <c r="G155" s="1335"/>
      <c r="H155" s="1145"/>
      <c r="I155" s="1275"/>
      <c r="J155" s="1174"/>
    </row>
    <row r="156" spans="1:10" ht="16.5" thickTop="1" thickBot="1" x14ac:dyDescent="0.3">
      <c r="A156" s="2289" t="s">
        <v>1754</v>
      </c>
      <c r="B156" s="2289"/>
      <c r="C156" s="1324" t="s">
        <v>1318</v>
      </c>
      <c r="D156" s="1325">
        <v>2.0381</v>
      </c>
      <c r="E156" s="1333"/>
      <c r="F156" s="1333"/>
      <c r="G156" s="1335"/>
      <c r="H156" s="1145"/>
      <c r="I156" s="1275"/>
      <c r="J156" s="1174"/>
    </row>
    <row r="157" spans="1:10" ht="16.5" thickTop="1" thickBot="1" x14ac:dyDescent="0.3">
      <c r="A157" s="2289"/>
      <c r="B157" s="2289"/>
      <c r="C157" s="1324"/>
      <c r="D157" s="1325"/>
      <c r="E157" s="1333"/>
      <c r="F157" s="1333"/>
      <c r="G157" s="1335"/>
      <c r="H157" s="1145"/>
      <c r="I157" s="1275"/>
      <c r="J157" s="1174"/>
    </row>
    <row r="158" spans="1:10" ht="16.5" thickTop="1" thickBot="1" x14ac:dyDescent="0.3">
      <c r="A158" s="2289"/>
      <c r="B158" s="2289"/>
      <c r="C158" s="1324"/>
      <c r="D158" s="1325"/>
      <c r="E158" s="1333"/>
      <c r="F158" s="1333"/>
      <c r="G158" s="1335"/>
      <c r="H158" s="1145"/>
      <c r="I158" s="1275"/>
      <c r="J158" s="1174"/>
    </row>
    <row r="159" spans="1:10" ht="16.5" thickTop="1" thickBot="1" x14ac:dyDescent="0.3">
      <c r="A159" s="2289"/>
      <c r="B159" s="2289"/>
      <c r="C159" s="1324"/>
      <c r="D159" s="1325"/>
      <c r="E159" s="1333"/>
      <c r="F159" s="1333"/>
      <c r="G159" s="1335"/>
      <c r="H159" s="1145"/>
      <c r="I159" s="1275"/>
      <c r="J159" s="1174"/>
    </row>
    <row r="160" spans="1:10" ht="16.5" thickTop="1" thickBot="1" x14ac:dyDescent="0.3">
      <c r="A160" s="2289"/>
      <c r="B160" s="2289"/>
      <c r="C160" s="1324"/>
      <c r="D160" s="1325"/>
      <c r="E160" s="1333"/>
      <c r="F160" s="1333"/>
      <c r="G160" s="1335"/>
      <c r="H160" s="1145"/>
      <c r="I160" s="1275"/>
      <c r="J160" s="1174"/>
    </row>
    <row r="161" spans="1:10" ht="16.5" thickTop="1" thickBot="1" x14ac:dyDescent="0.3">
      <c r="A161" s="2289"/>
      <c r="B161" s="2289"/>
      <c r="C161" s="1324"/>
      <c r="D161" s="1325"/>
      <c r="E161" s="1333"/>
      <c r="F161" s="1333"/>
      <c r="G161" s="1335"/>
      <c r="H161" s="1145"/>
      <c r="I161" s="1275"/>
      <c r="J161" s="1174"/>
    </row>
    <row r="162" spans="1:10" ht="16.5" thickTop="1" thickBot="1" x14ac:dyDescent="0.3">
      <c r="A162" s="2289"/>
      <c r="B162" s="2289"/>
      <c r="C162" s="1324"/>
      <c r="D162" s="1325"/>
      <c r="E162" s="1333"/>
      <c r="F162" s="1333"/>
      <c r="G162" s="1335"/>
      <c r="H162" s="1145"/>
      <c r="I162" s="1275"/>
      <c r="J162" s="1174"/>
    </row>
    <row r="163" spans="1:10" ht="16.5" thickTop="1" thickBot="1" x14ac:dyDescent="0.3">
      <c r="A163" s="2289"/>
      <c r="B163" s="2289"/>
      <c r="C163" s="1324"/>
      <c r="D163" s="1325"/>
      <c r="E163" s="1333"/>
      <c r="F163" s="1333"/>
      <c r="G163" s="1335"/>
      <c r="H163" s="1145"/>
      <c r="I163" s="1275"/>
      <c r="J163" s="1174"/>
    </row>
    <row r="164" spans="1:10" ht="16.5" thickTop="1" thickBot="1" x14ac:dyDescent="0.3">
      <c r="A164" s="2289"/>
      <c r="B164" s="2289"/>
      <c r="C164" s="1324"/>
      <c r="D164" s="1325"/>
      <c r="E164" s="1333"/>
      <c r="F164" s="1333"/>
      <c r="G164" s="1335"/>
      <c r="H164" s="1145"/>
      <c r="I164" s="1275"/>
      <c r="J164" s="1174"/>
    </row>
    <row r="165" spans="1:10" ht="16.5" thickTop="1" thickBot="1" x14ac:dyDescent="0.3">
      <c r="A165" s="2289"/>
      <c r="B165" s="2289"/>
      <c r="C165" s="1324"/>
      <c r="D165" s="1325"/>
      <c r="E165" s="1333"/>
      <c r="F165" s="1333"/>
      <c r="G165" s="1335"/>
      <c r="H165" s="1145"/>
      <c r="I165" s="1275"/>
      <c r="J165" s="1174"/>
    </row>
    <row r="166" spans="1:10" ht="16.5" thickTop="1" thickBot="1" x14ac:dyDescent="0.3">
      <c r="A166" s="2289"/>
      <c r="B166" s="2289"/>
      <c r="C166" s="1324"/>
      <c r="D166" s="1325"/>
      <c r="E166" s="1333"/>
      <c r="F166" s="1333"/>
      <c r="G166" s="1335"/>
      <c r="H166" s="1145"/>
      <c r="I166" s="1275"/>
      <c r="J166" s="1174"/>
    </row>
    <row r="167" spans="1:10" ht="16.5" thickTop="1" thickBot="1" x14ac:dyDescent="0.3">
      <c r="A167" s="2289"/>
      <c r="B167" s="2289"/>
      <c r="C167" s="1324"/>
      <c r="D167" s="1325"/>
      <c r="E167" s="1333"/>
      <c r="F167" s="1333"/>
      <c r="G167" s="1335"/>
      <c r="H167" s="1145"/>
      <c r="I167" s="1275"/>
      <c r="J167" s="1174"/>
    </row>
    <row r="168" spans="1:10" ht="16.5" thickTop="1" thickBot="1" x14ac:dyDescent="0.3">
      <c r="A168" s="2289"/>
      <c r="B168" s="2289"/>
      <c r="C168" s="1324"/>
      <c r="D168" s="1325"/>
      <c r="E168" s="1333"/>
      <c r="F168" s="1333"/>
      <c r="G168" s="1335"/>
      <c r="H168" s="1145"/>
      <c r="I168" s="1275"/>
      <c r="J168" s="1174"/>
    </row>
    <row r="169" spans="1:10" ht="16.5" thickTop="1" thickBot="1" x14ac:dyDescent="0.3">
      <c r="A169" s="2289"/>
      <c r="B169" s="2289"/>
      <c r="C169" s="1324"/>
      <c r="D169" s="1325"/>
      <c r="E169" s="1333"/>
      <c r="F169" s="1333"/>
      <c r="G169" s="1335"/>
      <c r="H169" s="1145"/>
      <c r="I169" s="1275"/>
      <c r="J169" s="1174"/>
    </row>
    <row r="170" spans="1:10" ht="16.5" thickTop="1" thickBot="1" x14ac:dyDescent="0.3">
      <c r="A170" s="2289"/>
      <c r="B170" s="2289"/>
      <c r="C170" s="1324"/>
      <c r="D170" s="1325"/>
      <c r="E170" s="1333"/>
      <c r="F170" s="1333"/>
      <c r="G170" s="1335"/>
      <c r="H170" s="1145"/>
      <c r="I170" s="1275"/>
      <c r="J170" s="1174"/>
    </row>
    <row r="171" spans="1:10" ht="16.5" thickTop="1" thickBot="1" x14ac:dyDescent="0.3">
      <c r="A171" s="2289"/>
      <c r="B171" s="2289"/>
      <c r="C171" s="1324"/>
      <c r="D171" s="1325"/>
      <c r="E171" s="1333"/>
      <c r="F171" s="1333"/>
      <c r="G171" s="1335"/>
      <c r="H171" s="1145"/>
      <c r="I171" s="1275"/>
      <c r="J171" s="1174"/>
    </row>
    <row r="172" spans="1:10" ht="16.5" thickTop="1" thickBot="1" x14ac:dyDescent="0.3">
      <c r="A172" s="2289"/>
      <c r="B172" s="2289"/>
      <c r="C172" s="1324"/>
      <c r="D172" s="1325"/>
      <c r="E172" s="1333"/>
      <c r="F172" s="1333"/>
      <c r="G172" s="1335"/>
      <c r="H172" s="1145"/>
      <c r="I172" s="1275"/>
      <c r="J172" s="1174"/>
    </row>
    <row r="173" spans="1:10" ht="16.5" thickTop="1" thickBot="1" x14ac:dyDescent="0.3">
      <c r="A173" s="2289"/>
      <c r="B173" s="2289"/>
      <c r="C173" s="1324"/>
      <c r="D173" s="1325"/>
      <c r="E173" s="1333"/>
      <c r="F173" s="1333"/>
      <c r="G173" s="1335"/>
      <c r="H173" s="1145"/>
      <c r="I173" s="1275"/>
      <c r="J173" s="1174"/>
    </row>
    <row r="174" spans="1:10" ht="16.5" thickTop="1" thickBot="1" x14ac:dyDescent="0.3">
      <c r="A174" s="2289"/>
      <c r="B174" s="2289"/>
      <c r="C174" s="1324"/>
      <c r="D174" s="1325"/>
      <c r="E174" s="1333"/>
      <c r="F174" s="1333"/>
      <c r="G174" s="1335"/>
      <c r="H174" s="1145"/>
      <c r="I174" s="1275"/>
      <c r="J174" s="1174"/>
    </row>
    <row r="175" spans="1:10" ht="16.5" thickTop="1" thickBot="1" x14ac:dyDescent="0.3">
      <c r="A175" s="2289"/>
      <c r="B175" s="2289"/>
      <c r="C175" s="1324"/>
      <c r="D175" s="1325"/>
      <c r="E175" s="1333"/>
      <c r="F175" s="1333"/>
      <c r="G175" s="1335"/>
      <c r="H175" s="1145"/>
      <c r="I175" s="1275"/>
      <c r="J175" s="1174"/>
    </row>
    <row r="176" spans="1:10" ht="16.5" thickTop="1" thickBot="1" x14ac:dyDescent="0.3">
      <c r="A176" s="2289"/>
      <c r="B176" s="2289"/>
      <c r="C176" s="1324"/>
      <c r="D176" s="1325"/>
      <c r="E176" s="1333"/>
      <c r="F176" s="1333"/>
      <c r="G176" s="1335"/>
      <c r="H176" s="1145"/>
      <c r="I176" s="1275"/>
      <c r="J176" s="1174"/>
    </row>
    <row r="177" spans="1:10" ht="16.5" thickTop="1" thickBot="1" x14ac:dyDescent="0.3">
      <c r="A177" s="2290" t="s">
        <v>2112</v>
      </c>
      <c r="B177" s="2291"/>
      <c r="C177" s="1324" t="s">
        <v>1318</v>
      </c>
      <c r="D177" s="1325">
        <v>-2.3801999999999999</v>
      </c>
      <c r="E177" s="1333"/>
      <c r="F177" s="1333"/>
      <c r="G177" s="1335"/>
      <c r="H177" s="1145"/>
      <c r="I177" s="1275"/>
      <c r="J177" s="1174"/>
    </row>
    <row r="178" spans="1:10" ht="16.5" thickTop="1" thickBot="1" x14ac:dyDescent="0.3">
      <c r="A178" s="2290" t="s">
        <v>2113</v>
      </c>
      <c r="B178" s="2290"/>
      <c r="C178" s="1324" t="s">
        <v>1318</v>
      </c>
      <c r="D178" s="1325">
        <v>3.5333000000000001</v>
      </c>
      <c r="E178" s="1333"/>
      <c r="F178" s="1333"/>
      <c r="G178" s="1335"/>
      <c r="H178" s="1145"/>
      <c r="I178" s="1275"/>
      <c r="J178" s="1174"/>
    </row>
    <row r="179" spans="1:10" ht="16.5" thickTop="1" thickBot="1" x14ac:dyDescent="0.3">
      <c r="A179" s="2290" t="s">
        <v>2114</v>
      </c>
      <c r="B179" s="2290"/>
      <c r="C179" s="1324" t="s">
        <v>1318</v>
      </c>
      <c r="D179" s="1325">
        <v>-9.2999999999999992E-3</v>
      </c>
      <c r="E179" s="1333"/>
      <c r="F179" s="1333"/>
      <c r="G179" s="1335"/>
      <c r="H179" s="1145"/>
      <c r="I179" s="1275"/>
      <c r="J179" s="1174"/>
    </row>
    <row r="180" spans="1:10" ht="16.5" thickTop="1" thickBot="1" x14ac:dyDescent="0.3">
      <c r="A180" s="2290" t="s">
        <v>2115</v>
      </c>
      <c r="B180" s="2291"/>
      <c r="C180" s="1324" t="s">
        <v>1318</v>
      </c>
      <c r="D180" s="1325">
        <v>-1.0553999999999999</v>
      </c>
      <c r="E180" s="1333"/>
      <c r="F180" s="1333"/>
      <c r="G180" s="1335"/>
      <c r="H180" s="1145"/>
      <c r="I180" s="1275"/>
      <c r="J180" s="1174"/>
    </row>
    <row r="181" spans="1:10" ht="16.5" thickTop="1" thickBot="1" x14ac:dyDescent="0.3">
      <c r="A181" s="2290" t="s">
        <v>2116</v>
      </c>
      <c r="B181" s="2290"/>
      <c r="C181" s="1324" t="s">
        <v>1318</v>
      </c>
      <c r="D181" s="1325">
        <v>1.0169999999999999</v>
      </c>
      <c r="E181" s="1333"/>
      <c r="F181" s="1333"/>
      <c r="G181" s="1335"/>
      <c r="H181" s="1145"/>
      <c r="I181" s="1275"/>
      <c r="J181" s="1174"/>
    </row>
    <row r="182" spans="1:10" ht="16.5" thickTop="1" thickBot="1" x14ac:dyDescent="0.3">
      <c r="A182" s="2290"/>
      <c r="B182" s="2290"/>
      <c r="C182" s="1324"/>
      <c r="D182" s="1325"/>
      <c r="E182" s="1333"/>
      <c r="F182" s="1333"/>
      <c r="G182" s="1336"/>
      <c r="H182" s="1145"/>
      <c r="I182" s="1275"/>
      <c r="J182" s="1174"/>
    </row>
    <row r="183" spans="1:10" ht="15.75" thickTop="1" x14ac:dyDescent="0.25">
      <c r="A183" s="1143"/>
      <c r="B183" s="1143"/>
      <c r="C183" s="1143"/>
      <c r="D183" s="1145"/>
      <c r="E183" s="1333"/>
      <c r="F183" s="1333"/>
      <c r="G183" s="1337"/>
      <c r="H183" s="1145"/>
      <c r="I183" s="1275"/>
      <c r="J183" s="1174"/>
    </row>
    <row r="184" spans="1:10" ht="15" x14ac:dyDescent="0.25">
      <c r="A184" s="1144" t="s">
        <v>1261</v>
      </c>
      <c r="B184" s="1143"/>
      <c r="C184" s="1143"/>
      <c r="D184" s="1145"/>
      <c r="E184" s="1333"/>
      <c r="F184" s="1333"/>
      <c r="G184" s="1337"/>
      <c r="H184" s="1145"/>
      <c r="I184" s="1275"/>
      <c r="J184" s="1174"/>
    </row>
    <row r="185" spans="1:10" ht="15" x14ac:dyDescent="0.25">
      <c r="A185" s="1143"/>
      <c r="B185" s="1143"/>
      <c r="C185" s="1143"/>
      <c r="D185" s="1145"/>
      <c r="E185" s="1333"/>
      <c r="F185" s="1333"/>
      <c r="G185" s="1337"/>
      <c r="H185" s="1145"/>
      <c r="I185" s="1275"/>
      <c r="J185" s="1174"/>
    </row>
    <row r="186" spans="1:10" ht="15.75" thickBot="1" x14ac:dyDescent="0.3">
      <c r="A186" s="2294" t="s">
        <v>1262</v>
      </c>
      <c r="B186" s="2295"/>
      <c r="C186" s="1287" t="s">
        <v>1311</v>
      </c>
      <c r="D186" s="1265">
        <v>4.4000000000000003E-3</v>
      </c>
      <c r="E186" s="1333"/>
      <c r="F186" s="1333"/>
      <c r="G186" s="1338"/>
      <c r="H186" s="1333"/>
      <c r="I186" s="1333"/>
      <c r="J186" s="1174"/>
    </row>
    <row r="187" spans="1:10" ht="16.5" thickTop="1" thickBot="1" x14ac:dyDescent="0.3">
      <c r="A187" s="2294" t="s">
        <v>1263</v>
      </c>
      <c r="B187" s="2295"/>
      <c r="C187" s="1288" t="s">
        <v>1311</v>
      </c>
      <c r="D187" s="1266">
        <v>1.2999999999999999E-3</v>
      </c>
      <c r="E187" s="1333"/>
      <c r="F187" s="1333"/>
      <c r="G187" s="1338"/>
      <c r="H187" s="1333"/>
      <c r="I187" s="1333"/>
      <c r="J187" s="1174"/>
    </row>
    <row r="188" spans="1:10" ht="16.5" thickTop="1" thickBot="1" x14ac:dyDescent="0.3">
      <c r="A188" s="2294" t="s">
        <v>1264</v>
      </c>
      <c r="B188" s="2295"/>
      <c r="C188" s="1289" t="s">
        <v>229</v>
      </c>
      <c r="D188" s="1267">
        <v>0.25</v>
      </c>
      <c r="E188" s="1333"/>
      <c r="F188" s="1333"/>
      <c r="G188" s="1338"/>
      <c r="H188" s="1333"/>
      <c r="I188" s="1333"/>
      <c r="J188" s="1174"/>
    </row>
    <row r="189" spans="1:10" ht="18.75" thickTop="1" x14ac:dyDescent="0.25">
      <c r="A189" s="2304" t="s">
        <v>2106</v>
      </c>
      <c r="B189" s="2304"/>
      <c r="C189" s="2304"/>
      <c r="D189" s="2315"/>
      <c r="E189" s="1419"/>
      <c r="F189" s="1419"/>
      <c r="G189" s="1419"/>
      <c r="H189" s="1419"/>
      <c r="I189" s="1419"/>
      <c r="J189" s="1174"/>
    </row>
    <row r="190" spans="1:10" ht="15" x14ac:dyDescent="0.25">
      <c r="A190" s="1268"/>
      <c r="B190" s="1268"/>
      <c r="C190" s="1268"/>
      <c r="D190" s="1420"/>
      <c r="E190" s="1420"/>
      <c r="F190" s="1420"/>
      <c r="G190" s="1420"/>
      <c r="H190" s="1420"/>
      <c r="I190" s="1420"/>
      <c r="J190" s="1189"/>
    </row>
    <row r="191" spans="1:10" ht="87" customHeight="1" x14ac:dyDescent="0.25">
      <c r="A191" s="2292" t="s">
        <v>2122</v>
      </c>
      <c r="B191" s="2292"/>
      <c r="C191" s="2292"/>
      <c r="D191" s="2293"/>
      <c r="E191" s="1333"/>
      <c r="F191" s="1333"/>
      <c r="G191" s="1333"/>
      <c r="H191" s="1333"/>
      <c r="I191" s="1333"/>
      <c r="J191" s="1174"/>
    </row>
    <row r="192" spans="1:10" ht="15" x14ac:dyDescent="0.25">
      <c r="A192" s="1144" t="s">
        <v>1260</v>
      </c>
      <c r="B192" s="1143"/>
      <c r="C192" s="1143"/>
      <c r="D192" s="1145"/>
      <c r="E192" s="1145"/>
      <c r="F192" s="1145"/>
      <c r="G192" s="1145"/>
      <c r="H192" s="1145"/>
      <c r="I192" s="1145"/>
      <c r="J192" s="1174"/>
    </row>
    <row r="193" spans="1:10" ht="15" x14ac:dyDescent="0.25">
      <c r="A193" s="1143"/>
      <c r="B193" s="1143"/>
      <c r="C193" s="1143"/>
      <c r="D193" s="1145"/>
      <c r="E193" s="1145"/>
      <c r="F193" s="1145"/>
      <c r="G193" s="1145"/>
      <c r="H193" s="1145"/>
      <c r="I193" s="1145"/>
      <c r="J193" s="1174"/>
    </row>
    <row r="194" spans="1:10" ht="87" customHeight="1" x14ac:dyDescent="0.25">
      <c r="A194" s="2292" t="s">
        <v>1778</v>
      </c>
      <c r="B194" s="2292"/>
      <c r="C194" s="2292"/>
      <c r="D194" s="2293"/>
      <c r="E194" s="1333"/>
      <c r="F194" s="1333"/>
      <c r="G194" s="1333"/>
      <c r="H194" s="1333"/>
      <c r="I194" s="1333"/>
      <c r="J194" s="1174"/>
    </row>
    <row r="195" spans="1:10" ht="87" customHeight="1" x14ac:dyDescent="0.25">
      <c r="A195" s="2292" t="s">
        <v>2110</v>
      </c>
      <c r="B195" s="2292"/>
      <c r="C195" s="2292"/>
      <c r="D195" s="2293"/>
      <c r="E195" s="1333"/>
      <c r="F195" s="1333"/>
      <c r="G195" s="1333"/>
      <c r="H195" s="1333"/>
      <c r="I195" s="1333"/>
      <c r="J195" s="1174"/>
    </row>
    <row r="196" spans="1:10" ht="87" customHeight="1" x14ac:dyDescent="0.25">
      <c r="A196" s="2292" t="s">
        <v>2121</v>
      </c>
      <c r="B196" s="2292"/>
      <c r="C196" s="2292"/>
      <c r="D196" s="2293"/>
      <c r="E196" s="1333"/>
      <c r="F196" s="1333"/>
      <c r="G196" s="1333"/>
      <c r="H196" s="1145"/>
      <c r="I196" s="1275"/>
      <c r="J196" s="1174"/>
    </row>
    <row r="197" spans="1:10" ht="87" customHeight="1" x14ac:dyDescent="0.25">
      <c r="A197" s="2292" t="s">
        <v>1780</v>
      </c>
      <c r="B197" s="2292"/>
      <c r="C197" s="2292"/>
      <c r="D197" s="2293"/>
      <c r="E197" s="1333"/>
      <c r="F197" s="1333"/>
      <c r="G197" s="1333"/>
      <c r="H197" s="1145"/>
      <c r="I197" s="1275"/>
      <c r="J197" s="1174"/>
    </row>
    <row r="198" spans="1:10" ht="15" x14ac:dyDescent="0.25">
      <c r="A198" s="1174"/>
      <c r="B198" s="1174"/>
      <c r="C198" s="1174"/>
      <c r="D198" s="1333"/>
      <c r="E198" s="1333"/>
      <c r="F198" s="1333"/>
      <c r="G198" s="1421"/>
      <c r="H198" s="1145"/>
      <c r="I198" s="1275"/>
      <c r="J198" s="1174"/>
    </row>
    <row r="199" spans="1:10" ht="15" x14ac:dyDescent="0.25">
      <c r="A199" s="1144" t="s">
        <v>1795</v>
      </c>
      <c r="B199" s="1143"/>
      <c r="C199" s="1143"/>
      <c r="D199" s="1145"/>
      <c r="E199" s="1333"/>
      <c r="F199" s="1333"/>
      <c r="G199" s="1145"/>
      <c r="H199" s="1145"/>
      <c r="I199" s="1275"/>
      <c r="J199" s="1174"/>
    </row>
    <row r="200" spans="1:10" ht="15" x14ac:dyDescent="0.25">
      <c r="A200" s="1144"/>
      <c r="B200" s="1143"/>
      <c r="C200" s="1143"/>
      <c r="D200" s="1145"/>
      <c r="E200" s="1333"/>
      <c r="F200" s="1333"/>
      <c r="G200" s="1145"/>
      <c r="H200" s="1145"/>
      <c r="I200" s="1275"/>
      <c r="J200" s="1174"/>
    </row>
    <row r="201" spans="1:10" ht="15.75" thickBot="1" x14ac:dyDescent="0.3">
      <c r="A201" s="2289" t="s">
        <v>1773</v>
      </c>
      <c r="B201" s="2289"/>
      <c r="C201" s="1324" t="s">
        <v>229</v>
      </c>
      <c r="D201" s="1706">
        <v>5</v>
      </c>
      <c r="E201" s="1333"/>
      <c r="F201" s="1333"/>
      <c r="G201" s="1334"/>
      <c r="H201" s="1145"/>
      <c r="I201" s="1275"/>
      <c r="J201" s="1174"/>
    </row>
    <row r="202" spans="1:10" ht="16.5" thickTop="1" thickBot="1" x14ac:dyDescent="0.3">
      <c r="A202" s="2289" t="s">
        <v>29</v>
      </c>
      <c r="B202" s="2289"/>
      <c r="C202" s="1324" t="s">
        <v>1318</v>
      </c>
      <c r="D202" s="1325">
        <v>6.0410000000000004</v>
      </c>
      <c r="E202" s="1333"/>
      <c r="F202" s="1333"/>
      <c r="G202" s="1335"/>
      <c r="H202" s="1145"/>
      <c r="I202" s="1275"/>
      <c r="J202" s="1174"/>
    </row>
    <row r="203" spans="1:10" ht="16.5" thickTop="1" thickBot="1" x14ac:dyDescent="0.3">
      <c r="A203" s="2289" t="s">
        <v>1763</v>
      </c>
      <c r="B203" s="2289"/>
      <c r="C203" s="1324" t="s">
        <v>1318</v>
      </c>
      <c r="D203" s="1325">
        <v>1.7656000000000001</v>
      </c>
      <c r="E203" s="1333"/>
      <c r="F203" s="1333"/>
      <c r="G203" s="1335"/>
      <c r="H203" s="1145"/>
      <c r="I203" s="1275"/>
      <c r="J203" s="1174"/>
    </row>
    <row r="204" spans="1:10" ht="16.5" thickTop="1" thickBot="1" x14ac:dyDescent="0.3">
      <c r="A204" s="2289" t="s">
        <v>1754</v>
      </c>
      <c r="B204" s="2289"/>
      <c r="C204" s="1324" t="s">
        <v>1318</v>
      </c>
      <c r="D204" s="1325">
        <v>1.2803</v>
      </c>
      <c r="E204" s="1333"/>
      <c r="F204" s="1333"/>
      <c r="G204" s="1335"/>
      <c r="H204" s="1145"/>
      <c r="I204" s="1275"/>
      <c r="J204" s="1174"/>
    </row>
    <row r="205" spans="1:10" ht="16.5" thickTop="1" thickBot="1" x14ac:dyDescent="0.3">
      <c r="A205" s="2289"/>
      <c r="B205" s="2289"/>
      <c r="C205" s="1324"/>
      <c r="D205" s="1325"/>
      <c r="E205" s="1333"/>
      <c r="F205" s="1333"/>
      <c r="G205" s="1335"/>
      <c r="H205" s="1145"/>
      <c r="I205" s="1275"/>
      <c r="J205" s="1174"/>
    </row>
    <row r="206" spans="1:10" ht="16.5" thickTop="1" thickBot="1" x14ac:dyDescent="0.3">
      <c r="A206" s="2289"/>
      <c r="B206" s="2289"/>
      <c r="C206" s="1324"/>
      <c r="D206" s="1325"/>
      <c r="E206" s="1333"/>
      <c r="F206" s="1333"/>
      <c r="G206" s="1335"/>
      <c r="H206" s="1145"/>
      <c r="I206" s="1275"/>
      <c r="J206" s="1174"/>
    </row>
    <row r="207" spans="1:10" ht="16.5" thickTop="1" thickBot="1" x14ac:dyDescent="0.3">
      <c r="A207" s="2289"/>
      <c r="B207" s="2289"/>
      <c r="C207" s="1324"/>
      <c r="D207" s="1325"/>
      <c r="E207" s="1333"/>
      <c r="F207" s="1333"/>
      <c r="G207" s="1335"/>
      <c r="H207" s="1145"/>
      <c r="I207" s="1275"/>
      <c r="J207" s="1174"/>
    </row>
    <row r="208" spans="1:10" ht="16.5" thickTop="1" thickBot="1" x14ac:dyDescent="0.3">
      <c r="A208" s="2289"/>
      <c r="B208" s="2289"/>
      <c r="C208" s="1324"/>
      <c r="D208" s="1325"/>
      <c r="E208" s="1333"/>
      <c r="F208" s="1333"/>
      <c r="G208" s="1335"/>
      <c r="H208" s="1145"/>
      <c r="I208" s="1275"/>
      <c r="J208" s="1174"/>
    </row>
    <row r="209" spans="1:10" ht="16.5" thickTop="1" thickBot="1" x14ac:dyDescent="0.3">
      <c r="A209" s="2289"/>
      <c r="B209" s="2289"/>
      <c r="C209" s="1324"/>
      <c r="D209" s="1325"/>
      <c r="E209" s="1333"/>
      <c r="F209" s="1333"/>
      <c r="G209" s="1335"/>
      <c r="H209" s="1145"/>
      <c r="I209" s="1275"/>
      <c r="J209" s="1174"/>
    </row>
    <row r="210" spans="1:10" ht="16.5" thickTop="1" thickBot="1" x14ac:dyDescent="0.3">
      <c r="A210" s="2289"/>
      <c r="B210" s="2289"/>
      <c r="C210" s="1324"/>
      <c r="D210" s="1325"/>
      <c r="E210" s="1333"/>
      <c r="F210" s="1333"/>
      <c r="G210" s="1335"/>
      <c r="H210" s="1145"/>
      <c r="I210" s="1275"/>
      <c r="J210" s="1174"/>
    </row>
    <row r="211" spans="1:10" ht="16.5" thickTop="1" thickBot="1" x14ac:dyDescent="0.3">
      <c r="A211" s="2289"/>
      <c r="B211" s="2289"/>
      <c r="C211" s="1324"/>
      <c r="D211" s="1325"/>
      <c r="E211" s="1333"/>
      <c r="F211" s="1333"/>
      <c r="G211" s="1335"/>
      <c r="H211" s="1145"/>
      <c r="I211" s="1275"/>
      <c r="J211" s="1174"/>
    </row>
    <row r="212" spans="1:10" ht="16.5" thickTop="1" thickBot="1" x14ac:dyDescent="0.3">
      <c r="A212" s="2289"/>
      <c r="B212" s="2289"/>
      <c r="C212" s="1324"/>
      <c r="D212" s="1325"/>
      <c r="E212" s="1333"/>
      <c r="F212" s="1333"/>
      <c r="G212" s="1335"/>
      <c r="H212" s="1145"/>
      <c r="I212" s="1275"/>
      <c r="J212" s="1174"/>
    </row>
    <row r="213" spans="1:10" ht="16.5" thickTop="1" thickBot="1" x14ac:dyDescent="0.3">
      <c r="A213" s="2289"/>
      <c r="B213" s="2289"/>
      <c r="C213" s="1324"/>
      <c r="D213" s="1325"/>
      <c r="E213" s="1333"/>
      <c r="F213" s="1333"/>
      <c r="G213" s="1335"/>
      <c r="H213" s="1145"/>
      <c r="I213" s="1275"/>
      <c r="J213" s="1174"/>
    </row>
    <row r="214" spans="1:10" ht="16.5" thickTop="1" thickBot="1" x14ac:dyDescent="0.3">
      <c r="A214" s="2289"/>
      <c r="B214" s="2289"/>
      <c r="C214" s="1324"/>
      <c r="D214" s="1325"/>
      <c r="E214" s="1333"/>
      <c r="F214" s="1333"/>
      <c r="G214" s="1335"/>
      <c r="H214" s="1145"/>
      <c r="I214" s="1275"/>
      <c r="J214" s="1174"/>
    </row>
    <row r="215" spans="1:10" ht="16.5" thickTop="1" thickBot="1" x14ac:dyDescent="0.3">
      <c r="A215" s="2289"/>
      <c r="B215" s="2289"/>
      <c r="C215" s="1324"/>
      <c r="D215" s="1325"/>
      <c r="E215" s="1333"/>
      <c r="F215" s="1333"/>
      <c r="G215" s="1335"/>
      <c r="H215" s="1145"/>
      <c r="I215" s="1275"/>
      <c r="J215" s="1174"/>
    </row>
    <row r="216" spans="1:10" ht="16.5" thickTop="1" thickBot="1" x14ac:dyDescent="0.3">
      <c r="A216" s="2289"/>
      <c r="B216" s="2289"/>
      <c r="C216" s="1324"/>
      <c r="D216" s="1325"/>
      <c r="E216" s="1333"/>
      <c r="F216" s="1333"/>
      <c r="G216" s="1335"/>
      <c r="H216" s="1145"/>
      <c r="I216" s="1275"/>
      <c r="J216" s="1174"/>
    </row>
    <row r="217" spans="1:10" ht="16.5" thickTop="1" thickBot="1" x14ac:dyDescent="0.3">
      <c r="A217" s="2289"/>
      <c r="B217" s="2289"/>
      <c r="C217" s="1324"/>
      <c r="D217" s="1325"/>
      <c r="E217" s="1333"/>
      <c r="F217" s="1333"/>
      <c r="G217" s="1335"/>
      <c r="H217" s="1145"/>
      <c r="I217" s="1275"/>
      <c r="J217" s="1174"/>
    </row>
    <row r="218" spans="1:10" ht="16.5" thickTop="1" thickBot="1" x14ac:dyDescent="0.3">
      <c r="A218" s="2289"/>
      <c r="B218" s="2289"/>
      <c r="C218" s="1324"/>
      <c r="D218" s="1325"/>
      <c r="E218" s="1333"/>
      <c r="F218" s="1333"/>
      <c r="G218" s="1335"/>
      <c r="H218" s="1145"/>
      <c r="I218" s="1275"/>
      <c r="J218" s="1174"/>
    </row>
    <row r="219" spans="1:10" ht="16.5" thickTop="1" thickBot="1" x14ac:dyDescent="0.3">
      <c r="A219" s="2289"/>
      <c r="B219" s="2289"/>
      <c r="C219" s="1324"/>
      <c r="D219" s="1325"/>
      <c r="E219" s="1333"/>
      <c r="F219" s="1333"/>
      <c r="G219" s="1335"/>
      <c r="H219" s="1145"/>
      <c r="I219" s="1275"/>
      <c r="J219" s="1174"/>
    </row>
    <row r="220" spans="1:10" ht="16.5" thickTop="1" thickBot="1" x14ac:dyDescent="0.3">
      <c r="A220" s="2289"/>
      <c r="B220" s="2289"/>
      <c r="C220" s="1324"/>
      <c r="D220" s="1325"/>
      <c r="E220" s="1333"/>
      <c r="F220" s="1333"/>
      <c r="G220" s="1335"/>
      <c r="H220" s="1145"/>
      <c r="I220" s="1275"/>
      <c r="J220" s="1174"/>
    </row>
    <row r="221" spans="1:10" ht="16.5" thickTop="1" thickBot="1" x14ac:dyDescent="0.3">
      <c r="A221" s="2289"/>
      <c r="B221" s="2289"/>
      <c r="C221" s="1324"/>
      <c r="D221" s="1325"/>
      <c r="E221" s="1333"/>
      <c r="F221" s="1333"/>
      <c r="G221" s="1335"/>
      <c r="H221" s="1145"/>
      <c r="I221" s="1275"/>
      <c r="J221" s="1174"/>
    </row>
    <row r="222" spans="1:10" ht="16.5" thickTop="1" thickBot="1" x14ac:dyDescent="0.3">
      <c r="A222" s="2289"/>
      <c r="B222" s="2289"/>
      <c r="C222" s="1324"/>
      <c r="D222" s="1325"/>
      <c r="E222" s="1333"/>
      <c r="F222" s="1333"/>
      <c r="G222" s="1335"/>
      <c r="H222" s="1145"/>
      <c r="I222" s="1275"/>
      <c r="J222" s="1174"/>
    </row>
    <row r="223" spans="1:10" ht="16.5" thickTop="1" thickBot="1" x14ac:dyDescent="0.3">
      <c r="A223" s="2289"/>
      <c r="B223" s="2289"/>
      <c r="C223" s="1324"/>
      <c r="D223" s="1325"/>
      <c r="E223" s="1333"/>
      <c r="F223" s="1333"/>
      <c r="G223" s="1335"/>
      <c r="H223" s="1145"/>
      <c r="I223" s="1275"/>
      <c r="J223" s="1174"/>
    </row>
    <row r="224" spans="1:10" ht="16.5" thickTop="1" thickBot="1" x14ac:dyDescent="0.3">
      <c r="A224" s="2289"/>
      <c r="B224" s="2289"/>
      <c r="C224" s="1324"/>
      <c r="D224" s="1325"/>
      <c r="E224" s="1333"/>
      <c r="F224" s="1333"/>
      <c r="G224" s="1335"/>
      <c r="H224" s="1145"/>
      <c r="I224" s="1275"/>
      <c r="J224" s="1174"/>
    </row>
    <row r="225" spans="1:10" ht="16.5" thickTop="1" thickBot="1" x14ac:dyDescent="0.3">
      <c r="A225" s="2290" t="s">
        <v>2112</v>
      </c>
      <c r="B225" s="2291"/>
      <c r="C225" s="1324" t="s">
        <v>1318</v>
      </c>
      <c r="D225" s="1325">
        <v>-2.5325000000000002</v>
      </c>
      <c r="E225" s="1333"/>
      <c r="F225" s="1333"/>
      <c r="G225" s="1335"/>
      <c r="H225" s="1145"/>
      <c r="I225" s="1275"/>
      <c r="J225" s="1174"/>
    </row>
    <row r="226" spans="1:10" ht="16.5" thickTop="1" thickBot="1" x14ac:dyDescent="0.3">
      <c r="A226" s="2290"/>
      <c r="B226" s="2290"/>
      <c r="C226" s="1324"/>
      <c r="D226" s="1325"/>
      <c r="E226" s="1333"/>
      <c r="F226" s="1333"/>
      <c r="G226" s="1335"/>
      <c r="H226" s="1145"/>
      <c r="I226" s="1275"/>
      <c r="J226" s="1174"/>
    </row>
    <row r="227" spans="1:10" ht="16.5" thickTop="1" thickBot="1" x14ac:dyDescent="0.3">
      <c r="A227" s="2290" t="s">
        <v>2114</v>
      </c>
      <c r="B227" s="2290"/>
      <c r="C227" s="1324" t="s">
        <v>1311</v>
      </c>
      <c r="D227" s="1325">
        <v>-7.2700000000000001E-2</v>
      </c>
      <c r="E227" s="1333"/>
      <c r="F227" s="1333"/>
      <c r="G227" s="1335"/>
      <c r="H227" s="1145"/>
      <c r="I227" s="1275"/>
      <c r="J227" s="1174"/>
    </row>
    <row r="228" spans="1:10" ht="16.5" thickTop="1" thickBot="1" x14ac:dyDescent="0.3">
      <c r="A228" s="2290" t="s">
        <v>2115</v>
      </c>
      <c r="B228" s="2291"/>
      <c r="C228" s="1324" t="s">
        <v>1318</v>
      </c>
      <c r="D228" s="1325">
        <v>-0.3412</v>
      </c>
      <c r="E228" s="1333"/>
      <c r="F228" s="1333"/>
      <c r="G228" s="1335"/>
      <c r="H228" s="1145"/>
      <c r="I228" s="1275"/>
      <c r="J228" s="1174"/>
    </row>
    <row r="229" spans="1:10" ht="16.5" thickTop="1" thickBot="1" x14ac:dyDescent="0.3">
      <c r="A229" s="2290"/>
      <c r="B229" s="2290"/>
      <c r="C229" s="1324"/>
      <c r="D229" s="1325"/>
      <c r="E229" s="1333"/>
      <c r="F229" s="1333"/>
      <c r="G229" s="1335"/>
      <c r="H229" s="1145"/>
      <c r="I229" s="1275"/>
      <c r="J229" s="1174"/>
    </row>
    <row r="230" spans="1:10" ht="16.5" thickTop="1" thickBot="1" x14ac:dyDescent="0.3">
      <c r="A230" s="2290"/>
      <c r="B230" s="2290"/>
      <c r="C230" s="1324"/>
      <c r="D230" s="1325"/>
      <c r="E230" s="1333"/>
      <c r="F230" s="1333"/>
      <c r="G230" s="1336"/>
      <c r="H230" s="1145"/>
      <c r="I230" s="1275"/>
      <c r="J230" s="1174"/>
    </row>
    <row r="231" spans="1:10" ht="15.75" thickTop="1" x14ac:dyDescent="0.25">
      <c r="A231" s="1143"/>
      <c r="B231" s="1143"/>
      <c r="C231" s="1143"/>
      <c r="D231" s="1145"/>
      <c r="E231" s="1333"/>
      <c r="F231" s="1333"/>
      <c r="G231" s="1337"/>
      <c r="H231" s="1145"/>
      <c r="I231" s="1275"/>
      <c r="J231" s="1174"/>
    </row>
    <row r="232" spans="1:10" ht="15" x14ac:dyDescent="0.25">
      <c r="A232" s="1144" t="s">
        <v>1261</v>
      </c>
      <c r="B232" s="1143"/>
      <c r="C232" s="1143"/>
      <c r="D232" s="1145"/>
      <c r="E232" s="1333"/>
      <c r="F232" s="1333"/>
      <c r="G232" s="1337"/>
      <c r="H232" s="1145"/>
      <c r="I232" s="1275"/>
      <c r="J232" s="1174"/>
    </row>
    <row r="233" spans="1:10" ht="15" x14ac:dyDescent="0.25">
      <c r="A233" s="1143"/>
      <c r="B233" s="1143"/>
      <c r="C233" s="1143"/>
      <c r="D233" s="1145"/>
      <c r="E233" s="1333"/>
      <c r="F233" s="1333"/>
      <c r="G233" s="1337"/>
      <c r="H233" s="1145"/>
      <c r="I233" s="1275"/>
      <c r="J233" s="1174"/>
    </row>
    <row r="234" spans="1:10" ht="15.75" thickBot="1" x14ac:dyDescent="0.3">
      <c r="A234" s="2294" t="s">
        <v>1262</v>
      </c>
      <c r="B234" s="2295"/>
      <c r="C234" s="1287" t="s">
        <v>1311</v>
      </c>
      <c r="D234" s="1265">
        <v>4.4000000000000003E-3</v>
      </c>
      <c r="E234" s="1333"/>
      <c r="F234" s="1333"/>
      <c r="G234" s="1338"/>
      <c r="H234" s="1333"/>
      <c r="I234" s="1333"/>
      <c r="J234" s="1174"/>
    </row>
    <row r="235" spans="1:10" ht="16.5" thickTop="1" thickBot="1" x14ac:dyDescent="0.3">
      <c r="A235" s="2294" t="s">
        <v>1263</v>
      </c>
      <c r="B235" s="2295"/>
      <c r="C235" s="1288" t="s">
        <v>1311</v>
      </c>
      <c r="D235" s="1266">
        <v>1.2999999999999999E-3</v>
      </c>
      <c r="E235" s="1333"/>
      <c r="F235" s="1333"/>
      <c r="G235" s="1338"/>
      <c r="H235" s="1333"/>
      <c r="I235" s="1333"/>
      <c r="J235" s="1174"/>
    </row>
    <row r="236" spans="1:10" ht="16.5" thickTop="1" thickBot="1" x14ac:dyDescent="0.3">
      <c r="A236" s="2294" t="s">
        <v>1264</v>
      </c>
      <c r="B236" s="2295"/>
      <c r="C236" s="1289" t="s">
        <v>229</v>
      </c>
      <c r="D236" s="1267">
        <v>0.25</v>
      </c>
      <c r="E236" s="1333"/>
      <c r="F236" s="1333"/>
      <c r="G236" s="1338"/>
      <c r="H236" s="1333"/>
      <c r="I236" s="1333"/>
      <c r="J236" s="1174"/>
    </row>
    <row r="237" spans="1:10" ht="18.75" thickTop="1" x14ac:dyDescent="0.25">
      <c r="A237" s="2304" t="s">
        <v>2107</v>
      </c>
      <c r="B237" s="2304"/>
      <c r="C237" s="2304"/>
      <c r="D237" s="2315"/>
      <c r="E237" s="1419"/>
      <c r="F237" s="1419"/>
      <c r="G237" s="1419"/>
      <c r="H237" s="1419"/>
      <c r="I237" s="1419"/>
      <c r="J237" s="1174"/>
    </row>
    <row r="238" spans="1:10" ht="15" x14ac:dyDescent="0.25">
      <c r="A238" s="1268"/>
      <c r="B238" s="1268"/>
      <c r="C238" s="1268"/>
      <c r="D238" s="1420"/>
      <c r="E238" s="1420"/>
      <c r="F238" s="1420"/>
      <c r="G238" s="1420"/>
      <c r="H238" s="1420"/>
      <c r="I238" s="1420"/>
      <c r="J238" s="1189"/>
    </row>
    <row r="239" spans="1:10" ht="87" customHeight="1" x14ac:dyDescent="0.25">
      <c r="A239" s="2292" t="s">
        <v>2123</v>
      </c>
      <c r="B239" s="2292"/>
      <c r="C239" s="2292"/>
      <c r="D239" s="2293"/>
      <c r="E239" s="1333"/>
      <c r="F239" s="1333"/>
      <c r="G239" s="1333"/>
      <c r="H239" s="1333"/>
      <c r="I239" s="1333"/>
      <c r="J239" s="1174"/>
    </row>
    <row r="240" spans="1:10" ht="15" x14ac:dyDescent="0.25">
      <c r="A240" s="1144" t="s">
        <v>1260</v>
      </c>
      <c r="B240" s="1143"/>
      <c r="C240" s="1143"/>
      <c r="D240" s="1145"/>
      <c r="E240" s="1145"/>
      <c r="F240" s="1145"/>
      <c r="G240" s="1145"/>
      <c r="H240" s="1145"/>
      <c r="I240" s="1145"/>
      <c r="J240" s="1174"/>
    </row>
    <row r="241" spans="1:10" ht="15" x14ac:dyDescent="0.25">
      <c r="A241" s="1143"/>
      <c r="B241" s="1143"/>
      <c r="C241" s="1143"/>
      <c r="D241" s="1145"/>
      <c r="E241" s="1145"/>
      <c r="F241" s="1145"/>
      <c r="G241" s="1145"/>
      <c r="H241" s="1145"/>
      <c r="I241" s="1145"/>
      <c r="J241" s="1174"/>
    </row>
    <row r="242" spans="1:10" ht="87" customHeight="1" x14ac:dyDescent="0.25">
      <c r="A242" s="2292" t="s">
        <v>1778</v>
      </c>
      <c r="B242" s="2292"/>
      <c r="C242" s="2292"/>
      <c r="D242" s="2293"/>
      <c r="E242" s="1333"/>
      <c r="F242" s="1333"/>
      <c r="G242" s="1333"/>
      <c r="H242" s="1333"/>
      <c r="I242" s="1333"/>
      <c r="J242" s="1174"/>
    </row>
    <row r="243" spans="1:10" ht="87" customHeight="1" x14ac:dyDescent="0.25">
      <c r="A243" s="2292" t="s">
        <v>2110</v>
      </c>
      <c r="B243" s="2292"/>
      <c r="C243" s="2292"/>
      <c r="D243" s="2293"/>
      <c r="E243" s="1333"/>
      <c r="F243" s="1333"/>
      <c r="G243" s="1333"/>
      <c r="H243" s="1333"/>
      <c r="I243" s="1333"/>
      <c r="J243" s="1174"/>
    </row>
    <row r="244" spans="1:10" ht="87" customHeight="1" x14ac:dyDescent="0.25">
      <c r="A244" s="2292" t="s">
        <v>2121</v>
      </c>
      <c r="B244" s="2292"/>
      <c r="C244" s="2292"/>
      <c r="D244" s="2293"/>
      <c r="E244" s="1333"/>
      <c r="F244" s="1333"/>
      <c r="G244" s="1333"/>
      <c r="H244" s="1145"/>
      <c r="I244" s="1275"/>
      <c r="J244" s="1174"/>
    </row>
    <row r="245" spans="1:10" ht="87" customHeight="1" x14ac:dyDescent="0.25">
      <c r="A245" s="2292" t="s">
        <v>2124</v>
      </c>
      <c r="B245" s="2292"/>
      <c r="C245" s="2292"/>
      <c r="D245" s="2293"/>
      <c r="E245" s="1333"/>
      <c r="F245" s="1333"/>
      <c r="G245" s="1333"/>
      <c r="H245" s="1145"/>
      <c r="I245" s="1275"/>
      <c r="J245" s="1174"/>
    </row>
    <row r="246" spans="1:10" ht="15" x14ac:dyDescent="0.25">
      <c r="A246" s="1174"/>
      <c r="B246" s="1174"/>
      <c r="C246" s="1174"/>
      <c r="D246" s="1333"/>
      <c r="E246" s="1333"/>
      <c r="F246" s="1333"/>
      <c r="G246" s="1421"/>
      <c r="H246" s="1145"/>
      <c r="I246" s="1275"/>
      <c r="J246" s="1174"/>
    </row>
    <row r="247" spans="1:10" ht="15" x14ac:dyDescent="0.25">
      <c r="A247" s="1144" t="s">
        <v>1795</v>
      </c>
      <c r="B247" s="1143"/>
      <c r="C247" s="1143"/>
      <c r="D247" s="1145"/>
      <c r="E247" s="1333"/>
      <c r="F247" s="1333"/>
      <c r="G247" s="1145"/>
      <c r="H247" s="1145"/>
      <c r="I247" s="1275"/>
      <c r="J247" s="1174"/>
    </row>
    <row r="248" spans="1:10" ht="15" x14ac:dyDescent="0.25">
      <c r="A248" s="1144"/>
      <c r="B248" s="1143"/>
      <c r="C248" s="1143"/>
      <c r="D248" s="1145"/>
      <c r="E248" s="1333"/>
      <c r="F248" s="1333"/>
      <c r="G248" s="1145"/>
      <c r="H248" s="1145"/>
      <c r="I248" s="1275"/>
      <c r="J248" s="1174"/>
    </row>
    <row r="249" spans="1:10" ht="15.75" thickBot="1" x14ac:dyDescent="0.3">
      <c r="A249" s="2289" t="s">
        <v>1773</v>
      </c>
      <c r="B249" s="2289"/>
      <c r="C249" s="1324" t="s">
        <v>229</v>
      </c>
      <c r="D249" s="1706">
        <v>3.79</v>
      </c>
      <c r="E249" s="1333"/>
      <c r="F249" s="1333"/>
      <c r="G249" s="1334"/>
      <c r="H249" s="1145"/>
      <c r="I249" s="1275"/>
      <c r="J249" s="1174"/>
    </row>
    <row r="250" spans="1:10" ht="16.5" thickTop="1" thickBot="1" x14ac:dyDescent="0.3">
      <c r="A250" s="2289" t="s">
        <v>29</v>
      </c>
      <c r="B250" s="2289"/>
      <c r="C250" s="1324" t="s">
        <v>1318</v>
      </c>
      <c r="D250" s="1325">
        <v>3.7100000000000001E-2</v>
      </c>
      <c r="E250" s="1333"/>
      <c r="F250" s="1333"/>
      <c r="G250" s="1335"/>
      <c r="H250" s="1145"/>
      <c r="I250" s="1275"/>
      <c r="J250" s="1174"/>
    </row>
    <row r="251" spans="1:10" ht="16.5" thickTop="1" thickBot="1" x14ac:dyDescent="0.3">
      <c r="A251" s="2289" t="s">
        <v>1763</v>
      </c>
      <c r="B251" s="2289"/>
      <c r="C251" s="1324" t="s">
        <v>1318</v>
      </c>
      <c r="D251" s="1325">
        <v>2.1659999999999999</v>
      </c>
      <c r="E251" s="1333"/>
      <c r="F251" s="1333"/>
      <c r="G251" s="1335"/>
      <c r="H251" s="1145"/>
      <c r="I251" s="1275"/>
      <c r="J251" s="1174"/>
    </row>
    <row r="252" spans="1:10" ht="16.5" thickTop="1" thickBot="1" x14ac:dyDescent="0.3">
      <c r="A252" s="2289" t="s">
        <v>1754</v>
      </c>
      <c r="B252" s="2289"/>
      <c r="C252" s="1324" t="s">
        <v>1318</v>
      </c>
      <c r="D252" s="1325">
        <v>1.5713999999999999</v>
      </c>
      <c r="E252" s="1333"/>
      <c r="F252" s="1333"/>
      <c r="G252" s="1335"/>
      <c r="H252" s="1145"/>
      <c r="I252" s="1275"/>
      <c r="J252" s="1174"/>
    </row>
    <row r="253" spans="1:10" ht="16.5" thickTop="1" thickBot="1" x14ac:dyDescent="0.3">
      <c r="A253" s="2289"/>
      <c r="B253" s="2289"/>
      <c r="C253" s="1324"/>
      <c r="D253" s="1325"/>
      <c r="E253" s="1333"/>
      <c r="F253" s="1333"/>
      <c r="G253" s="1335"/>
      <c r="H253" s="1145"/>
      <c r="I253" s="1275"/>
      <c r="J253" s="1174"/>
    </row>
    <row r="254" spans="1:10" ht="16.5" thickTop="1" thickBot="1" x14ac:dyDescent="0.3">
      <c r="A254" s="2289"/>
      <c r="B254" s="2289"/>
      <c r="C254" s="1324"/>
      <c r="D254" s="1325"/>
      <c r="E254" s="1333"/>
      <c r="F254" s="1333"/>
      <c r="G254" s="1335"/>
      <c r="H254" s="1145"/>
      <c r="I254" s="1275"/>
      <c r="J254" s="1174"/>
    </row>
    <row r="255" spans="1:10" ht="16.5" thickTop="1" thickBot="1" x14ac:dyDescent="0.3">
      <c r="A255" s="2289"/>
      <c r="B255" s="2289"/>
      <c r="C255" s="1324"/>
      <c r="D255" s="1325"/>
      <c r="E255" s="1333"/>
      <c r="F255" s="1333"/>
      <c r="G255" s="1335"/>
      <c r="H255" s="1145"/>
      <c r="I255" s="1275"/>
      <c r="J255" s="1174"/>
    </row>
    <row r="256" spans="1:10" ht="16.5" thickTop="1" thickBot="1" x14ac:dyDescent="0.3">
      <c r="A256" s="2289"/>
      <c r="B256" s="2289"/>
      <c r="C256" s="1324"/>
      <c r="D256" s="1325"/>
      <c r="E256" s="1333"/>
      <c r="F256" s="1333"/>
      <c r="G256" s="1335"/>
      <c r="H256" s="1145"/>
      <c r="I256" s="1275"/>
      <c r="J256" s="1174"/>
    </row>
    <row r="257" spans="1:10" ht="16.5" thickTop="1" thickBot="1" x14ac:dyDescent="0.3">
      <c r="A257" s="2289"/>
      <c r="B257" s="2289"/>
      <c r="C257" s="1324"/>
      <c r="D257" s="1325"/>
      <c r="E257" s="1333"/>
      <c r="F257" s="1333"/>
      <c r="G257" s="1335"/>
      <c r="H257" s="1145"/>
      <c r="I257" s="1275"/>
      <c r="J257" s="1174"/>
    </row>
    <row r="258" spans="1:10" ht="16.5" thickTop="1" thickBot="1" x14ac:dyDescent="0.3">
      <c r="A258" s="2289"/>
      <c r="B258" s="2289"/>
      <c r="C258" s="1324"/>
      <c r="D258" s="1325"/>
      <c r="E258" s="1333"/>
      <c r="F258" s="1333"/>
      <c r="G258" s="1335"/>
      <c r="H258" s="1145"/>
      <c r="I258" s="1275"/>
      <c r="J258" s="1174"/>
    </row>
    <row r="259" spans="1:10" ht="16.5" thickTop="1" thickBot="1" x14ac:dyDescent="0.3">
      <c r="A259" s="2289"/>
      <c r="B259" s="2289"/>
      <c r="C259" s="1324"/>
      <c r="D259" s="1325"/>
      <c r="E259" s="1333"/>
      <c r="F259" s="1333"/>
      <c r="G259" s="1335"/>
      <c r="H259" s="1145"/>
      <c r="I259" s="1275"/>
      <c r="J259" s="1174"/>
    </row>
    <row r="260" spans="1:10" ht="16.5" thickTop="1" thickBot="1" x14ac:dyDescent="0.3">
      <c r="A260" s="2289"/>
      <c r="B260" s="2289"/>
      <c r="C260" s="1324"/>
      <c r="D260" s="1325"/>
      <c r="E260" s="1333"/>
      <c r="F260" s="1333"/>
      <c r="G260" s="1335"/>
      <c r="H260" s="1145"/>
      <c r="I260" s="1275"/>
      <c r="J260" s="1174"/>
    </row>
    <row r="261" spans="1:10" ht="16.5" thickTop="1" thickBot="1" x14ac:dyDescent="0.3">
      <c r="A261" s="2289"/>
      <c r="B261" s="2289"/>
      <c r="C261" s="1324"/>
      <c r="D261" s="1325"/>
      <c r="E261" s="1333"/>
      <c r="F261" s="1333"/>
      <c r="G261" s="1335"/>
      <c r="H261" s="1145"/>
      <c r="I261" s="1275"/>
      <c r="J261" s="1174"/>
    </row>
    <row r="262" spans="1:10" ht="16.5" thickTop="1" thickBot="1" x14ac:dyDescent="0.3">
      <c r="A262" s="2289"/>
      <c r="B262" s="2289"/>
      <c r="C262" s="1324"/>
      <c r="D262" s="1325"/>
      <c r="E262" s="1333"/>
      <c r="F262" s="1333"/>
      <c r="G262" s="1335"/>
      <c r="H262" s="1145"/>
      <c r="I262" s="1275"/>
      <c r="J262" s="1174"/>
    </row>
    <row r="263" spans="1:10" ht="16.5" thickTop="1" thickBot="1" x14ac:dyDescent="0.3">
      <c r="A263" s="2289"/>
      <c r="B263" s="2289"/>
      <c r="C263" s="1324"/>
      <c r="D263" s="1325"/>
      <c r="E263" s="1333"/>
      <c r="F263" s="1333"/>
      <c r="G263" s="1335"/>
      <c r="H263" s="1145"/>
      <c r="I263" s="1275"/>
      <c r="J263" s="1174"/>
    </row>
    <row r="264" spans="1:10" ht="16.5" thickTop="1" thickBot="1" x14ac:dyDescent="0.3">
      <c r="A264" s="2289"/>
      <c r="B264" s="2289"/>
      <c r="C264" s="1324"/>
      <c r="D264" s="1325"/>
      <c r="E264" s="1333"/>
      <c r="F264" s="1333"/>
      <c r="G264" s="1335"/>
      <c r="H264" s="1145"/>
      <c r="I264" s="1275"/>
      <c r="J264" s="1174"/>
    </row>
    <row r="265" spans="1:10" ht="16.5" thickTop="1" thickBot="1" x14ac:dyDescent="0.3">
      <c r="A265" s="2289"/>
      <c r="B265" s="2289"/>
      <c r="C265" s="1324"/>
      <c r="D265" s="1325"/>
      <c r="E265" s="1333"/>
      <c r="F265" s="1333"/>
      <c r="G265" s="1335"/>
      <c r="H265" s="1145"/>
      <c r="I265" s="1275"/>
      <c r="J265" s="1174"/>
    </row>
    <row r="266" spans="1:10" ht="16.5" thickTop="1" thickBot="1" x14ac:dyDescent="0.3">
      <c r="A266" s="2289"/>
      <c r="B266" s="2289"/>
      <c r="C266" s="1324"/>
      <c r="D266" s="1325"/>
      <c r="E266" s="1333"/>
      <c r="F266" s="1333"/>
      <c r="G266" s="1335"/>
      <c r="H266" s="1145"/>
      <c r="I266" s="1275"/>
      <c r="J266" s="1174"/>
    </row>
    <row r="267" spans="1:10" ht="16.5" thickTop="1" thickBot="1" x14ac:dyDescent="0.3">
      <c r="A267" s="2289"/>
      <c r="B267" s="2289"/>
      <c r="C267" s="1324"/>
      <c r="D267" s="1325"/>
      <c r="E267" s="1333"/>
      <c r="F267" s="1333"/>
      <c r="G267" s="1335"/>
      <c r="H267" s="1145"/>
      <c r="I267" s="1275"/>
      <c r="J267" s="1174"/>
    </row>
    <row r="268" spans="1:10" ht="16.5" thickTop="1" thickBot="1" x14ac:dyDescent="0.3">
      <c r="A268" s="2289"/>
      <c r="B268" s="2289"/>
      <c r="C268" s="1324"/>
      <c r="D268" s="1325"/>
      <c r="E268" s="1333"/>
      <c r="F268" s="1333"/>
      <c r="G268" s="1335"/>
      <c r="H268" s="1145"/>
      <c r="I268" s="1275"/>
      <c r="J268" s="1174"/>
    </row>
    <row r="269" spans="1:10" ht="16.5" thickTop="1" thickBot="1" x14ac:dyDescent="0.3">
      <c r="A269" s="2289"/>
      <c r="B269" s="2289"/>
      <c r="C269" s="1324"/>
      <c r="D269" s="1325"/>
      <c r="E269" s="1333"/>
      <c r="F269" s="1333"/>
      <c r="G269" s="1335"/>
      <c r="H269" s="1145"/>
      <c r="I269" s="1275"/>
      <c r="J269" s="1174"/>
    </row>
    <row r="270" spans="1:10" ht="16.5" thickTop="1" thickBot="1" x14ac:dyDescent="0.3">
      <c r="A270" s="2289"/>
      <c r="B270" s="2289"/>
      <c r="C270" s="1324"/>
      <c r="D270" s="1325"/>
      <c r="E270" s="1333"/>
      <c r="F270" s="1333"/>
      <c r="G270" s="1335"/>
      <c r="H270" s="1145"/>
      <c r="I270" s="1275"/>
      <c r="J270" s="1174"/>
    </row>
    <row r="271" spans="1:10" ht="16.5" thickTop="1" thickBot="1" x14ac:dyDescent="0.3">
      <c r="A271" s="2289"/>
      <c r="B271" s="2289"/>
      <c r="C271" s="1324"/>
      <c r="D271" s="1325"/>
      <c r="E271" s="1333"/>
      <c r="F271" s="1333"/>
      <c r="G271" s="1335"/>
      <c r="H271" s="1145"/>
      <c r="I271" s="1275"/>
      <c r="J271" s="1174"/>
    </row>
    <row r="272" spans="1:10" ht="16.5" thickTop="1" thickBot="1" x14ac:dyDescent="0.3">
      <c r="A272" s="2289"/>
      <c r="B272" s="2289"/>
      <c r="C272" s="1324"/>
      <c r="D272" s="1325"/>
      <c r="E272" s="1333"/>
      <c r="F272" s="1333"/>
      <c r="G272" s="1335"/>
      <c r="H272" s="1145"/>
      <c r="I272" s="1275"/>
      <c r="J272" s="1174"/>
    </row>
    <row r="273" spans="1:10" ht="16.5" thickTop="1" thickBot="1" x14ac:dyDescent="0.3">
      <c r="A273" s="2290" t="s">
        <v>2112</v>
      </c>
      <c r="B273" s="2291"/>
      <c r="C273" s="1324" t="s">
        <v>1318</v>
      </c>
      <c r="D273" s="1325">
        <v>-2.3801999999999999</v>
      </c>
      <c r="E273" s="1333"/>
      <c r="F273" s="1333"/>
      <c r="G273" s="1335"/>
      <c r="H273" s="1145"/>
      <c r="I273" s="1275"/>
      <c r="J273" s="1174"/>
    </row>
    <row r="274" spans="1:10" ht="16.5" thickTop="1" thickBot="1" x14ac:dyDescent="0.3">
      <c r="A274" s="2290" t="s">
        <v>2113</v>
      </c>
      <c r="B274" s="2290"/>
      <c r="C274" s="1324" t="s">
        <v>1318</v>
      </c>
      <c r="D274" s="1325">
        <v>3.4270999999999998</v>
      </c>
      <c r="E274" s="1333"/>
      <c r="F274" s="1333"/>
      <c r="G274" s="1335"/>
      <c r="H274" s="1145"/>
      <c r="I274" s="1275"/>
      <c r="J274" s="1174"/>
    </row>
    <row r="275" spans="1:10" ht="16.5" thickTop="1" thickBot="1" x14ac:dyDescent="0.3">
      <c r="A275" s="2290" t="s">
        <v>2114</v>
      </c>
      <c r="B275" s="2290"/>
      <c r="C275" s="1324" t="s">
        <v>1311</v>
      </c>
      <c r="D275" s="1325">
        <v>5.7599999999999998E-2</v>
      </c>
      <c r="E275" s="1333"/>
      <c r="F275" s="1333"/>
      <c r="G275" s="1335"/>
      <c r="H275" s="1145"/>
      <c r="I275" s="1275"/>
      <c r="J275" s="1174"/>
    </row>
    <row r="276" spans="1:10" ht="16.5" thickTop="1" thickBot="1" x14ac:dyDescent="0.3">
      <c r="A276" s="2290" t="s">
        <v>2115</v>
      </c>
      <c r="B276" s="2291"/>
      <c r="C276" s="1324" t="s">
        <v>1318</v>
      </c>
      <c r="D276" s="1325">
        <v>-0.97540000000000004</v>
      </c>
      <c r="E276" s="1333"/>
      <c r="F276" s="1333"/>
      <c r="G276" s="1335"/>
      <c r="H276" s="1145"/>
      <c r="I276" s="1275"/>
      <c r="J276" s="1174"/>
    </row>
    <row r="277" spans="1:10" ht="16.5" thickTop="1" thickBot="1" x14ac:dyDescent="0.3">
      <c r="A277" s="2290" t="s">
        <v>2116</v>
      </c>
      <c r="B277" s="2290"/>
      <c r="C277" s="1324" t="s">
        <v>1318</v>
      </c>
      <c r="D277" s="1325">
        <v>8.3521999999999998</v>
      </c>
      <c r="E277" s="1333"/>
      <c r="F277" s="1333"/>
      <c r="G277" s="1335"/>
      <c r="H277" s="1145"/>
      <c r="I277" s="1275"/>
      <c r="J277" s="1174"/>
    </row>
    <row r="278" spans="1:10" ht="16.5" thickTop="1" thickBot="1" x14ac:dyDescent="0.3">
      <c r="A278" s="2290"/>
      <c r="B278" s="2290"/>
      <c r="C278" s="1324"/>
      <c r="D278" s="1325"/>
      <c r="E278" s="1333"/>
      <c r="F278" s="1333"/>
      <c r="G278" s="1336"/>
      <c r="H278" s="1145"/>
      <c r="I278" s="1275"/>
      <c r="J278" s="1174"/>
    </row>
    <row r="279" spans="1:10" ht="15.75" thickTop="1" x14ac:dyDescent="0.25">
      <c r="A279" s="1143"/>
      <c r="B279" s="1143"/>
      <c r="C279" s="1143"/>
      <c r="D279" s="1145"/>
      <c r="E279" s="1333"/>
      <c r="F279" s="1333"/>
      <c r="G279" s="1337"/>
      <c r="H279" s="1145"/>
      <c r="I279" s="1275"/>
      <c r="J279" s="1174"/>
    </row>
    <row r="280" spans="1:10" ht="15" x14ac:dyDescent="0.25">
      <c r="A280" s="1144" t="s">
        <v>1261</v>
      </c>
      <c r="B280" s="1143"/>
      <c r="C280" s="1143"/>
      <c r="D280" s="1145"/>
      <c r="E280" s="1333"/>
      <c r="F280" s="1333"/>
      <c r="G280" s="1337"/>
      <c r="H280" s="1145"/>
      <c r="I280" s="1275"/>
      <c r="J280" s="1174"/>
    </row>
    <row r="281" spans="1:10" ht="15" x14ac:dyDescent="0.25">
      <c r="A281" s="1143"/>
      <c r="B281" s="1143"/>
      <c r="C281" s="1143"/>
      <c r="D281" s="1145"/>
      <c r="E281" s="1333"/>
      <c r="F281" s="1333"/>
      <c r="G281" s="1337"/>
      <c r="H281" s="1145"/>
      <c r="I281" s="1275"/>
      <c r="J281" s="1174"/>
    </row>
    <row r="282" spans="1:10" ht="15.75" thickBot="1" x14ac:dyDescent="0.3">
      <c r="A282" s="2294" t="s">
        <v>1262</v>
      </c>
      <c r="B282" s="2295"/>
      <c r="C282" s="1287" t="s">
        <v>1311</v>
      </c>
      <c r="D282" s="1265">
        <v>4.4000000000000003E-3</v>
      </c>
      <c r="E282" s="1333"/>
      <c r="F282" s="1333"/>
      <c r="G282" s="1338"/>
      <c r="H282" s="1333"/>
      <c r="I282" s="1333"/>
      <c r="J282" s="1174"/>
    </row>
    <row r="283" spans="1:10" ht="16.5" thickTop="1" thickBot="1" x14ac:dyDescent="0.3">
      <c r="A283" s="2294" t="s">
        <v>1263</v>
      </c>
      <c r="B283" s="2295"/>
      <c r="C283" s="1288" t="s">
        <v>1311</v>
      </c>
      <c r="D283" s="1266">
        <v>1.2999999999999999E-3</v>
      </c>
      <c r="E283" s="1333"/>
      <c r="F283" s="1333"/>
      <c r="G283" s="1338"/>
      <c r="H283" s="1333"/>
      <c r="I283" s="1333"/>
      <c r="J283" s="1174"/>
    </row>
    <row r="284" spans="1:10" ht="16.5" thickTop="1" thickBot="1" x14ac:dyDescent="0.3">
      <c r="A284" s="2294" t="s">
        <v>1264</v>
      </c>
      <c r="B284" s="2295"/>
      <c r="C284" s="1289" t="s">
        <v>229</v>
      </c>
      <c r="D284" s="1267">
        <v>0.25</v>
      </c>
      <c r="E284" s="1333"/>
      <c r="F284" s="1333"/>
      <c r="G284" s="1338"/>
      <c r="H284" s="1333"/>
      <c r="I284" s="1333"/>
      <c r="J284" s="1174"/>
    </row>
    <row r="285" spans="1:10" ht="18.75" thickTop="1" x14ac:dyDescent="0.25">
      <c r="A285" s="2304" t="s">
        <v>2108</v>
      </c>
      <c r="B285" s="2304"/>
      <c r="C285" s="2304"/>
      <c r="D285" s="2315"/>
      <c r="E285" s="1419"/>
      <c r="F285" s="1419"/>
      <c r="G285" s="1419"/>
      <c r="H285" s="1419"/>
      <c r="I285" s="1419"/>
      <c r="J285" s="1174"/>
    </row>
    <row r="286" spans="1:10" ht="15" x14ac:dyDescent="0.25">
      <c r="A286" s="1268"/>
      <c r="B286" s="1268"/>
      <c r="C286" s="1268"/>
      <c r="D286" s="1420"/>
      <c r="E286" s="1420"/>
      <c r="F286" s="1420"/>
      <c r="G286" s="1420"/>
      <c r="H286" s="1420"/>
      <c r="I286" s="1420"/>
      <c r="J286" s="1189"/>
    </row>
    <row r="287" spans="1:10" ht="87" customHeight="1" x14ac:dyDescent="0.25">
      <c r="A287" s="2292" t="s">
        <v>2125</v>
      </c>
      <c r="B287" s="2292"/>
      <c r="C287" s="2292"/>
      <c r="D287" s="2293"/>
      <c r="E287" s="1333"/>
      <c r="F287" s="1333"/>
      <c r="G287" s="1333"/>
      <c r="H287" s="1333"/>
      <c r="I287" s="1333"/>
      <c r="J287" s="1174"/>
    </row>
    <row r="288" spans="1:10" ht="15" x14ac:dyDescent="0.25">
      <c r="A288" s="1144" t="s">
        <v>1260</v>
      </c>
      <c r="B288" s="1143"/>
      <c r="C288" s="1143"/>
      <c r="D288" s="1145"/>
      <c r="E288" s="1145"/>
      <c r="F288" s="1145"/>
      <c r="G288" s="1145"/>
      <c r="H288" s="1145"/>
      <c r="I288" s="1145"/>
      <c r="J288" s="1174"/>
    </row>
    <row r="289" spans="1:10" ht="15" x14ac:dyDescent="0.25">
      <c r="A289" s="1143"/>
      <c r="B289" s="1143"/>
      <c r="C289" s="1143"/>
      <c r="D289" s="1145"/>
      <c r="E289" s="1145"/>
      <c r="F289" s="1145"/>
      <c r="G289" s="1145"/>
      <c r="H289" s="1145"/>
      <c r="I289" s="1145"/>
      <c r="J289" s="1174"/>
    </row>
    <row r="290" spans="1:10" ht="87" customHeight="1" x14ac:dyDescent="0.25">
      <c r="A290" s="2292" t="s">
        <v>1778</v>
      </c>
      <c r="B290" s="2292"/>
      <c r="C290" s="2292"/>
      <c r="D290" s="2293"/>
      <c r="E290" s="1333"/>
      <c r="F290" s="1333"/>
      <c r="G290" s="1333"/>
      <c r="H290" s="1333"/>
      <c r="I290" s="1333"/>
      <c r="J290" s="1174"/>
    </row>
    <row r="291" spans="1:10" ht="87" customHeight="1" x14ac:dyDescent="0.25">
      <c r="A291" s="2292" t="s">
        <v>2110</v>
      </c>
      <c r="B291" s="2292"/>
      <c r="C291" s="2292"/>
      <c r="D291" s="2293"/>
      <c r="E291" s="1333"/>
      <c r="F291" s="1333"/>
      <c r="G291" s="1333"/>
      <c r="H291" s="1333"/>
      <c r="I291" s="1333"/>
      <c r="J291" s="1174"/>
    </row>
    <row r="292" spans="1:10" ht="87" customHeight="1" x14ac:dyDescent="0.25">
      <c r="A292" s="2292" t="s">
        <v>2126</v>
      </c>
      <c r="B292" s="2292"/>
      <c r="C292" s="2292"/>
      <c r="D292" s="2293"/>
      <c r="E292" s="1333"/>
      <c r="F292" s="1333"/>
      <c r="G292" s="1333"/>
      <c r="H292" s="1145"/>
      <c r="I292" s="1275"/>
      <c r="J292" s="1174"/>
    </row>
    <row r="293" spans="1:10" ht="87" customHeight="1" x14ac:dyDescent="0.25">
      <c r="A293" s="2292" t="s">
        <v>1780</v>
      </c>
      <c r="B293" s="2292"/>
      <c r="C293" s="2292"/>
      <c r="D293" s="2293"/>
      <c r="E293" s="1333"/>
      <c r="F293" s="1333"/>
      <c r="G293" s="1333"/>
      <c r="H293" s="1145"/>
      <c r="I293" s="1275"/>
      <c r="J293" s="1174"/>
    </row>
    <row r="294" spans="1:10" ht="15" x14ac:dyDescent="0.25">
      <c r="A294" s="1174"/>
      <c r="B294" s="1174"/>
      <c r="C294" s="1174"/>
      <c r="D294" s="1333"/>
      <c r="E294" s="1333"/>
      <c r="F294" s="1333"/>
      <c r="G294" s="1421"/>
      <c r="H294" s="1145"/>
      <c r="I294" s="1275"/>
      <c r="J294" s="1174"/>
    </row>
    <row r="295" spans="1:10" ht="15" x14ac:dyDescent="0.25">
      <c r="A295" s="1144" t="s">
        <v>1795</v>
      </c>
      <c r="B295" s="1143"/>
      <c r="C295" s="1143"/>
      <c r="D295" s="1145"/>
      <c r="E295" s="1333"/>
      <c r="F295" s="1333"/>
      <c r="G295" s="1145"/>
      <c r="H295" s="1145"/>
      <c r="I295" s="1275"/>
      <c r="J295" s="1174"/>
    </row>
    <row r="296" spans="1:10" ht="15" x14ac:dyDescent="0.25">
      <c r="A296" s="1144"/>
      <c r="B296" s="1143"/>
      <c r="C296" s="1143"/>
      <c r="D296" s="1145"/>
      <c r="E296" s="1333"/>
      <c r="F296" s="1333"/>
      <c r="G296" s="1145"/>
      <c r="H296" s="1145"/>
      <c r="I296" s="1275"/>
      <c r="J296" s="1174"/>
    </row>
    <row r="297" spans="1:10" ht="15.75" thickBot="1" x14ac:dyDescent="0.3">
      <c r="A297" s="2289" t="s">
        <v>1772</v>
      </c>
      <c r="B297" s="2289"/>
      <c r="C297" s="1324" t="s">
        <v>229</v>
      </c>
      <c r="D297" s="1706">
        <v>5.4</v>
      </c>
      <c r="E297" s="1333"/>
      <c r="F297" s="1333"/>
      <c r="G297" s="1334"/>
      <c r="H297" s="1145"/>
      <c r="I297" s="1275"/>
      <c r="J297" s="1174"/>
    </row>
    <row r="298" spans="1:10" ht="16.5" thickTop="1" thickBot="1" x14ac:dyDescent="0.3">
      <c r="A298" s="2289"/>
      <c r="B298" s="2289"/>
      <c r="C298" s="1324"/>
      <c r="D298" s="1325"/>
      <c r="E298" s="1333"/>
      <c r="F298" s="1333"/>
      <c r="G298" s="1335"/>
      <c r="H298" s="1145"/>
      <c r="I298" s="1275"/>
      <c r="J298" s="1174"/>
    </row>
    <row r="299" spans="1:10" ht="16.5" thickTop="1" thickBot="1" x14ac:dyDescent="0.3">
      <c r="A299" s="2289"/>
      <c r="B299" s="2289"/>
      <c r="C299" s="1324"/>
      <c r="D299" s="1325"/>
      <c r="E299" s="1333"/>
      <c r="F299" s="1333"/>
      <c r="G299" s="1335"/>
      <c r="H299" s="1145"/>
      <c r="I299" s="1275"/>
      <c r="J299" s="1174"/>
    </row>
    <row r="300" spans="1:10" ht="16.5" thickTop="1" thickBot="1" x14ac:dyDescent="0.3">
      <c r="A300" s="2289"/>
      <c r="B300" s="2289"/>
      <c r="C300" s="1324"/>
      <c r="D300" s="1325"/>
      <c r="E300" s="1333"/>
      <c r="F300" s="1333"/>
      <c r="G300" s="1335"/>
      <c r="H300" s="1145"/>
      <c r="I300" s="1275"/>
      <c r="J300" s="1174"/>
    </row>
    <row r="301" spans="1:10" ht="16.5" thickTop="1" thickBot="1" x14ac:dyDescent="0.3">
      <c r="A301" s="2289"/>
      <c r="B301" s="2289"/>
      <c r="C301" s="1324"/>
      <c r="D301" s="1325"/>
      <c r="E301" s="1333"/>
      <c r="F301" s="1333"/>
      <c r="G301" s="1335"/>
      <c r="H301" s="1145"/>
      <c r="I301" s="1275"/>
      <c r="J301" s="1174"/>
    </row>
    <row r="302" spans="1:10" ht="16.5" thickTop="1" thickBot="1" x14ac:dyDescent="0.3">
      <c r="A302" s="2289"/>
      <c r="B302" s="2289"/>
      <c r="C302" s="1324"/>
      <c r="D302" s="1325"/>
      <c r="E302" s="1333"/>
      <c r="F302" s="1333"/>
      <c r="G302" s="1335"/>
      <c r="H302" s="1145"/>
      <c r="I302" s="1275"/>
      <c r="J302" s="1174"/>
    </row>
    <row r="303" spans="1:10" ht="16.5" thickTop="1" thickBot="1" x14ac:dyDescent="0.3">
      <c r="A303" s="2289"/>
      <c r="B303" s="2289"/>
      <c r="C303" s="1324"/>
      <c r="D303" s="1325"/>
      <c r="E303" s="1333"/>
      <c r="F303" s="1333"/>
      <c r="G303" s="1335"/>
      <c r="H303" s="1145"/>
      <c r="I303" s="1275"/>
      <c r="J303" s="1174"/>
    </row>
    <row r="304" spans="1:10" ht="16.5" thickTop="1" thickBot="1" x14ac:dyDescent="0.3">
      <c r="A304" s="2289"/>
      <c r="B304" s="2289"/>
      <c r="C304" s="1324"/>
      <c r="D304" s="1325"/>
      <c r="E304" s="1333"/>
      <c r="F304" s="1333"/>
      <c r="G304" s="1335"/>
      <c r="H304" s="1145"/>
      <c r="I304" s="1275"/>
      <c r="J304" s="1174"/>
    </row>
    <row r="305" spans="1:10" ht="16.5" thickTop="1" thickBot="1" x14ac:dyDescent="0.3">
      <c r="A305" s="2289"/>
      <c r="B305" s="2289"/>
      <c r="C305" s="1324"/>
      <c r="D305" s="1325"/>
      <c r="E305" s="1333"/>
      <c r="F305" s="1333"/>
      <c r="G305" s="1335"/>
      <c r="H305" s="1145"/>
      <c r="I305" s="1275"/>
      <c r="J305" s="1174"/>
    </row>
    <row r="306" spans="1:10" ht="16.5" thickTop="1" thickBot="1" x14ac:dyDescent="0.3">
      <c r="A306" s="2289"/>
      <c r="B306" s="2289"/>
      <c r="C306" s="1324"/>
      <c r="D306" s="1325"/>
      <c r="E306" s="1333"/>
      <c r="F306" s="1333"/>
      <c r="G306" s="1335"/>
      <c r="H306" s="1145"/>
      <c r="I306" s="1275"/>
      <c r="J306" s="1174"/>
    </row>
    <row r="307" spans="1:10" ht="16.5" thickTop="1" thickBot="1" x14ac:dyDescent="0.3">
      <c r="A307" s="2289"/>
      <c r="B307" s="2289"/>
      <c r="C307" s="1324"/>
      <c r="D307" s="1325"/>
      <c r="E307" s="1333"/>
      <c r="F307" s="1333"/>
      <c r="G307" s="1335"/>
      <c r="H307" s="1145"/>
      <c r="I307" s="1275"/>
      <c r="J307" s="1174"/>
    </row>
    <row r="308" spans="1:10" ht="16.5" thickTop="1" thickBot="1" x14ac:dyDescent="0.3">
      <c r="A308" s="2289"/>
      <c r="B308" s="2289"/>
      <c r="C308" s="1324"/>
      <c r="D308" s="1325"/>
      <c r="E308" s="1333"/>
      <c r="F308" s="1333"/>
      <c r="G308" s="1335"/>
      <c r="H308" s="1145"/>
      <c r="I308" s="1275"/>
      <c r="J308" s="1174"/>
    </row>
    <row r="309" spans="1:10" ht="16.5" thickTop="1" thickBot="1" x14ac:dyDescent="0.3">
      <c r="A309" s="2289"/>
      <c r="B309" s="2289"/>
      <c r="C309" s="1324"/>
      <c r="D309" s="1325"/>
      <c r="E309" s="1333"/>
      <c r="F309" s="1333"/>
      <c r="G309" s="1335"/>
      <c r="H309" s="1145"/>
      <c r="I309" s="1275"/>
      <c r="J309" s="1174"/>
    </row>
    <row r="310" spans="1:10" ht="16.5" thickTop="1" thickBot="1" x14ac:dyDescent="0.3">
      <c r="A310" s="2289"/>
      <c r="B310" s="2289"/>
      <c r="C310" s="1324"/>
      <c r="D310" s="1325"/>
      <c r="E310" s="1333"/>
      <c r="F310" s="1333"/>
      <c r="G310" s="1335"/>
      <c r="H310" s="1145"/>
      <c r="I310" s="1275"/>
      <c r="J310" s="1174"/>
    </row>
    <row r="311" spans="1:10" ht="16.5" thickTop="1" thickBot="1" x14ac:dyDescent="0.3">
      <c r="A311" s="2289"/>
      <c r="B311" s="2289"/>
      <c r="C311" s="1324"/>
      <c r="D311" s="1325"/>
      <c r="E311" s="1333"/>
      <c r="F311" s="1333"/>
      <c r="G311" s="1335"/>
      <c r="H311" s="1145"/>
      <c r="I311" s="1275"/>
      <c r="J311" s="1174"/>
    </row>
    <row r="312" spans="1:10" ht="16.5" thickTop="1" thickBot="1" x14ac:dyDescent="0.3">
      <c r="A312" s="2289"/>
      <c r="B312" s="2289"/>
      <c r="C312" s="1324"/>
      <c r="D312" s="1325"/>
      <c r="E312" s="1333"/>
      <c r="F312" s="1333"/>
      <c r="G312" s="1335"/>
      <c r="H312" s="1145"/>
      <c r="I312" s="1275"/>
      <c r="J312" s="1174"/>
    </row>
    <row r="313" spans="1:10" ht="16.5" thickTop="1" thickBot="1" x14ac:dyDescent="0.3">
      <c r="A313" s="2289"/>
      <c r="B313" s="2289"/>
      <c r="C313" s="1324"/>
      <c r="D313" s="1325"/>
      <c r="E313" s="1333"/>
      <c r="F313" s="1333"/>
      <c r="G313" s="1335"/>
      <c r="H313" s="1145"/>
      <c r="I313" s="1275"/>
      <c r="J313" s="1174"/>
    </row>
    <row r="314" spans="1:10" ht="16.5" thickTop="1" thickBot="1" x14ac:dyDescent="0.3">
      <c r="A314" s="2289"/>
      <c r="B314" s="2289"/>
      <c r="C314" s="1324"/>
      <c r="D314" s="1325"/>
      <c r="E314" s="1333"/>
      <c r="F314" s="1333"/>
      <c r="G314" s="1335"/>
      <c r="H314" s="1145"/>
      <c r="I314" s="1275"/>
      <c r="J314" s="1174"/>
    </row>
    <row r="315" spans="1:10" ht="16.5" thickTop="1" thickBot="1" x14ac:dyDescent="0.3">
      <c r="A315" s="2289"/>
      <c r="B315" s="2289"/>
      <c r="C315" s="1324"/>
      <c r="D315" s="1325"/>
      <c r="E315" s="1333"/>
      <c r="F315" s="1333"/>
      <c r="G315" s="1335"/>
      <c r="H315" s="1145"/>
      <c r="I315" s="1275"/>
      <c r="J315" s="1174"/>
    </row>
    <row r="316" spans="1:10" ht="16.5" thickTop="1" thickBot="1" x14ac:dyDescent="0.3">
      <c r="A316" s="2289"/>
      <c r="B316" s="2289"/>
      <c r="C316" s="1324"/>
      <c r="D316" s="1325"/>
      <c r="E316" s="1333"/>
      <c r="F316" s="1333"/>
      <c r="G316" s="1335"/>
      <c r="H316" s="1145"/>
      <c r="I316" s="1275"/>
      <c r="J316" s="1174"/>
    </row>
    <row r="317" spans="1:10" ht="16.5" thickTop="1" thickBot="1" x14ac:dyDescent="0.3">
      <c r="A317" s="2289"/>
      <c r="B317" s="2289"/>
      <c r="C317" s="1324"/>
      <c r="D317" s="1325"/>
      <c r="E317" s="1333"/>
      <c r="F317" s="1333"/>
      <c r="G317" s="1335"/>
      <c r="H317" s="1145"/>
      <c r="I317" s="1275"/>
      <c r="J317" s="1174"/>
    </row>
    <row r="318" spans="1:10" ht="16.5" thickTop="1" thickBot="1" x14ac:dyDescent="0.3">
      <c r="A318" s="2289"/>
      <c r="B318" s="2289"/>
      <c r="C318" s="1324"/>
      <c r="D318" s="1325"/>
      <c r="E318" s="1333"/>
      <c r="F318" s="1333"/>
      <c r="G318" s="1335"/>
      <c r="H318" s="1145"/>
      <c r="I318" s="1275"/>
      <c r="J318" s="1174"/>
    </row>
    <row r="319" spans="1:10" ht="16.5" thickTop="1" thickBot="1" x14ac:dyDescent="0.3">
      <c r="A319" s="2289"/>
      <c r="B319" s="2289"/>
      <c r="C319" s="1324"/>
      <c r="D319" s="1325"/>
      <c r="E319" s="1333"/>
      <c r="F319" s="1333"/>
      <c r="G319" s="1335"/>
      <c r="H319" s="1145"/>
      <c r="I319" s="1275"/>
      <c r="J319" s="1174"/>
    </row>
    <row r="320" spans="1:10" ht="16.5" thickTop="1" thickBot="1" x14ac:dyDescent="0.3">
      <c r="A320" s="2289"/>
      <c r="B320" s="2289"/>
      <c r="C320" s="1324"/>
      <c r="D320" s="1325"/>
      <c r="E320" s="1333"/>
      <c r="F320" s="1333"/>
      <c r="G320" s="1335"/>
      <c r="H320" s="1145"/>
      <c r="I320" s="1275"/>
      <c r="J320" s="1174"/>
    </row>
    <row r="321" spans="1:10" ht="16.5" thickTop="1" thickBot="1" x14ac:dyDescent="0.3">
      <c r="A321" s="2290"/>
      <c r="B321" s="2290"/>
      <c r="C321" s="1324"/>
      <c r="D321" s="1325"/>
      <c r="E321" s="1333"/>
      <c r="F321" s="1333"/>
      <c r="G321" s="1335"/>
      <c r="H321" s="1145"/>
      <c r="I321" s="1275"/>
      <c r="J321" s="1174"/>
    </row>
    <row r="322" spans="1:10" ht="16.5" thickTop="1" thickBot="1" x14ac:dyDescent="0.3">
      <c r="A322" s="2290"/>
      <c r="B322" s="2290"/>
      <c r="C322" s="1324"/>
      <c r="D322" s="1325"/>
      <c r="E322" s="1333"/>
      <c r="F322" s="1333"/>
      <c r="G322" s="1335"/>
      <c r="H322" s="1145"/>
      <c r="I322" s="1275"/>
      <c r="J322" s="1174"/>
    </row>
    <row r="323" spans="1:10" ht="16.5" thickTop="1" thickBot="1" x14ac:dyDescent="0.3">
      <c r="A323" s="2290"/>
      <c r="B323" s="2290"/>
      <c r="C323" s="1324"/>
      <c r="D323" s="1325"/>
      <c r="E323" s="1333"/>
      <c r="F323" s="1333"/>
      <c r="G323" s="1335"/>
      <c r="H323" s="1145"/>
      <c r="I323" s="1275"/>
      <c r="J323" s="1174"/>
    </row>
    <row r="324" spans="1:10" ht="16.5" thickTop="1" thickBot="1" x14ac:dyDescent="0.3">
      <c r="A324" s="2290"/>
      <c r="B324" s="2290"/>
      <c r="C324" s="1324"/>
      <c r="D324" s="1325"/>
      <c r="E324" s="1333"/>
      <c r="F324" s="1333"/>
      <c r="G324" s="1335"/>
      <c r="H324" s="1145"/>
      <c r="I324" s="1275"/>
      <c r="J324" s="1174"/>
    </row>
    <row r="325" spans="1:10" ht="16.5" thickTop="1" thickBot="1" x14ac:dyDescent="0.3">
      <c r="A325" s="2290"/>
      <c r="B325" s="2290"/>
      <c r="C325" s="1324"/>
      <c r="D325" s="1325"/>
      <c r="E325" s="1333"/>
      <c r="F325" s="1333"/>
      <c r="G325" s="1335"/>
      <c r="H325" s="1145"/>
      <c r="I325" s="1275"/>
      <c r="J325" s="1174"/>
    </row>
    <row r="326" spans="1:10" ht="16.5" thickTop="1" thickBot="1" x14ac:dyDescent="0.3">
      <c r="A326" s="2290"/>
      <c r="B326" s="2290"/>
      <c r="C326" s="1324"/>
      <c r="D326" s="1325"/>
      <c r="E326" s="1333"/>
      <c r="F326" s="1333"/>
      <c r="G326" s="1336"/>
      <c r="H326" s="1145"/>
      <c r="I326" s="1275"/>
      <c r="J326" s="1174"/>
    </row>
    <row r="327" spans="1:10" ht="15.75" thickTop="1" x14ac:dyDescent="0.25">
      <c r="A327" s="1143"/>
      <c r="B327" s="1143"/>
      <c r="C327" s="1143"/>
      <c r="D327" s="1145"/>
      <c r="E327" s="1333"/>
      <c r="F327" s="1333"/>
      <c r="G327" s="1337"/>
      <c r="H327" s="1145"/>
      <c r="I327" s="1275"/>
      <c r="J327" s="1174"/>
    </row>
    <row r="328" spans="1:10" ht="15" x14ac:dyDescent="0.25">
      <c r="A328" s="1144" t="s">
        <v>1261</v>
      </c>
      <c r="B328" s="1143"/>
      <c r="C328" s="1143"/>
      <c r="D328" s="1145"/>
      <c r="E328" s="1333"/>
      <c r="F328" s="1333"/>
      <c r="G328" s="1337"/>
      <c r="H328" s="1145"/>
      <c r="I328" s="1275"/>
      <c r="J328" s="1174"/>
    </row>
    <row r="329" spans="1:10" ht="15" x14ac:dyDescent="0.25">
      <c r="A329" s="1143"/>
      <c r="B329" s="1143"/>
      <c r="C329" s="1143"/>
      <c r="D329" s="1145"/>
      <c r="E329" s="1333"/>
      <c r="F329" s="1333"/>
      <c r="G329" s="1337"/>
      <c r="H329" s="1145"/>
      <c r="I329" s="1275"/>
      <c r="J329" s="1174"/>
    </row>
    <row r="330" spans="1:10" ht="15.75" thickBot="1" x14ac:dyDescent="0.3">
      <c r="A330" s="2294" t="s">
        <v>1262</v>
      </c>
      <c r="B330" s="2295"/>
      <c r="C330" s="1287" t="s">
        <v>1311</v>
      </c>
      <c r="D330" s="1265">
        <v>4.4000000000000003E-3</v>
      </c>
      <c r="E330" s="1333"/>
      <c r="F330" s="1333"/>
      <c r="G330" s="1338"/>
      <c r="H330" s="1333"/>
      <c r="I330" s="1333"/>
      <c r="J330" s="1174"/>
    </row>
    <row r="331" spans="1:10" ht="16.5" thickTop="1" thickBot="1" x14ac:dyDescent="0.3">
      <c r="A331" s="2294" t="s">
        <v>1263</v>
      </c>
      <c r="B331" s="2295"/>
      <c r="C331" s="1288" t="s">
        <v>1311</v>
      </c>
      <c r="D331" s="1266">
        <v>1.1000000000000001E-3</v>
      </c>
      <c r="E331" s="1333"/>
      <c r="F331" s="1333"/>
      <c r="G331" s="1338"/>
      <c r="H331" s="1333"/>
      <c r="I331" s="1333"/>
      <c r="J331" s="1174"/>
    </row>
    <row r="332" spans="1:10" ht="16.5" thickTop="1" thickBot="1" x14ac:dyDescent="0.3">
      <c r="A332" s="2294" t="s">
        <v>1264</v>
      </c>
      <c r="B332" s="2295"/>
      <c r="C332" s="1289" t="s">
        <v>229</v>
      </c>
      <c r="D332" s="1267">
        <v>0.25</v>
      </c>
      <c r="E332" s="1333"/>
      <c r="F332" s="1333"/>
      <c r="G332" s="1338"/>
      <c r="H332" s="1333"/>
      <c r="I332" s="1333"/>
      <c r="J332" s="1174"/>
    </row>
    <row r="333" spans="1:10" ht="13.5" thickTop="1" x14ac:dyDescent="0.2">
      <c r="D333" s="1332"/>
      <c r="E333" s="1332"/>
      <c r="F333" s="1332"/>
      <c r="G333" s="1332"/>
      <c r="H333" s="1332"/>
      <c r="I333" s="1332"/>
    </row>
    <row r="334" spans="1:10" ht="18" x14ac:dyDescent="0.25">
      <c r="A334" s="1146" t="s">
        <v>1265</v>
      </c>
      <c r="B334" s="1147"/>
      <c r="C334" s="1147"/>
      <c r="D334" s="1339"/>
      <c r="E334" s="1340"/>
      <c r="F334" s="1340"/>
      <c r="G334" s="1341"/>
      <c r="H334" s="1342"/>
      <c r="I334" s="1343"/>
      <c r="J334" s="1174"/>
    </row>
    <row r="335" spans="1:10" ht="15" x14ac:dyDescent="0.25">
      <c r="A335" s="1148"/>
      <c r="B335" s="1147"/>
      <c r="C335" s="1147"/>
      <c r="D335" s="1339"/>
      <c r="E335" s="1340"/>
      <c r="F335" s="1340"/>
      <c r="G335" s="1341"/>
      <c r="H335" s="1342"/>
      <c r="I335" s="1343"/>
      <c r="J335" s="1174"/>
    </row>
    <row r="336" spans="1:10" ht="15" x14ac:dyDescent="0.25">
      <c r="A336" s="2316" t="s">
        <v>1266</v>
      </c>
      <c r="B336" s="2317"/>
      <c r="C336" s="1326" t="s">
        <v>1318</v>
      </c>
      <c r="D336" s="1344">
        <v>-0.6</v>
      </c>
      <c r="E336" s="1333"/>
      <c r="F336" s="1333"/>
      <c r="G336" s="1345"/>
      <c r="H336" s="1333"/>
      <c r="I336" s="1333"/>
      <c r="J336" s="1174"/>
    </row>
    <row r="337" spans="1:10" ht="15" x14ac:dyDescent="0.25">
      <c r="A337" s="2318"/>
      <c r="B337" s="2319"/>
      <c r="C337" s="1326"/>
      <c r="D337" s="1344"/>
      <c r="E337" s="1333"/>
      <c r="F337" s="1333"/>
      <c r="G337" s="1346"/>
      <c r="H337" s="1333"/>
      <c r="I337" s="1333"/>
      <c r="J337" s="1174"/>
    </row>
    <row r="338" spans="1:10" ht="15" x14ac:dyDescent="0.25">
      <c r="A338" s="2320"/>
      <c r="B338" s="2321"/>
      <c r="C338" s="1326"/>
      <c r="D338" s="1344"/>
      <c r="E338" s="1333"/>
      <c r="F338" s="1333"/>
      <c r="G338" s="1346"/>
      <c r="H338" s="1333"/>
      <c r="I338" s="1333"/>
      <c r="J338" s="1174"/>
    </row>
    <row r="339" spans="1:10" ht="15" x14ac:dyDescent="0.25">
      <c r="A339" s="2316" t="s">
        <v>1267</v>
      </c>
      <c r="B339" s="2317"/>
      <c r="C339" s="1327" t="s">
        <v>230</v>
      </c>
      <c r="D339" s="1347">
        <v>-1</v>
      </c>
      <c r="E339" s="1333"/>
      <c r="F339" s="1333"/>
      <c r="G339" s="1345"/>
      <c r="H339" s="1333"/>
      <c r="I339" s="1333"/>
      <c r="J339" s="1174"/>
    </row>
    <row r="340" spans="1:10" ht="15" x14ac:dyDescent="0.25">
      <c r="A340" s="1148"/>
      <c r="B340" s="1147"/>
      <c r="C340" s="1147"/>
      <c r="D340" s="1348"/>
      <c r="E340" s="1340"/>
      <c r="F340" s="1340"/>
      <c r="G340" s="1340"/>
      <c r="H340" s="1349"/>
      <c r="I340" s="1350"/>
      <c r="J340" s="1174"/>
    </row>
    <row r="341" spans="1:10" ht="18" x14ac:dyDescent="0.25">
      <c r="A341" s="1146" t="s">
        <v>1268</v>
      </c>
      <c r="B341" s="1147"/>
      <c r="C341" s="1147"/>
      <c r="D341" s="1348"/>
      <c r="E341" s="1340"/>
      <c r="F341" s="1340"/>
      <c r="G341" s="1340"/>
      <c r="H341" s="1340"/>
      <c r="I341" s="1350"/>
      <c r="J341" s="1174"/>
    </row>
    <row r="342" spans="1:10" ht="15" x14ac:dyDescent="0.25">
      <c r="A342" s="1148"/>
      <c r="B342" s="1147"/>
      <c r="C342" s="1147"/>
      <c r="D342" s="1348"/>
      <c r="E342" s="1340"/>
      <c r="F342" s="1340"/>
      <c r="G342" s="1340"/>
      <c r="H342" s="1340"/>
      <c r="I342" s="1350"/>
      <c r="J342" s="1174"/>
    </row>
    <row r="343" spans="1:10" ht="15" x14ac:dyDescent="0.25">
      <c r="A343" s="1148" t="s">
        <v>1260</v>
      </c>
      <c r="B343" s="1147"/>
      <c r="C343" s="1147"/>
      <c r="D343" s="1348"/>
      <c r="E343" s="1340"/>
      <c r="F343" s="1340"/>
      <c r="G343" s="1340"/>
      <c r="H343" s="1340"/>
      <c r="I343" s="1350"/>
      <c r="J343" s="1174"/>
    </row>
    <row r="344" spans="1:10" ht="15" x14ac:dyDescent="0.25">
      <c r="A344" s="1148"/>
      <c r="B344" s="1147"/>
      <c r="C344" s="1147"/>
      <c r="D344" s="1348"/>
      <c r="E344" s="1340"/>
      <c r="F344" s="1340"/>
      <c r="G344" s="1340"/>
      <c r="H344" s="1340"/>
      <c r="I344" s="1350"/>
      <c r="J344" s="1174"/>
    </row>
    <row r="345" spans="1:10" ht="38.25" customHeight="1" x14ac:dyDescent="0.25">
      <c r="A345" s="2322" t="s">
        <v>1778</v>
      </c>
      <c r="B345" s="2322"/>
      <c r="C345" s="2322"/>
      <c r="D345" s="2323"/>
      <c r="E345" s="1351"/>
      <c r="F345" s="1351"/>
      <c r="G345" s="1351"/>
      <c r="H345" s="1351"/>
      <c r="I345" s="1351"/>
      <c r="J345" s="1174"/>
    </row>
    <row r="346" spans="1:10" ht="15" x14ac:dyDescent="0.25">
      <c r="A346" s="1258"/>
      <c r="B346" s="1704"/>
      <c r="C346" s="1704"/>
      <c r="D346" s="1352"/>
      <c r="E346" s="1353"/>
      <c r="F346" s="1353"/>
      <c r="G346" s="1353"/>
      <c r="H346" s="1353"/>
      <c r="I346" s="1354"/>
      <c r="J346" s="1174"/>
    </row>
    <row r="347" spans="1:10" ht="38.25" customHeight="1" x14ac:dyDescent="0.25">
      <c r="A347" s="2322" t="s">
        <v>1779</v>
      </c>
      <c r="B347" s="2322"/>
      <c r="C347" s="2322"/>
      <c r="D347" s="2323"/>
      <c r="E347" s="2323"/>
      <c r="F347" s="2323"/>
      <c r="G347" s="2323"/>
      <c r="H347" s="2323"/>
      <c r="I347" s="1705"/>
      <c r="J347" s="1174"/>
    </row>
    <row r="348" spans="1:10" ht="15" x14ac:dyDescent="0.25">
      <c r="A348" s="1258"/>
      <c r="B348" s="1704"/>
      <c r="C348" s="1704"/>
      <c r="D348" s="1352"/>
      <c r="E348" s="1353"/>
      <c r="F348" s="1353"/>
      <c r="G348" s="1353"/>
      <c r="H348" s="1353"/>
      <c r="I348" s="1354"/>
      <c r="J348" s="1174"/>
    </row>
    <row r="349" spans="1:10" ht="39" customHeight="1" x14ac:dyDescent="0.25">
      <c r="A349" s="2322" t="s">
        <v>1780</v>
      </c>
      <c r="B349" s="2322"/>
      <c r="C349" s="2322"/>
      <c r="D349" s="2323"/>
      <c r="E349" s="2323"/>
      <c r="F349" s="2323"/>
      <c r="G349" s="2323"/>
      <c r="H349" s="2323"/>
      <c r="I349" s="1705"/>
      <c r="J349" s="1174"/>
    </row>
    <row r="350" spans="1:10" ht="15" x14ac:dyDescent="0.25">
      <c r="A350" s="1260"/>
      <c r="B350" s="1261"/>
      <c r="C350" s="1261"/>
      <c r="D350" s="1355"/>
      <c r="E350" s="1353"/>
      <c r="F350" s="1353"/>
      <c r="G350" s="1353"/>
      <c r="H350" s="1353"/>
      <c r="I350" s="1354"/>
      <c r="J350" s="1174"/>
    </row>
    <row r="351" spans="1:10" ht="15" x14ac:dyDescent="0.25">
      <c r="A351" s="1148" t="s">
        <v>1269</v>
      </c>
      <c r="B351" s="1147"/>
      <c r="C351" s="1147"/>
      <c r="D351" s="1348"/>
      <c r="E351" s="1340"/>
      <c r="F351" s="1340"/>
      <c r="G351" s="1340"/>
      <c r="H351" s="1340"/>
      <c r="I351" s="1350"/>
      <c r="J351" s="1174"/>
    </row>
    <row r="352" spans="1:10" ht="15" x14ac:dyDescent="0.25">
      <c r="A352" s="1148"/>
      <c r="B352" s="1147"/>
      <c r="C352" s="1147"/>
      <c r="D352" s="1348"/>
      <c r="E352" s="1340"/>
      <c r="F352" s="1340"/>
      <c r="G352" s="1340"/>
      <c r="H352" s="1340"/>
      <c r="I352" s="1350"/>
      <c r="J352" s="1174"/>
    </row>
    <row r="353" spans="1:10" ht="15" x14ac:dyDescent="0.25">
      <c r="A353" s="2324" t="s">
        <v>1336</v>
      </c>
      <c r="B353" s="2324"/>
      <c r="C353" s="1329" t="s">
        <v>229</v>
      </c>
      <c r="D353" s="1707">
        <v>15</v>
      </c>
      <c r="E353" s="1340"/>
      <c r="F353" s="1340"/>
      <c r="G353" s="1340"/>
      <c r="H353" s="1333"/>
      <c r="I353" s="1333"/>
      <c r="J353" s="1174"/>
    </row>
    <row r="354" spans="1:10" ht="15" x14ac:dyDescent="0.25">
      <c r="A354" s="2324" t="s">
        <v>1511</v>
      </c>
      <c r="B354" s="2324"/>
      <c r="C354" s="1329" t="s">
        <v>229</v>
      </c>
      <c r="D354" s="1707">
        <v>15</v>
      </c>
      <c r="E354" s="1340"/>
      <c r="F354" s="1340"/>
      <c r="G354" s="1340"/>
      <c r="H354" s="1333"/>
      <c r="I354" s="1333"/>
      <c r="J354" s="1174"/>
    </row>
    <row r="355" spans="1:10" ht="15" x14ac:dyDescent="0.25">
      <c r="A355" s="2324" t="s">
        <v>1470</v>
      </c>
      <c r="B355" s="2324"/>
      <c r="C355" s="1329" t="s">
        <v>229</v>
      </c>
      <c r="D355" s="1707">
        <v>15</v>
      </c>
      <c r="E355" s="1340"/>
      <c r="F355" s="1340"/>
      <c r="G355" s="1340"/>
      <c r="H355" s="1333"/>
      <c r="I355" s="1333"/>
      <c r="J355" s="1174"/>
    </row>
    <row r="356" spans="1:10" ht="15" x14ac:dyDescent="0.25">
      <c r="A356" s="2324" t="s">
        <v>1417</v>
      </c>
      <c r="B356" s="2324"/>
      <c r="C356" s="1329" t="s">
        <v>229</v>
      </c>
      <c r="D356" s="1707">
        <v>15</v>
      </c>
      <c r="E356" s="1340"/>
      <c r="F356" s="1340"/>
      <c r="G356" s="1340"/>
      <c r="H356" s="1333"/>
      <c r="I356" s="1333"/>
      <c r="J356" s="1174"/>
    </row>
    <row r="357" spans="1:10" ht="15" x14ac:dyDescent="0.25">
      <c r="A357" s="2324" t="s">
        <v>1477</v>
      </c>
      <c r="B357" s="2324"/>
      <c r="C357" s="1329" t="s">
        <v>229</v>
      </c>
      <c r="D357" s="1707">
        <v>15</v>
      </c>
      <c r="E357" s="1340"/>
      <c r="F357" s="1340"/>
      <c r="G357" s="1340"/>
      <c r="H357" s="1333"/>
      <c r="I357" s="1333"/>
      <c r="J357" s="1174"/>
    </row>
    <row r="358" spans="1:10" ht="15" x14ac:dyDescent="0.25">
      <c r="A358" s="2324" t="s">
        <v>1424</v>
      </c>
      <c r="B358" s="2324"/>
      <c r="C358" s="1329" t="s">
        <v>229</v>
      </c>
      <c r="D358" s="1707">
        <v>15</v>
      </c>
      <c r="E358" s="1340"/>
      <c r="F358" s="1340"/>
      <c r="G358" s="1340"/>
      <c r="H358" s="1333"/>
      <c r="I358" s="1333"/>
      <c r="J358" s="1174"/>
    </row>
    <row r="359" spans="1:10" ht="15" x14ac:dyDescent="0.25">
      <c r="A359" s="2324" t="s">
        <v>1430</v>
      </c>
      <c r="B359" s="2324"/>
      <c r="C359" s="1329" t="s">
        <v>229</v>
      </c>
      <c r="D359" s="1707">
        <v>15</v>
      </c>
      <c r="E359" s="1340"/>
      <c r="F359" s="1340"/>
      <c r="G359" s="1340"/>
      <c r="H359" s="1333"/>
      <c r="I359" s="1333"/>
      <c r="J359" s="1174"/>
    </row>
    <row r="360" spans="1:10" ht="15" x14ac:dyDescent="0.25">
      <c r="A360" s="2324" t="s">
        <v>1464</v>
      </c>
      <c r="B360" s="2324"/>
      <c r="C360" s="1329" t="s">
        <v>229</v>
      </c>
      <c r="D360" s="1707">
        <v>15</v>
      </c>
      <c r="E360" s="1340"/>
      <c r="F360" s="1340"/>
      <c r="G360" s="1340"/>
      <c r="H360" s="1333"/>
      <c r="I360" s="1333"/>
      <c r="J360" s="1174"/>
    </row>
    <row r="361" spans="1:10" ht="15" x14ac:dyDescent="0.25">
      <c r="A361" s="2324" t="s">
        <v>1303</v>
      </c>
      <c r="B361" s="2324"/>
      <c r="C361" s="1329" t="s">
        <v>229</v>
      </c>
      <c r="D361" s="1707">
        <v>15</v>
      </c>
      <c r="E361" s="1340"/>
      <c r="F361" s="1340"/>
      <c r="G361" s="1340"/>
      <c r="H361" s="1333"/>
      <c r="I361" s="1333"/>
      <c r="J361" s="1174"/>
    </row>
    <row r="362" spans="1:10" ht="15" x14ac:dyDescent="0.25">
      <c r="A362" s="2324" t="s">
        <v>1374</v>
      </c>
      <c r="B362" s="2324"/>
      <c r="C362" s="1329" t="s">
        <v>229</v>
      </c>
      <c r="D362" s="1707">
        <v>15</v>
      </c>
      <c r="E362" s="1340"/>
      <c r="F362" s="1340"/>
      <c r="G362" s="1340"/>
      <c r="H362" s="1333"/>
      <c r="I362" s="1333"/>
      <c r="J362" s="1174"/>
    </row>
    <row r="363" spans="1:10" ht="15" x14ac:dyDescent="0.25">
      <c r="A363" s="2324" t="s">
        <v>1483</v>
      </c>
      <c r="B363" s="2324"/>
      <c r="C363" s="1329" t="s">
        <v>229</v>
      </c>
      <c r="D363" s="1707">
        <v>15</v>
      </c>
      <c r="E363" s="1340"/>
      <c r="F363" s="1340"/>
      <c r="G363" s="1340"/>
      <c r="H363" s="1333"/>
      <c r="I363" s="1333"/>
      <c r="J363" s="1174"/>
    </row>
    <row r="364" spans="1:10" ht="15" x14ac:dyDescent="0.25">
      <c r="A364" s="2324" t="s">
        <v>1351</v>
      </c>
      <c r="B364" s="2324"/>
      <c r="C364" s="1329" t="s">
        <v>229</v>
      </c>
      <c r="D364" s="1707">
        <v>15</v>
      </c>
      <c r="E364" s="1340"/>
      <c r="F364" s="1340"/>
      <c r="G364" s="1340"/>
      <c r="H364" s="1333"/>
      <c r="I364" s="1333"/>
      <c r="J364" s="1174"/>
    </row>
    <row r="365" spans="1:10" ht="15" x14ac:dyDescent="0.25">
      <c r="A365" s="2324" t="s">
        <v>1452</v>
      </c>
      <c r="B365" s="2324"/>
      <c r="C365" s="1329" t="s">
        <v>229</v>
      </c>
      <c r="D365" s="1707">
        <v>15</v>
      </c>
      <c r="E365" s="1340"/>
      <c r="F365" s="1340"/>
      <c r="G365" s="1340"/>
      <c r="H365" s="1333"/>
      <c r="I365" s="1333"/>
      <c r="J365" s="1174"/>
    </row>
    <row r="366" spans="1:10" ht="15" x14ac:dyDescent="0.25">
      <c r="A366" s="2324" t="s">
        <v>1304</v>
      </c>
      <c r="B366" s="2324"/>
      <c r="C366" s="1329" t="s">
        <v>229</v>
      </c>
      <c r="D366" s="1707">
        <v>30</v>
      </c>
      <c r="E366" s="1340"/>
      <c r="F366" s="1340"/>
      <c r="G366" s="1340"/>
      <c r="H366" s="1333"/>
      <c r="I366" s="1333"/>
      <c r="J366" s="1174"/>
    </row>
    <row r="367" spans="1:10" ht="15" x14ac:dyDescent="0.25">
      <c r="A367" s="2324" t="s">
        <v>1506</v>
      </c>
      <c r="B367" s="2324"/>
      <c r="C367" s="1329" t="s">
        <v>229</v>
      </c>
      <c r="D367" s="1707">
        <v>30</v>
      </c>
      <c r="E367" s="1340"/>
      <c r="F367" s="1340"/>
      <c r="G367" s="1340"/>
      <c r="H367" s="1333"/>
      <c r="I367" s="1333"/>
      <c r="J367" s="1174"/>
    </row>
    <row r="368" spans="1:10" ht="15" x14ac:dyDescent="0.25">
      <c r="A368" s="2324" t="s">
        <v>1458</v>
      </c>
      <c r="B368" s="2324"/>
      <c r="C368" s="1329" t="s">
        <v>229</v>
      </c>
      <c r="D368" s="1707">
        <v>30</v>
      </c>
      <c r="E368" s="1340"/>
      <c r="F368" s="1340"/>
      <c r="G368" s="1340"/>
      <c r="H368" s="1333"/>
      <c r="I368" s="1333"/>
      <c r="J368" s="1174"/>
    </row>
    <row r="369" spans="1:10" ht="15" x14ac:dyDescent="0.25">
      <c r="A369" s="2324"/>
      <c r="B369" s="2324"/>
      <c r="C369" s="1329"/>
      <c r="D369" s="1356"/>
      <c r="E369" s="1340"/>
      <c r="F369" s="1340"/>
      <c r="G369" s="1340"/>
      <c r="H369" s="1333"/>
      <c r="I369" s="1333"/>
      <c r="J369" s="1174"/>
    </row>
    <row r="370" spans="1:10" ht="15" x14ac:dyDescent="0.25">
      <c r="A370" s="2324"/>
      <c r="B370" s="2324"/>
      <c r="C370" s="1329"/>
      <c r="D370" s="1356"/>
      <c r="E370" s="1340"/>
      <c r="F370" s="1340"/>
      <c r="G370" s="1340"/>
      <c r="H370" s="1333"/>
      <c r="I370" s="1333"/>
      <c r="J370" s="1174"/>
    </row>
    <row r="371" spans="1:10" ht="15" x14ac:dyDescent="0.25">
      <c r="A371" s="2324"/>
      <c r="B371" s="2324"/>
      <c r="C371" s="1329"/>
      <c r="D371" s="1356"/>
      <c r="E371" s="1340"/>
      <c r="F371" s="1340"/>
      <c r="G371" s="1340"/>
      <c r="H371" s="1333"/>
      <c r="I371" s="1333"/>
      <c r="J371" s="1174"/>
    </row>
    <row r="372" spans="1:10" ht="15" x14ac:dyDescent="0.25">
      <c r="A372" s="2324"/>
      <c r="B372" s="2324"/>
      <c r="C372" s="1329"/>
      <c r="D372" s="1356"/>
      <c r="E372" s="1340"/>
      <c r="F372" s="1340"/>
      <c r="G372" s="1340"/>
      <c r="H372" s="1333"/>
      <c r="I372" s="1333"/>
      <c r="J372" s="1174"/>
    </row>
    <row r="373" spans="1:10" ht="15" x14ac:dyDescent="0.25">
      <c r="A373" s="2324"/>
      <c r="B373" s="2324"/>
      <c r="C373" s="1329"/>
      <c r="D373" s="1356"/>
      <c r="E373" s="1340"/>
      <c r="F373" s="1340"/>
      <c r="G373" s="1340"/>
      <c r="H373" s="1333"/>
      <c r="I373" s="1333"/>
      <c r="J373" s="1174"/>
    </row>
    <row r="374" spans="1:10" ht="15" x14ac:dyDescent="0.25">
      <c r="A374" s="2324"/>
      <c r="B374" s="2324"/>
      <c r="C374" s="1329"/>
      <c r="D374" s="1356"/>
      <c r="E374" s="1340"/>
      <c r="F374" s="1340"/>
      <c r="G374" s="1340"/>
      <c r="H374" s="1333"/>
      <c r="I374" s="1333"/>
      <c r="J374" s="1174"/>
    </row>
    <row r="375" spans="1:10" ht="15" x14ac:dyDescent="0.25">
      <c r="A375" s="2324"/>
      <c r="B375" s="2324"/>
      <c r="C375" s="1329"/>
      <c r="D375" s="1356"/>
      <c r="E375" s="1340"/>
      <c r="F375" s="1340"/>
      <c r="G375" s="1340"/>
      <c r="H375" s="1333"/>
      <c r="I375" s="1333"/>
      <c r="J375" s="1174"/>
    </row>
    <row r="376" spans="1:10" ht="15" x14ac:dyDescent="0.25">
      <c r="A376" s="2324"/>
      <c r="B376" s="2324"/>
      <c r="C376" s="1329"/>
      <c r="D376" s="1356"/>
      <c r="E376" s="1340"/>
      <c r="F376" s="1340"/>
      <c r="G376" s="1340"/>
      <c r="H376" s="1333"/>
      <c r="I376" s="1333"/>
      <c r="J376" s="1174"/>
    </row>
    <row r="377" spans="1:10" ht="15" x14ac:dyDescent="0.25">
      <c r="A377" s="2324"/>
      <c r="B377" s="2324"/>
      <c r="C377" s="1329"/>
      <c r="D377" s="1356"/>
      <c r="E377" s="1340"/>
      <c r="F377" s="1340"/>
      <c r="G377" s="1340"/>
      <c r="H377" s="1333"/>
      <c r="I377" s="1333"/>
      <c r="J377" s="1174"/>
    </row>
    <row r="378" spans="1:10" ht="15" x14ac:dyDescent="0.25">
      <c r="A378" s="2324"/>
      <c r="B378" s="2324"/>
      <c r="C378" s="1329"/>
      <c r="D378" s="1356"/>
      <c r="E378" s="1340"/>
      <c r="F378" s="1340"/>
      <c r="G378" s="1340"/>
      <c r="H378" s="1333"/>
      <c r="I378" s="1333"/>
      <c r="J378" s="1174"/>
    </row>
    <row r="379" spans="1:10" ht="15" x14ac:dyDescent="0.25">
      <c r="A379" s="2324"/>
      <c r="B379" s="2324"/>
      <c r="C379" s="1329"/>
      <c r="D379" s="1356"/>
      <c r="E379" s="1340"/>
      <c r="F379" s="1340"/>
      <c r="G379" s="1340"/>
      <c r="H379" s="1333"/>
      <c r="I379" s="1333"/>
      <c r="J379" s="1174"/>
    </row>
    <row r="380" spans="1:10" ht="15" x14ac:dyDescent="0.25">
      <c r="A380" s="2324"/>
      <c r="B380" s="2324"/>
      <c r="C380" s="1329"/>
      <c r="D380" s="1356"/>
      <c r="E380" s="1340"/>
      <c r="F380" s="1340"/>
      <c r="G380" s="1340"/>
      <c r="H380" s="1333"/>
      <c r="I380" s="1333"/>
      <c r="J380" s="1174"/>
    </row>
    <row r="381" spans="1:10" ht="15" x14ac:dyDescent="0.25">
      <c r="A381" s="2324"/>
      <c r="B381" s="2324"/>
      <c r="C381" s="1329"/>
      <c r="D381" s="1356"/>
      <c r="E381" s="1340"/>
      <c r="F381" s="1340"/>
      <c r="G381" s="1340"/>
      <c r="H381" s="1333"/>
      <c r="I381" s="1333"/>
      <c r="J381" s="1174"/>
    </row>
    <row r="382" spans="1:10" ht="15" x14ac:dyDescent="0.25">
      <c r="A382" s="2325"/>
      <c r="B382" s="2326"/>
      <c r="C382" s="1329"/>
      <c r="D382" s="1356"/>
      <c r="E382" s="1333"/>
      <c r="F382" s="1333"/>
      <c r="G382" s="1333"/>
      <c r="H382" s="1333"/>
      <c r="I382" s="1333"/>
      <c r="J382" s="1174"/>
    </row>
    <row r="383" spans="1:10" ht="15" x14ac:dyDescent="0.25">
      <c r="A383" s="2327"/>
      <c r="B383" s="2328"/>
      <c r="C383" s="1329"/>
      <c r="D383" s="1356"/>
      <c r="E383" s="1333"/>
      <c r="F383" s="1333"/>
      <c r="G383" s="1333"/>
      <c r="H383" s="1333"/>
      <c r="I383" s="1333"/>
      <c r="J383" s="1174"/>
    </row>
    <row r="384" spans="1:10" ht="15" x14ac:dyDescent="0.25">
      <c r="A384" s="2327"/>
      <c r="B384" s="2328"/>
      <c r="C384" s="1329"/>
      <c r="D384" s="1356"/>
      <c r="E384" s="1333"/>
      <c r="F384" s="1333"/>
      <c r="G384" s="1333"/>
      <c r="H384" s="1333"/>
      <c r="I384" s="1333"/>
      <c r="J384" s="1174"/>
    </row>
    <row r="385" spans="1:10" ht="15" x14ac:dyDescent="0.25">
      <c r="A385" s="2327"/>
      <c r="B385" s="2328"/>
      <c r="C385" s="1329"/>
      <c r="D385" s="1356"/>
      <c r="E385" s="1333"/>
      <c r="F385" s="1333"/>
      <c r="G385" s="1333"/>
      <c r="H385" s="1333"/>
      <c r="I385" s="1333"/>
      <c r="J385" s="1174"/>
    </row>
    <row r="386" spans="1:10" ht="15" x14ac:dyDescent="0.25">
      <c r="A386" s="2327"/>
      <c r="B386" s="2328"/>
      <c r="C386" s="1329"/>
      <c r="D386" s="1356"/>
      <c r="E386" s="1333"/>
      <c r="F386" s="1333"/>
      <c r="G386" s="1333"/>
      <c r="H386" s="1333"/>
      <c r="I386" s="1333"/>
      <c r="J386" s="1174"/>
    </row>
    <row r="387" spans="1:10" ht="15.75" thickBot="1" x14ac:dyDescent="0.3">
      <c r="A387" s="2329"/>
      <c r="B387" s="2330"/>
      <c r="C387" s="1329"/>
      <c r="D387" s="1356"/>
      <c r="E387" s="1333"/>
      <c r="F387" s="1333"/>
      <c r="G387" s="1333"/>
      <c r="H387" s="1333"/>
      <c r="I387" s="1333"/>
      <c r="J387" s="1174"/>
    </row>
    <row r="388" spans="1:10" ht="15.75" thickTop="1" x14ac:dyDescent="0.25">
      <c r="A388" s="1151"/>
      <c r="B388" s="1149"/>
      <c r="C388" s="1149"/>
      <c r="D388" s="1357"/>
      <c r="E388" s="1340"/>
      <c r="F388" s="1340"/>
      <c r="G388" s="1340"/>
      <c r="H388" s="1358"/>
      <c r="I388" s="1359"/>
      <c r="J388" s="1174"/>
    </row>
    <row r="389" spans="1:10" ht="15" x14ac:dyDescent="0.25">
      <c r="A389" s="1148" t="s">
        <v>1270</v>
      </c>
      <c r="B389" s="1147"/>
      <c r="C389" s="1147"/>
      <c r="D389" s="1348"/>
      <c r="E389" s="1340"/>
      <c r="F389" s="1340"/>
      <c r="G389" s="1340"/>
      <c r="H389" s="1358"/>
      <c r="I389" s="1359"/>
      <c r="J389" s="1174"/>
    </row>
    <row r="390" spans="1:10" ht="15" x14ac:dyDescent="0.25">
      <c r="A390" s="1153"/>
      <c r="B390" s="1154"/>
      <c r="C390" s="1154"/>
      <c r="D390" s="1360"/>
      <c r="E390" s="1340"/>
      <c r="F390" s="1340"/>
      <c r="G390" s="1340"/>
      <c r="H390" s="1358"/>
      <c r="I390" s="1359"/>
      <c r="J390" s="1174"/>
    </row>
    <row r="391" spans="1:10" ht="15" x14ac:dyDescent="0.25">
      <c r="A391" s="2331" t="s">
        <v>1520</v>
      </c>
      <c r="B391" s="2331"/>
      <c r="C391" s="1329" t="s">
        <v>230</v>
      </c>
      <c r="D391" s="1356">
        <v>1.5</v>
      </c>
      <c r="E391" s="1340"/>
      <c r="F391" s="1340"/>
      <c r="G391" s="1340"/>
      <c r="H391" s="1358"/>
      <c r="I391" s="1359"/>
      <c r="J391" s="1174"/>
    </row>
    <row r="392" spans="1:10" ht="15" x14ac:dyDescent="0.25">
      <c r="A392" s="2331" t="s">
        <v>1516</v>
      </c>
      <c r="B392" s="2331"/>
      <c r="C392" s="1329" t="s">
        <v>230</v>
      </c>
      <c r="D392" s="1356">
        <v>19.559999999999999</v>
      </c>
      <c r="E392" s="1340"/>
      <c r="F392" s="1340"/>
      <c r="G392" s="1340"/>
      <c r="H392" s="1358"/>
      <c r="I392" s="1359"/>
      <c r="J392" s="1174"/>
    </row>
    <row r="393" spans="1:10" ht="15" x14ac:dyDescent="0.25">
      <c r="A393" s="2331" t="s">
        <v>1337</v>
      </c>
      <c r="B393" s="2331"/>
      <c r="C393" s="1329" t="s">
        <v>229</v>
      </c>
      <c r="D393" s="1707">
        <v>30</v>
      </c>
      <c r="E393" s="1340"/>
      <c r="F393" s="1340"/>
      <c r="G393" s="1340"/>
      <c r="H393" s="1358"/>
      <c r="I393" s="1359"/>
      <c r="J393" s="1174"/>
    </row>
    <row r="394" spans="1:10" ht="15" x14ac:dyDescent="0.25">
      <c r="A394" s="2331" t="s">
        <v>1344</v>
      </c>
      <c r="B394" s="2331"/>
      <c r="C394" s="1329" t="s">
        <v>229</v>
      </c>
      <c r="D394" s="1707">
        <v>165</v>
      </c>
      <c r="E394" s="1340"/>
      <c r="F394" s="1340"/>
      <c r="G394" s="1340"/>
      <c r="H394" s="1358"/>
      <c r="I394" s="1359"/>
      <c r="J394" s="1174"/>
    </row>
    <row r="395" spans="1:10" ht="15" x14ac:dyDescent="0.25">
      <c r="A395" s="2331" t="s">
        <v>1392</v>
      </c>
      <c r="B395" s="2331"/>
      <c r="C395" s="1329" t="s">
        <v>229</v>
      </c>
      <c r="D395" s="1707">
        <v>65</v>
      </c>
      <c r="E395" s="1340"/>
      <c r="F395" s="1340"/>
      <c r="G395" s="1340"/>
      <c r="H395" s="1358"/>
      <c r="I395" s="1359"/>
      <c r="J395" s="1174"/>
    </row>
    <row r="396" spans="1:10" ht="15" x14ac:dyDescent="0.25">
      <c r="A396" s="2331" t="s">
        <v>1382</v>
      </c>
      <c r="B396" s="2331"/>
      <c r="C396" s="1329" t="s">
        <v>229</v>
      </c>
      <c r="D396" s="1707">
        <v>185</v>
      </c>
      <c r="E396" s="1340"/>
      <c r="F396" s="1340"/>
      <c r="G396" s="1340"/>
      <c r="H396" s="1358"/>
      <c r="I396" s="1359"/>
      <c r="J396" s="1174"/>
    </row>
    <row r="397" spans="1:10" ht="15" x14ac:dyDescent="0.25">
      <c r="A397" s="2331" t="s">
        <v>1403</v>
      </c>
      <c r="B397" s="2331"/>
      <c r="C397" s="1329" t="s">
        <v>229</v>
      </c>
      <c r="D397" s="1707">
        <v>185</v>
      </c>
      <c r="E397" s="1340"/>
      <c r="F397" s="1340"/>
      <c r="G397" s="1340"/>
      <c r="H397" s="1358"/>
      <c r="I397" s="1359"/>
      <c r="J397" s="1174"/>
    </row>
    <row r="398" spans="1:10" ht="15" x14ac:dyDescent="0.25">
      <c r="A398" s="2331" t="s">
        <v>1418</v>
      </c>
      <c r="B398" s="2331"/>
      <c r="C398" s="1329" t="s">
        <v>229</v>
      </c>
      <c r="D398" s="1707">
        <v>415</v>
      </c>
      <c r="E398" s="1340"/>
      <c r="F398" s="1340"/>
      <c r="G398" s="1340"/>
      <c r="H398" s="1358"/>
      <c r="I398" s="1359"/>
      <c r="J398" s="1174"/>
    </row>
    <row r="399" spans="1:10" ht="15" x14ac:dyDescent="0.25">
      <c r="A399" s="2331" t="s">
        <v>1496</v>
      </c>
      <c r="B399" s="2331"/>
      <c r="C399" s="1329" t="s">
        <v>229</v>
      </c>
      <c r="D399" s="1707">
        <v>65</v>
      </c>
      <c r="E399" s="1340"/>
      <c r="F399" s="1340"/>
      <c r="G399" s="1340"/>
      <c r="H399" s="1358"/>
      <c r="I399" s="1359"/>
      <c r="J399" s="1174"/>
    </row>
    <row r="400" spans="1:10" ht="15" x14ac:dyDescent="0.25">
      <c r="A400" s="2331" t="s">
        <v>1490</v>
      </c>
      <c r="B400" s="2331"/>
      <c r="C400" s="1329" t="s">
        <v>229</v>
      </c>
      <c r="D400" s="1707">
        <v>185</v>
      </c>
      <c r="E400" s="1340"/>
      <c r="F400" s="1340"/>
      <c r="G400" s="1340"/>
      <c r="H400" s="1358"/>
      <c r="I400" s="1359"/>
      <c r="J400" s="1174"/>
    </row>
    <row r="401" spans="1:10" ht="15" x14ac:dyDescent="0.25">
      <c r="A401" s="2331" t="s">
        <v>1596</v>
      </c>
      <c r="B401" s="2331"/>
      <c r="C401" s="1329" t="s">
        <v>229</v>
      </c>
      <c r="D401" s="1707">
        <v>22.35</v>
      </c>
      <c r="E401" s="1340"/>
      <c r="F401" s="1340"/>
      <c r="G401" s="1340"/>
      <c r="H401" s="1358"/>
      <c r="I401" s="1359"/>
      <c r="J401" s="1174"/>
    </row>
    <row r="402" spans="1:10" ht="15" x14ac:dyDescent="0.25">
      <c r="A402" s="2331"/>
      <c r="B402" s="2331"/>
      <c r="C402" s="1329"/>
      <c r="D402" s="1356"/>
      <c r="E402" s="1340"/>
      <c r="F402" s="1340"/>
      <c r="G402" s="1340"/>
      <c r="H402" s="1358"/>
      <c r="I402" s="1359"/>
      <c r="J402" s="1174"/>
    </row>
    <row r="403" spans="1:10" ht="15" x14ac:dyDescent="0.25">
      <c r="A403" s="2331"/>
      <c r="B403" s="2331"/>
      <c r="C403" s="1329"/>
      <c r="D403" s="1356"/>
      <c r="E403" s="1340"/>
      <c r="F403" s="1340"/>
      <c r="G403" s="1340"/>
      <c r="H403" s="1358"/>
      <c r="I403" s="1359"/>
      <c r="J403" s="1174"/>
    </row>
    <row r="404" spans="1:10" ht="15" x14ac:dyDescent="0.25">
      <c r="A404" s="2331"/>
      <c r="B404" s="2331"/>
      <c r="C404" s="1329"/>
      <c r="D404" s="1356"/>
      <c r="E404" s="1340"/>
      <c r="F404" s="1340"/>
      <c r="G404" s="1340"/>
      <c r="H404" s="1358"/>
      <c r="I404" s="1359"/>
      <c r="J404" s="1174"/>
    </row>
    <row r="405" spans="1:10" ht="15" x14ac:dyDescent="0.25">
      <c r="A405" s="2331"/>
      <c r="B405" s="2331"/>
      <c r="C405" s="1329"/>
      <c r="D405" s="1356"/>
      <c r="E405" s="1340"/>
      <c r="F405" s="1340"/>
      <c r="G405" s="1340"/>
      <c r="H405" s="1358"/>
      <c r="I405" s="1359"/>
      <c r="J405" s="1174"/>
    </row>
    <row r="406" spans="1:10" ht="15" x14ac:dyDescent="0.25">
      <c r="A406" s="2331"/>
      <c r="B406" s="2331"/>
      <c r="C406" s="1329"/>
      <c r="D406" s="1356"/>
      <c r="E406" s="1340"/>
      <c r="F406" s="1340"/>
      <c r="G406" s="1340"/>
      <c r="H406" s="1358"/>
      <c r="I406" s="1359"/>
      <c r="J406" s="1174"/>
    </row>
    <row r="407" spans="1:10" ht="15" x14ac:dyDescent="0.25">
      <c r="A407" s="2331"/>
      <c r="B407" s="2331"/>
      <c r="C407" s="1329"/>
      <c r="D407" s="1356"/>
      <c r="E407" s="1340"/>
      <c r="F407" s="1340"/>
      <c r="G407" s="1340"/>
      <c r="H407" s="1358"/>
      <c r="I407" s="1359"/>
      <c r="J407" s="1174"/>
    </row>
    <row r="408" spans="1:10" ht="15" x14ac:dyDescent="0.25">
      <c r="A408" s="2331"/>
      <c r="B408" s="2331"/>
      <c r="C408" s="1329"/>
      <c r="D408" s="1356"/>
      <c r="E408" s="1340"/>
      <c r="F408" s="1340"/>
      <c r="G408" s="1340"/>
      <c r="H408" s="1358"/>
      <c r="I408" s="1359"/>
      <c r="J408" s="1174"/>
    </row>
    <row r="409" spans="1:10" ht="15" x14ac:dyDescent="0.25">
      <c r="A409" s="2331"/>
      <c r="B409" s="2331"/>
      <c r="C409" s="1329"/>
      <c r="D409" s="1356"/>
      <c r="E409" s="1340"/>
      <c r="F409" s="1340"/>
      <c r="G409" s="1340"/>
      <c r="H409" s="1358"/>
      <c r="I409" s="1359"/>
      <c r="J409" s="1174"/>
    </row>
    <row r="410" spans="1:10" ht="15" x14ac:dyDescent="0.25">
      <c r="A410" s="2331"/>
      <c r="B410" s="2331"/>
      <c r="C410" s="1329"/>
      <c r="D410" s="1356"/>
      <c r="E410" s="1340"/>
      <c r="F410" s="1340"/>
      <c r="G410" s="1340"/>
      <c r="H410" s="1358"/>
      <c r="I410" s="1359"/>
      <c r="J410" s="1174"/>
    </row>
    <row r="411" spans="1:10" ht="15" x14ac:dyDescent="0.25">
      <c r="A411" s="2327" t="s">
        <v>2127</v>
      </c>
      <c r="B411" s="2328"/>
      <c r="C411" s="1708" t="s">
        <v>229</v>
      </c>
      <c r="D411" s="1707">
        <v>65</v>
      </c>
      <c r="E411" s="1340"/>
      <c r="F411" s="1340"/>
      <c r="G411" s="1340"/>
      <c r="H411" s="1358"/>
      <c r="I411" s="1359"/>
      <c r="J411" s="1174"/>
    </row>
    <row r="412" spans="1:10" ht="15" x14ac:dyDescent="0.25">
      <c r="A412" s="2327"/>
      <c r="B412" s="2328"/>
      <c r="C412" s="1329"/>
      <c r="D412" s="1361"/>
      <c r="E412" s="1340"/>
      <c r="F412" s="1340"/>
      <c r="G412" s="1340"/>
      <c r="H412" s="1358"/>
      <c r="I412" s="1359"/>
      <c r="J412" s="1174"/>
    </row>
    <row r="413" spans="1:10" ht="15" x14ac:dyDescent="0.25">
      <c r="A413" s="2327"/>
      <c r="B413" s="2328"/>
      <c r="C413" s="1329"/>
      <c r="D413" s="1361"/>
      <c r="E413" s="1340"/>
      <c r="F413" s="1340"/>
      <c r="G413" s="1340"/>
      <c r="H413" s="1358"/>
      <c r="I413" s="1359"/>
      <c r="J413" s="1174"/>
    </row>
    <row r="414" spans="1:10" ht="15" x14ac:dyDescent="0.25">
      <c r="A414" s="2327"/>
      <c r="B414" s="2328"/>
      <c r="C414" s="1329"/>
      <c r="D414" s="1361"/>
      <c r="E414" s="1340"/>
      <c r="F414" s="1340"/>
      <c r="G414" s="1340"/>
      <c r="H414" s="1358"/>
      <c r="I414" s="1359"/>
      <c r="J414" s="1174"/>
    </row>
    <row r="415" spans="1:10" ht="15" x14ac:dyDescent="0.25">
      <c r="A415" s="2327"/>
      <c r="B415" s="2328"/>
      <c r="C415" s="1329"/>
      <c r="D415" s="1361"/>
      <c r="E415" s="1340"/>
      <c r="F415" s="1340"/>
      <c r="G415" s="1340"/>
      <c r="H415" s="1358"/>
      <c r="I415" s="1359"/>
      <c r="J415" s="1174"/>
    </row>
    <row r="416" spans="1:10" ht="15" x14ac:dyDescent="0.25">
      <c r="A416" s="1148"/>
      <c r="B416" s="1147"/>
      <c r="C416" s="1156"/>
      <c r="D416" s="1348"/>
      <c r="E416" s="1340"/>
      <c r="F416" s="1340"/>
      <c r="G416" s="1340"/>
      <c r="H416" s="1358"/>
      <c r="I416" s="1359"/>
      <c r="J416" s="1174"/>
    </row>
    <row r="417" spans="1:10" ht="15" x14ac:dyDescent="0.25">
      <c r="A417" s="1148"/>
      <c r="B417" s="1147"/>
      <c r="C417" s="1147"/>
      <c r="D417" s="1348"/>
      <c r="E417" s="1340"/>
      <c r="F417" s="1340"/>
      <c r="G417" s="1340"/>
      <c r="H417" s="1358"/>
      <c r="I417" s="1359"/>
      <c r="J417" s="1174"/>
    </row>
    <row r="418" spans="1:10" ht="15" x14ac:dyDescent="0.25">
      <c r="A418" s="2331"/>
      <c r="B418" s="2331"/>
      <c r="C418" s="1329"/>
      <c r="D418" s="1356"/>
      <c r="E418" s="1340"/>
      <c r="F418" s="1340"/>
      <c r="G418" s="1340"/>
      <c r="H418" s="1333"/>
      <c r="I418" s="1333"/>
      <c r="J418" s="1174"/>
    </row>
    <row r="419" spans="1:10" ht="15" x14ac:dyDescent="0.25">
      <c r="A419" s="2331"/>
      <c r="B419" s="2331"/>
      <c r="C419" s="1329"/>
      <c r="D419" s="1356"/>
      <c r="E419" s="1340"/>
      <c r="F419" s="1340"/>
      <c r="G419" s="1340"/>
      <c r="H419" s="1333"/>
      <c r="I419" s="1333"/>
      <c r="J419" s="1174"/>
    </row>
    <row r="420" spans="1:10" ht="15" x14ac:dyDescent="0.25">
      <c r="A420" s="2331"/>
      <c r="B420" s="2331"/>
      <c r="C420" s="1329"/>
      <c r="D420" s="1356"/>
      <c r="E420" s="1340"/>
      <c r="F420" s="1340"/>
      <c r="G420" s="1340"/>
      <c r="H420" s="1333"/>
      <c r="I420" s="1333"/>
      <c r="J420" s="1174"/>
    </row>
    <row r="421" spans="1:10" ht="15" x14ac:dyDescent="0.25">
      <c r="A421" s="2331"/>
      <c r="B421" s="2331"/>
      <c r="C421" s="1329"/>
      <c r="D421" s="1356"/>
      <c r="E421" s="1340"/>
      <c r="F421" s="1340"/>
      <c r="G421" s="1340"/>
      <c r="H421" s="1333"/>
      <c r="I421" s="1333"/>
      <c r="J421" s="1174"/>
    </row>
    <row r="422" spans="1:10" ht="15" x14ac:dyDescent="0.25">
      <c r="A422" s="2331"/>
      <c r="B422" s="2331"/>
      <c r="C422" s="1329"/>
      <c r="D422" s="1356"/>
      <c r="E422" s="1340"/>
      <c r="F422" s="1340"/>
      <c r="G422" s="1340"/>
      <c r="H422" s="1333"/>
      <c r="I422" s="1333"/>
      <c r="J422" s="1174"/>
    </row>
    <row r="423" spans="1:10" ht="15" x14ac:dyDescent="0.25">
      <c r="A423" s="2331"/>
      <c r="B423" s="2331"/>
      <c r="C423" s="1329"/>
      <c r="D423" s="1356"/>
      <c r="E423" s="1340"/>
      <c r="F423" s="1340"/>
      <c r="G423" s="1340"/>
      <c r="H423" s="1333"/>
      <c r="I423" s="1333"/>
      <c r="J423" s="1174"/>
    </row>
    <row r="424" spans="1:10" ht="15" x14ac:dyDescent="0.25">
      <c r="A424" s="2331"/>
      <c r="B424" s="2331"/>
      <c r="C424" s="1329"/>
      <c r="D424" s="1356"/>
      <c r="E424" s="1340"/>
      <c r="F424" s="1340"/>
      <c r="G424" s="1340"/>
      <c r="H424" s="1333"/>
      <c r="I424" s="1333"/>
      <c r="J424" s="1174"/>
    </row>
    <row r="425" spans="1:10" ht="15" x14ac:dyDescent="0.25">
      <c r="A425" s="2331"/>
      <c r="B425" s="2331"/>
      <c r="C425" s="1329"/>
      <c r="D425" s="1356"/>
      <c r="E425" s="1340"/>
      <c r="F425" s="1340"/>
      <c r="G425" s="1340"/>
      <c r="H425" s="1333"/>
      <c r="I425" s="1333"/>
      <c r="J425" s="1174"/>
    </row>
    <row r="426" spans="1:10" ht="15" x14ac:dyDescent="0.25">
      <c r="A426" s="2331"/>
      <c r="B426" s="2331"/>
      <c r="C426" s="1329"/>
      <c r="D426" s="1356"/>
      <c r="E426" s="1340"/>
      <c r="F426" s="1340"/>
      <c r="G426" s="1340"/>
      <c r="H426" s="1333"/>
      <c r="I426" s="1333"/>
      <c r="J426" s="1174"/>
    </row>
    <row r="427" spans="1:10" ht="15" x14ac:dyDescent="0.25">
      <c r="A427" s="2331"/>
      <c r="B427" s="2331"/>
      <c r="C427" s="1329"/>
      <c r="D427" s="1356"/>
      <c r="E427" s="1340"/>
      <c r="F427" s="1340"/>
      <c r="G427" s="1340"/>
      <c r="H427" s="1333"/>
      <c r="I427" s="1333"/>
      <c r="J427" s="1174"/>
    </row>
    <row r="428" spans="1:10" ht="15" x14ac:dyDescent="0.25">
      <c r="A428" s="2331"/>
      <c r="B428" s="2331"/>
      <c r="C428" s="1329"/>
      <c r="D428" s="1356"/>
      <c r="E428" s="1340"/>
      <c r="F428" s="1340"/>
      <c r="G428" s="1340"/>
      <c r="H428" s="1333"/>
      <c r="I428" s="1333"/>
      <c r="J428" s="1174"/>
    </row>
    <row r="429" spans="1:10" ht="15" x14ac:dyDescent="0.25">
      <c r="A429" s="2331"/>
      <c r="B429" s="2331"/>
      <c r="C429" s="1329"/>
      <c r="D429" s="1356"/>
      <c r="E429" s="1340"/>
      <c r="F429" s="1340"/>
      <c r="G429" s="1340"/>
      <c r="H429" s="1333"/>
      <c r="I429" s="1333"/>
      <c r="J429" s="1174"/>
    </row>
    <row r="430" spans="1:10" ht="15" x14ac:dyDescent="0.25">
      <c r="A430" s="2331"/>
      <c r="B430" s="2331"/>
      <c r="C430" s="1329"/>
      <c r="D430" s="1356"/>
      <c r="E430" s="1340"/>
      <c r="F430" s="1340"/>
      <c r="G430" s="1340"/>
      <c r="H430" s="1333"/>
      <c r="I430" s="1333"/>
      <c r="J430" s="1174"/>
    </row>
    <row r="431" spans="1:10" ht="15" x14ac:dyDescent="0.25">
      <c r="A431" s="2331"/>
      <c r="B431" s="2331"/>
      <c r="C431" s="1329"/>
      <c r="D431" s="1356"/>
      <c r="E431" s="1340"/>
      <c r="F431" s="1340"/>
      <c r="G431" s="1340"/>
      <c r="H431" s="1333"/>
      <c r="I431" s="1333"/>
      <c r="J431" s="1174"/>
    </row>
    <row r="432" spans="1:10" ht="15" x14ac:dyDescent="0.25">
      <c r="A432" s="2331"/>
      <c r="B432" s="2331"/>
      <c r="C432" s="1329"/>
      <c r="D432" s="1356"/>
      <c r="E432" s="1340"/>
      <c r="F432" s="1340"/>
      <c r="G432" s="1340"/>
      <c r="H432" s="1333"/>
      <c r="I432" s="1333"/>
      <c r="J432" s="1174"/>
    </row>
    <row r="433" spans="1:10" ht="15" x14ac:dyDescent="0.25">
      <c r="A433" s="2331"/>
      <c r="B433" s="2331"/>
      <c r="C433" s="1329"/>
      <c r="D433" s="1356"/>
      <c r="E433" s="1340"/>
      <c r="F433" s="1340"/>
      <c r="G433" s="1340"/>
      <c r="H433" s="1333"/>
      <c r="I433" s="1333"/>
      <c r="J433" s="1174"/>
    </row>
    <row r="434" spans="1:10" ht="15" x14ac:dyDescent="0.25">
      <c r="A434" s="2327"/>
      <c r="B434" s="2328"/>
      <c r="C434" s="1329"/>
      <c r="D434" s="1356"/>
      <c r="E434" s="1340"/>
      <c r="F434" s="1340"/>
      <c r="G434" s="1340"/>
      <c r="H434" s="1333"/>
      <c r="I434" s="1333"/>
      <c r="J434" s="1174"/>
    </row>
    <row r="435" spans="1:10" ht="15" x14ac:dyDescent="0.25">
      <c r="A435" s="2327"/>
      <c r="B435" s="2328"/>
      <c r="C435" s="1329"/>
      <c r="D435" s="1356"/>
      <c r="E435" s="1340"/>
      <c r="F435" s="1340"/>
      <c r="G435" s="1340"/>
      <c r="H435" s="1333"/>
      <c r="I435" s="1333"/>
      <c r="J435" s="1174"/>
    </row>
    <row r="436" spans="1:10" ht="15" x14ac:dyDescent="0.25">
      <c r="A436" s="2327"/>
      <c r="B436" s="2328"/>
      <c r="C436" s="1329"/>
      <c r="D436" s="1356"/>
      <c r="E436" s="1340"/>
      <c r="F436" s="1340"/>
      <c r="G436" s="1340"/>
      <c r="H436" s="1333"/>
      <c r="I436" s="1333"/>
      <c r="J436" s="1174"/>
    </row>
    <row r="437" spans="1:10" ht="15" x14ac:dyDescent="0.25">
      <c r="A437" s="2327"/>
      <c r="B437" s="2328"/>
      <c r="C437" s="1329"/>
      <c r="D437" s="1356"/>
      <c r="E437" s="1340"/>
      <c r="F437" s="1340"/>
      <c r="G437" s="1340"/>
      <c r="H437" s="1333"/>
      <c r="I437" s="1333"/>
      <c r="J437" s="1174"/>
    </row>
    <row r="438" spans="1:10" ht="15" x14ac:dyDescent="0.25">
      <c r="A438" s="2327"/>
      <c r="B438" s="2328"/>
      <c r="C438" s="1329"/>
      <c r="D438" s="1356"/>
      <c r="E438" s="1340"/>
      <c r="F438" s="1340"/>
      <c r="G438" s="1340"/>
      <c r="H438" s="1333"/>
      <c r="I438" s="1333"/>
      <c r="J438" s="1174"/>
    </row>
    <row r="439" spans="1:10" ht="15" x14ac:dyDescent="0.25">
      <c r="A439" s="1279"/>
      <c r="B439" s="1280"/>
      <c r="C439" s="1280"/>
      <c r="D439" s="1362"/>
      <c r="E439" s="1363"/>
      <c r="F439" s="1363"/>
      <c r="G439" s="1340"/>
      <c r="H439" s="1333"/>
      <c r="I439" s="1333"/>
      <c r="J439" s="1174"/>
    </row>
    <row r="440" spans="1:10" ht="18" x14ac:dyDescent="0.25">
      <c r="A440" s="1146" t="s">
        <v>1271</v>
      </c>
      <c r="B440" s="1147"/>
      <c r="C440" s="1147"/>
      <c r="D440" s="1348"/>
      <c r="E440" s="1340"/>
      <c r="F440" s="1340"/>
      <c r="G440" s="1340"/>
      <c r="H440" s="1340"/>
      <c r="I440" s="1350"/>
      <c r="J440" s="1174"/>
    </row>
    <row r="441" spans="1:10" ht="15" x14ac:dyDescent="0.25">
      <c r="A441" s="1148"/>
      <c r="B441" s="1147"/>
      <c r="C441" s="1147"/>
      <c r="D441" s="1348"/>
      <c r="E441" s="1340"/>
      <c r="F441" s="1340"/>
      <c r="G441" s="1340"/>
      <c r="H441" s="1340"/>
      <c r="I441" s="1350"/>
      <c r="J441" s="1174"/>
    </row>
    <row r="442" spans="1:10" ht="36.75" customHeight="1" x14ac:dyDescent="0.25">
      <c r="A442" s="2322" t="s">
        <v>1778</v>
      </c>
      <c r="B442" s="2322"/>
      <c r="C442" s="2322"/>
      <c r="D442" s="2323"/>
      <c r="E442" s="2323"/>
      <c r="F442" s="2323"/>
      <c r="G442" s="2323"/>
      <c r="H442" s="2323"/>
      <c r="I442" s="1705"/>
      <c r="J442" s="1174"/>
    </row>
    <row r="443" spans="1:10" ht="15" x14ac:dyDescent="0.25">
      <c r="A443" s="2322"/>
      <c r="B443" s="2322"/>
      <c r="C443" s="2322"/>
      <c r="D443" s="2323"/>
      <c r="E443" s="2323"/>
      <c r="F443" s="2323"/>
      <c r="G443" s="2323"/>
      <c r="H443" s="2323"/>
      <c r="I443" s="1705"/>
      <c r="J443" s="1174"/>
    </row>
    <row r="444" spans="1:10" ht="51" customHeight="1" x14ac:dyDescent="0.25">
      <c r="A444" s="2322" t="s">
        <v>1781</v>
      </c>
      <c r="B444" s="2322"/>
      <c r="C444" s="2322"/>
      <c r="D444" s="2323"/>
      <c r="E444" s="2323"/>
      <c r="F444" s="2323"/>
      <c r="G444" s="2323"/>
      <c r="H444" s="2323"/>
      <c r="I444" s="1705"/>
      <c r="J444" s="1174"/>
    </row>
    <row r="445" spans="1:10" ht="15" x14ac:dyDescent="0.25">
      <c r="A445" s="2322"/>
      <c r="B445" s="2322"/>
      <c r="C445" s="2322"/>
      <c r="D445" s="2323"/>
      <c r="E445" s="2323"/>
      <c r="F445" s="2323"/>
      <c r="G445" s="2323"/>
      <c r="H445" s="2323"/>
      <c r="I445" s="1705"/>
      <c r="J445" s="1174"/>
    </row>
    <row r="446" spans="1:10" ht="27" customHeight="1" x14ac:dyDescent="0.25">
      <c r="A446" s="2322" t="s">
        <v>1782</v>
      </c>
      <c r="B446" s="2322"/>
      <c r="C446" s="2322"/>
      <c r="D446" s="2323"/>
      <c r="E446" s="2323"/>
      <c r="F446" s="2323"/>
      <c r="G446" s="2323"/>
      <c r="H446" s="2323"/>
      <c r="I446" s="1705"/>
      <c r="J446" s="1174"/>
    </row>
    <row r="447" spans="1:10" ht="15" x14ac:dyDescent="0.25">
      <c r="A447" s="2322"/>
      <c r="B447" s="2322"/>
      <c r="C447" s="2322"/>
      <c r="D447" s="2323"/>
      <c r="E447" s="2323"/>
      <c r="F447" s="2323"/>
      <c r="G447" s="2323"/>
      <c r="H447" s="2323"/>
      <c r="I447" s="1705"/>
      <c r="J447" s="1174"/>
    </row>
    <row r="448" spans="1:10" ht="36.75" customHeight="1" x14ac:dyDescent="0.25">
      <c r="A448" s="2322" t="s">
        <v>1780</v>
      </c>
      <c r="B448" s="2322"/>
      <c r="C448" s="2322"/>
      <c r="D448" s="2323"/>
      <c r="E448" s="2323"/>
      <c r="F448" s="2323"/>
      <c r="G448" s="2323"/>
      <c r="H448" s="2323"/>
      <c r="I448" s="1705"/>
      <c r="J448" s="1174"/>
    </row>
    <row r="449" spans="1:10" ht="15" x14ac:dyDescent="0.25">
      <c r="A449" s="2322"/>
      <c r="B449" s="2322"/>
      <c r="C449" s="2322"/>
      <c r="D449" s="2323"/>
      <c r="E449" s="2323"/>
      <c r="F449" s="2323"/>
      <c r="G449" s="2323"/>
      <c r="H449" s="2323"/>
      <c r="I449" s="1705"/>
      <c r="J449" s="1174"/>
    </row>
    <row r="450" spans="1:10" ht="24.75" customHeight="1" x14ac:dyDescent="0.25">
      <c r="A450" s="2322" t="s">
        <v>1783</v>
      </c>
      <c r="B450" s="2322"/>
      <c r="C450" s="2322"/>
      <c r="D450" s="2323"/>
      <c r="E450" s="2323"/>
      <c r="F450" s="2323"/>
      <c r="G450" s="2323"/>
      <c r="H450" s="2323"/>
      <c r="I450" s="1705"/>
      <c r="J450" s="1174"/>
    </row>
    <row r="451" spans="1:10" ht="15" x14ac:dyDescent="0.25">
      <c r="A451" s="1157"/>
      <c r="B451" s="1147"/>
      <c r="C451" s="1147"/>
      <c r="D451" s="1348"/>
      <c r="E451" s="1340"/>
      <c r="F451" s="1340"/>
      <c r="G451" s="1340"/>
      <c r="H451" s="1340"/>
      <c r="I451" s="1350"/>
      <c r="J451" s="1174"/>
    </row>
    <row r="452" spans="1:10" ht="15" customHeight="1" x14ac:dyDescent="0.25">
      <c r="A452" s="2294" t="s">
        <v>1272</v>
      </c>
      <c r="B452" s="2295"/>
      <c r="C452" s="1301" t="s">
        <v>229</v>
      </c>
      <c r="D452" s="1364">
        <v>100</v>
      </c>
      <c r="E452" s="2332"/>
      <c r="F452" s="2333"/>
      <c r="G452" s="1365"/>
      <c r="H452" s="1333"/>
      <c r="I452" s="1333"/>
      <c r="J452" s="1174"/>
    </row>
    <row r="453" spans="1:10" ht="15" x14ac:dyDescent="0.25">
      <c r="A453" s="2294" t="s">
        <v>1273</v>
      </c>
      <c r="B453" s="2295"/>
      <c r="C453" s="1301" t="s">
        <v>229</v>
      </c>
      <c r="D453" s="1364">
        <v>20</v>
      </c>
      <c r="E453" s="1366"/>
      <c r="F453" s="1367"/>
      <c r="G453" s="1365"/>
      <c r="H453" s="1333"/>
      <c r="I453" s="1333"/>
      <c r="J453" s="1174"/>
    </row>
    <row r="454" spans="1:10" ht="15" x14ac:dyDescent="0.25">
      <c r="A454" s="2294" t="s">
        <v>1274</v>
      </c>
      <c r="B454" s="2295"/>
      <c r="C454" s="1301" t="s">
        <v>1275</v>
      </c>
      <c r="D454" s="1368">
        <v>0.5</v>
      </c>
      <c r="E454" s="1366"/>
      <c r="F454" s="1367"/>
      <c r="G454" s="1365"/>
      <c r="H454" s="1333"/>
      <c r="I454" s="1333"/>
      <c r="J454" s="1174"/>
    </row>
    <row r="455" spans="1:10" ht="15" x14ac:dyDescent="0.25">
      <c r="A455" s="2294" t="s">
        <v>1276</v>
      </c>
      <c r="B455" s="2295"/>
      <c r="C455" s="1301" t="s">
        <v>1275</v>
      </c>
      <c r="D455" s="1368">
        <v>0.3</v>
      </c>
      <c r="E455" s="1366"/>
      <c r="F455" s="1367"/>
      <c r="G455" s="1365"/>
      <c r="H455" s="1333"/>
      <c r="I455" s="1333"/>
      <c r="J455" s="1174"/>
    </row>
    <row r="456" spans="1:10" ht="15" x14ac:dyDescent="0.25">
      <c r="A456" s="2294" t="s">
        <v>1277</v>
      </c>
      <c r="B456" s="2295"/>
      <c r="C456" s="1301" t="s">
        <v>1275</v>
      </c>
      <c r="D456" s="1368">
        <v>-0.3</v>
      </c>
      <c r="E456" s="1366"/>
      <c r="F456" s="1367"/>
      <c r="G456" s="1365"/>
      <c r="H456" s="1333"/>
      <c r="I456" s="1333"/>
      <c r="J456" s="1174"/>
    </row>
    <row r="457" spans="1:10" ht="15" x14ac:dyDescent="0.25">
      <c r="A457" s="2294" t="s">
        <v>1278</v>
      </c>
      <c r="B457" s="2295"/>
      <c r="C457" s="1293"/>
      <c r="D457" s="1369"/>
      <c r="E457" s="1366"/>
      <c r="F457" s="1367"/>
      <c r="G457" s="1365"/>
      <c r="H457" s="1333"/>
      <c r="I457" s="1333"/>
      <c r="J457" s="1174"/>
    </row>
    <row r="458" spans="1:10" ht="15" x14ac:dyDescent="0.25">
      <c r="A458" s="2334" t="s">
        <v>1279</v>
      </c>
      <c r="B458" s="2335"/>
      <c r="C458" s="1301" t="s">
        <v>229</v>
      </c>
      <c r="D458" s="1364">
        <v>0.25</v>
      </c>
      <c r="E458" s="1366"/>
      <c r="F458" s="1367"/>
      <c r="G458" s="1370"/>
      <c r="H458" s="1333"/>
      <c r="I458" s="1333"/>
      <c r="J458" s="1174"/>
    </row>
    <row r="459" spans="1:10" ht="15" x14ac:dyDescent="0.25">
      <c r="A459" s="2334" t="s">
        <v>1280</v>
      </c>
      <c r="B459" s="2335"/>
      <c r="C459" s="1301" t="s">
        <v>229</v>
      </c>
      <c r="D459" s="1364">
        <v>0.5</v>
      </c>
      <c r="E459" s="1366"/>
      <c r="F459" s="1367"/>
      <c r="G459" s="1370"/>
      <c r="H459" s="1333"/>
      <c r="I459" s="1333"/>
      <c r="J459" s="1174"/>
    </row>
    <row r="460" spans="1:10" ht="15" customHeight="1" x14ac:dyDescent="0.25">
      <c r="A460" s="2294" t="s">
        <v>1281</v>
      </c>
      <c r="B460" s="2295"/>
      <c r="C460" s="1293"/>
      <c r="D460" s="1369"/>
      <c r="E460" s="1366"/>
      <c r="F460" s="1367"/>
      <c r="G460" s="1371"/>
      <c r="H460" s="1333"/>
      <c r="I460" s="1333"/>
      <c r="J460" s="1174"/>
    </row>
    <row r="461" spans="1:10" ht="15" customHeight="1" x14ac:dyDescent="0.25">
      <c r="A461" s="2294" t="s">
        <v>1282</v>
      </c>
      <c r="B461" s="2295"/>
      <c r="C461" s="1293"/>
      <c r="D461" s="1369"/>
      <c r="E461" s="1366"/>
      <c r="F461" s="1367"/>
      <c r="G461" s="1371"/>
      <c r="H461" s="1333"/>
      <c r="I461" s="1333"/>
      <c r="J461" s="1174"/>
    </row>
    <row r="462" spans="1:10" ht="15" customHeight="1" x14ac:dyDescent="0.25">
      <c r="A462" s="2294" t="s">
        <v>1283</v>
      </c>
      <c r="B462" s="2295"/>
      <c r="C462" s="1293"/>
      <c r="D462" s="1369"/>
      <c r="E462" s="1366"/>
      <c r="F462" s="1367"/>
      <c r="G462" s="1371"/>
      <c r="H462" s="1333"/>
      <c r="I462" s="1333"/>
      <c r="J462" s="1174"/>
    </row>
    <row r="463" spans="1:10" ht="15" x14ac:dyDescent="0.25">
      <c r="A463" s="2334" t="s">
        <v>1284</v>
      </c>
      <c r="B463" s="2335"/>
      <c r="C463" s="1301" t="s">
        <v>229</v>
      </c>
      <c r="D463" s="1364" t="s">
        <v>1285</v>
      </c>
      <c r="E463" s="1366"/>
      <c r="F463" s="1367"/>
      <c r="G463" s="1370"/>
      <c r="H463" s="1333"/>
      <c r="I463" s="1333"/>
      <c r="J463" s="1174"/>
    </row>
    <row r="464" spans="1:10" ht="15" customHeight="1" x14ac:dyDescent="0.25">
      <c r="A464" s="2334" t="s">
        <v>1286</v>
      </c>
      <c r="B464" s="2335"/>
      <c r="C464" s="1301" t="s">
        <v>229</v>
      </c>
      <c r="D464" s="1364">
        <v>2</v>
      </c>
      <c r="E464" s="1366"/>
      <c r="F464" s="1367"/>
      <c r="G464" s="1370"/>
      <c r="H464" s="1333"/>
      <c r="I464" s="1333"/>
      <c r="J464" s="1174"/>
    </row>
    <row r="465" spans="1:10" ht="15" x14ac:dyDescent="0.25">
      <c r="A465" s="1148"/>
      <c r="B465" s="1147"/>
      <c r="C465" s="1156"/>
      <c r="D465" s="1348"/>
      <c r="E465" s="1340"/>
      <c r="F465" s="1340"/>
      <c r="G465" s="1340"/>
      <c r="H465" s="1340"/>
      <c r="I465" s="1350"/>
      <c r="J465" s="1174"/>
    </row>
    <row r="466" spans="1:10" ht="20.25" x14ac:dyDescent="0.3">
      <c r="A466" s="1158" t="s">
        <v>1287</v>
      </c>
      <c r="B466" s="1147"/>
      <c r="C466" s="1147"/>
      <c r="D466" s="1348"/>
      <c r="E466" s="1340"/>
      <c r="F466" s="1340"/>
      <c r="G466" s="1340"/>
      <c r="H466" s="1340"/>
      <c r="I466" s="1350"/>
      <c r="J466" s="1174"/>
    </row>
    <row r="467" spans="1:10" ht="15" x14ac:dyDescent="0.25">
      <c r="A467" s="4"/>
      <c r="B467" s="4"/>
      <c r="C467" s="4"/>
      <c r="D467" s="1340"/>
      <c r="E467" s="1340"/>
      <c r="F467" s="1340"/>
      <c r="G467" s="1340"/>
      <c r="H467" s="1340"/>
      <c r="I467" s="1350"/>
      <c r="J467" s="1174"/>
    </row>
    <row r="468" spans="1:10" ht="27.75" customHeight="1" x14ac:dyDescent="0.25">
      <c r="A468" s="2322" t="s">
        <v>1288</v>
      </c>
      <c r="B468" s="2322"/>
      <c r="C468" s="2322"/>
      <c r="D468" s="2323"/>
      <c r="E468" s="2323"/>
      <c r="F468" s="2323"/>
      <c r="G468" s="2323"/>
      <c r="H468" s="2323"/>
      <c r="I468" s="1705"/>
      <c r="J468" s="1174"/>
    </row>
    <row r="469" spans="1:10" ht="15" x14ac:dyDescent="0.25">
      <c r="A469" s="1307"/>
      <c r="B469" s="1293"/>
      <c r="C469" s="1293"/>
      <c r="D469" s="1372"/>
      <c r="E469" s="1372"/>
      <c r="F469" s="1372"/>
      <c r="G469" s="1372"/>
      <c r="H469" s="1372"/>
      <c r="I469" s="1369"/>
      <c r="J469" s="1174"/>
    </row>
    <row r="470" spans="1:10" ht="15" x14ac:dyDescent="0.25">
      <c r="A470" s="1293"/>
      <c r="B470" s="1293"/>
      <c r="C470" s="1293"/>
      <c r="D470" s="1372"/>
      <c r="E470" s="1333"/>
      <c r="F470" s="1372"/>
      <c r="G470" s="1372"/>
      <c r="H470" s="1372"/>
      <c r="I470" s="1369"/>
      <c r="J470" s="1174"/>
    </row>
    <row r="471" spans="1:10" ht="15" x14ac:dyDescent="0.25">
      <c r="A471" s="2336" t="s">
        <v>1289</v>
      </c>
      <c r="B471" s="2336"/>
      <c r="C471" s="1293"/>
      <c r="D471" s="1159">
        <v>1.0367</v>
      </c>
      <c r="E471" s="1333"/>
      <c r="F471" s="1372"/>
      <c r="G471" s="1372"/>
      <c r="H471" s="1372"/>
      <c r="I471" s="1333"/>
      <c r="J471" s="1174"/>
    </row>
    <row r="472" spans="1:10" ht="15" x14ac:dyDescent="0.25">
      <c r="A472" s="2336" t="s">
        <v>1317</v>
      </c>
      <c r="B472" s="2336"/>
      <c r="C472" s="1293"/>
      <c r="D472" s="1160">
        <v>1.0246999999999999</v>
      </c>
      <c r="E472" s="1333"/>
      <c r="F472" s="1372"/>
      <c r="G472" s="1372"/>
      <c r="H472" s="1372"/>
      <c r="I472" s="1333"/>
      <c r="J472" s="1174"/>
    </row>
    <row r="473" spans="1:10" ht="15" x14ac:dyDescent="0.25">
      <c r="A473" s="2336"/>
      <c r="B473" s="2336"/>
      <c r="C473" s="1293"/>
      <c r="D473" s="1160"/>
      <c r="E473" s="1333"/>
      <c r="F473" s="1372"/>
      <c r="G473" s="1372"/>
      <c r="H473" s="1372"/>
      <c r="I473" s="1333"/>
      <c r="J473" s="1174"/>
    </row>
    <row r="474" spans="1:10" ht="15" x14ac:dyDescent="0.25">
      <c r="A474" s="2336"/>
      <c r="B474" s="2336"/>
      <c r="C474" s="1293"/>
      <c r="D474" s="1160"/>
      <c r="E474" s="1333"/>
      <c r="F474" s="1372"/>
      <c r="G474" s="1372"/>
      <c r="H474" s="1372"/>
      <c r="I474" s="1333"/>
      <c r="J474" s="1174"/>
    </row>
    <row r="475" spans="1:10" ht="15" x14ac:dyDescent="0.25">
      <c r="A475" s="2336"/>
      <c r="B475" s="2336"/>
      <c r="C475" s="1293"/>
      <c r="D475" s="1160"/>
      <c r="E475" s="1333"/>
      <c r="F475" s="1372"/>
      <c r="G475" s="1372"/>
      <c r="H475" s="1372"/>
      <c r="I475" s="1333"/>
      <c r="J475" s="1174"/>
    </row>
    <row r="476" spans="1:10" ht="15" x14ac:dyDescent="0.25">
      <c r="A476" s="2336"/>
      <c r="B476" s="2336"/>
      <c r="C476" s="1293"/>
      <c r="D476" s="1161"/>
      <c r="E476" s="1333"/>
      <c r="F476" s="1372"/>
      <c r="G476" s="1372"/>
      <c r="H476" s="1372"/>
      <c r="I476" s="1333"/>
      <c r="J476" s="1174"/>
    </row>
    <row r="477" spans="1:10" x14ac:dyDescent="0.2">
      <c r="D477" s="1332"/>
      <c r="E477" s="1332"/>
      <c r="F477" s="1332"/>
      <c r="G477" s="1332"/>
      <c r="H477" s="1332"/>
      <c r="I477" s="1332"/>
    </row>
    <row r="478" spans="1:10" x14ac:dyDescent="0.2">
      <c r="D478" s="1332"/>
      <c r="E478" s="1332"/>
      <c r="F478" s="1332"/>
      <c r="G478" s="1332"/>
      <c r="H478" s="1332"/>
      <c r="I478" s="1332"/>
    </row>
    <row r="479" spans="1:10" x14ac:dyDescent="0.2">
      <c r="D479" s="1332"/>
      <c r="E479" s="1332"/>
      <c r="F479" s="1332"/>
      <c r="G479" s="1332"/>
      <c r="H479" s="1332"/>
      <c r="I479" s="1332"/>
    </row>
    <row r="480" spans="1:10" x14ac:dyDescent="0.2">
      <c r="D480" s="1332"/>
      <c r="E480" s="1332"/>
      <c r="F480" s="1332"/>
      <c r="G480" s="1332"/>
      <c r="H480" s="1332"/>
      <c r="I480" s="1332"/>
    </row>
    <row r="481" spans="4:9" x14ac:dyDescent="0.2">
      <c r="D481" s="1332"/>
      <c r="E481" s="1332"/>
      <c r="F481" s="1332"/>
      <c r="G481" s="1332"/>
      <c r="H481" s="1332"/>
      <c r="I481" s="1332"/>
    </row>
    <row r="482" spans="4:9" x14ac:dyDescent="0.2">
      <c r="D482" s="1332"/>
      <c r="E482" s="1332"/>
      <c r="F482" s="1332"/>
      <c r="G482" s="1332"/>
      <c r="H482" s="1332"/>
      <c r="I482" s="1332"/>
    </row>
    <row r="483" spans="4:9" x14ac:dyDescent="0.2">
      <c r="D483" s="1332"/>
      <c r="E483" s="1332"/>
      <c r="F483" s="1332"/>
      <c r="G483" s="1332"/>
      <c r="H483" s="1332"/>
      <c r="I483" s="1332"/>
    </row>
    <row r="484" spans="4:9" x14ac:dyDescent="0.2">
      <c r="D484" s="1332"/>
      <c r="E484" s="1332"/>
      <c r="F484" s="1332"/>
      <c r="G484" s="1332"/>
      <c r="H484" s="1332"/>
      <c r="I484" s="1332"/>
    </row>
    <row r="485" spans="4:9" x14ac:dyDescent="0.2">
      <c r="D485" s="1332"/>
      <c r="E485" s="1332"/>
      <c r="F485" s="1332"/>
      <c r="G485" s="1332"/>
      <c r="H485" s="1332"/>
      <c r="I485" s="1332"/>
    </row>
    <row r="486" spans="4:9" x14ac:dyDescent="0.2">
      <c r="D486" s="1332"/>
      <c r="E486" s="1332"/>
      <c r="F486" s="1332"/>
      <c r="G486" s="1332"/>
      <c r="H486" s="1332"/>
      <c r="I486" s="1332"/>
    </row>
    <row r="487" spans="4:9" x14ac:dyDescent="0.2">
      <c r="D487" s="1332"/>
      <c r="E487" s="1332"/>
      <c r="F487" s="1332"/>
      <c r="G487" s="1332"/>
      <c r="H487" s="1332"/>
      <c r="I487" s="1332"/>
    </row>
    <row r="488" spans="4:9" x14ac:dyDescent="0.2">
      <c r="D488" s="1332"/>
      <c r="E488" s="1332"/>
      <c r="F488" s="1332"/>
      <c r="G488" s="1332"/>
      <c r="H488" s="1332"/>
      <c r="I488" s="1332"/>
    </row>
    <row r="489" spans="4:9" x14ac:dyDescent="0.2">
      <c r="D489" s="1332"/>
      <c r="E489" s="1332"/>
      <c r="F489" s="1332"/>
      <c r="G489" s="1332"/>
      <c r="H489" s="1332"/>
      <c r="I489" s="1332"/>
    </row>
    <row r="490" spans="4:9" x14ac:dyDescent="0.2">
      <c r="D490" s="1332"/>
      <c r="E490" s="1332"/>
      <c r="F490" s="1332"/>
      <c r="G490" s="1332"/>
      <c r="H490" s="1332"/>
      <c r="I490" s="1332"/>
    </row>
    <row r="491" spans="4:9" x14ac:dyDescent="0.2">
      <c r="D491" s="1332"/>
      <c r="E491" s="1332"/>
      <c r="F491" s="1332"/>
      <c r="G491" s="1332"/>
      <c r="H491" s="1332"/>
      <c r="I491" s="1332"/>
    </row>
    <row r="492" spans="4:9" x14ac:dyDescent="0.2">
      <c r="D492" s="1332"/>
      <c r="E492" s="1332"/>
      <c r="F492" s="1332"/>
      <c r="G492" s="1332"/>
      <c r="H492" s="1332"/>
      <c r="I492" s="1332"/>
    </row>
    <row r="493" spans="4:9" x14ac:dyDescent="0.2">
      <c r="D493" s="1332"/>
      <c r="E493" s="1332"/>
      <c r="F493" s="1332"/>
      <c r="G493" s="1332"/>
      <c r="H493" s="1332"/>
      <c r="I493" s="1332"/>
    </row>
    <row r="494" spans="4:9" x14ac:dyDescent="0.2">
      <c r="D494" s="1332"/>
      <c r="E494" s="1332"/>
      <c r="F494" s="1332"/>
      <c r="G494" s="1332"/>
      <c r="H494" s="1332"/>
      <c r="I494" s="1332"/>
    </row>
    <row r="495" spans="4:9" x14ac:dyDescent="0.2">
      <c r="D495" s="1332"/>
      <c r="E495" s="1332"/>
      <c r="F495" s="1332"/>
      <c r="G495" s="1332"/>
      <c r="H495" s="1332"/>
      <c r="I495" s="1332"/>
    </row>
    <row r="496" spans="4:9" x14ac:dyDescent="0.2">
      <c r="D496" s="1332"/>
      <c r="E496" s="1332"/>
      <c r="F496" s="1332"/>
      <c r="G496" s="1332"/>
      <c r="H496" s="1332"/>
      <c r="I496" s="1332"/>
    </row>
    <row r="497" spans="4:9" x14ac:dyDescent="0.2">
      <c r="D497" s="1332"/>
      <c r="E497" s="1332"/>
      <c r="F497" s="1332"/>
      <c r="G497" s="1332"/>
      <c r="H497" s="1332"/>
      <c r="I497" s="1332"/>
    </row>
    <row r="498" spans="4:9" x14ac:dyDescent="0.2">
      <c r="D498" s="1332"/>
      <c r="E498" s="1332"/>
      <c r="F498" s="1332"/>
      <c r="G498" s="1332"/>
      <c r="H498" s="1332"/>
      <c r="I498" s="1332"/>
    </row>
    <row r="499" spans="4:9" x14ac:dyDescent="0.2">
      <c r="D499" s="1332"/>
      <c r="E499" s="1332"/>
      <c r="F499" s="1332"/>
      <c r="G499" s="1332"/>
      <c r="H499" s="1332"/>
      <c r="I499" s="1332"/>
    </row>
    <row r="500" spans="4:9" x14ac:dyDescent="0.2">
      <c r="D500" s="1332"/>
      <c r="E500" s="1332"/>
      <c r="F500" s="1332"/>
      <c r="G500" s="1332"/>
      <c r="H500" s="1332"/>
      <c r="I500" s="1332"/>
    </row>
    <row r="501" spans="4:9" x14ac:dyDescent="0.2">
      <c r="D501" s="1332"/>
      <c r="E501" s="1332"/>
      <c r="F501" s="1332"/>
      <c r="G501" s="1332"/>
      <c r="H501" s="1332"/>
      <c r="I501" s="1332"/>
    </row>
    <row r="502" spans="4:9" x14ac:dyDescent="0.2">
      <c r="D502" s="1332"/>
      <c r="E502" s="1332"/>
      <c r="F502" s="1332"/>
      <c r="G502" s="1332"/>
      <c r="H502" s="1332"/>
      <c r="I502" s="1332"/>
    </row>
    <row r="503" spans="4:9" x14ac:dyDescent="0.2">
      <c r="D503" s="1332"/>
      <c r="E503" s="1332"/>
      <c r="F503" s="1332"/>
      <c r="G503" s="1332"/>
      <c r="H503" s="1332"/>
      <c r="I503" s="1332"/>
    </row>
    <row r="504" spans="4:9" x14ac:dyDescent="0.2">
      <c r="D504" s="1332"/>
      <c r="E504" s="1332"/>
      <c r="F504" s="1332"/>
      <c r="G504" s="1332"/>
      <c r="H504" s="1332"/>
      <c r="I504" s="1332"/>
    </row>
    <row r="505" spans="4:9" x14ac:dyDescent="0.2">
      <c r="D505" s="1332"/>
      <c r="E505" s="1332"/>
      <c r="F505" s="1332"/>
      <c r="G505" s="1332"/>
      <c r="H505" s="1332"/>
      <c r="I505" s="1332"/>
    </row>
    <row r="506" spans="4:9" x14ac:dyDescent="0.2">
      <c r="D506" s="1332"/>
      <c r="E506" s="1332"/>
      <c r="F506" s="1332"/>
      <c r="G506" s="1332"/>
      <c r="H506" s="1332"/>
      <c r="I506" s="1332"/>
    </row>
    <row r="507" spans="4:9" x14ac:dyDescent="0.2">
      <c r="D507" s="1332"/>
      <c r="E507" s="1332"/>
      <c r="F507" s="1332"/>
      <c r="G507" s="1332"/>
      <c r="H507" s="1332"/>
      <c r="I507" s="1332"/>
    </row>
    <row r="508" spans="4:9" x14ac:dyDescent="0.2">
      <c r="D508" s="1332"/>
      <c r="E508" s="1332"/>
      <c r="F508" s="1332"/>
      <c r="G508" s="1332"/>
      <c r="H508" s="1332"/>
      <c r="I508" s="1332"/>
    </row>
    <row r="509" spans="4:9" x14ac:dyDescent="0.2">
      <c r="D509" s="1332"/>
      <c r="E509" s="1332"/>
      <c r="F509" s="1332"/>
      <c r="G509" s="1332"/>
      <c r="H509" s="1332"/>
      <c r="I509" s="1332"/>
    </row>
    <row r="510" spans="4:9" x14ac:dyDescent="0.2">
      <c r="D510" s="1332"/>
      <c r="E510" s="1332"/>
      <c r="F510" s="1332"/>
      <c r="G510" s="1332"/>
      <c r="H510" s="1332"/>
      <c r="I510" s="1332"/>
    </row>
    <row r="511" spans="4:9" x14ac:dyDescent="0.2">
      <c r="D511" s="1332"/>
      <c r="E511" s="1332"/>
      <c r="F511" s="1332"/>
      <c r="G511" s="1332"/>
      <c r="H511" s="1332"/>
      <c r="I511" s="1332"/>
    </row>
    <row r="512" spans="4:9" x14ac:dyDescent="0.2">
      <c r="D512" s="1332"/>
      <c r="E512" s="1332"/>
      <c r="F512" s="1332"/>
      <c r="G512" s="1332"/>
      <c r="H512" s="1332"/>
      <c r="I512" s="1332"/>
    </row>
    <row r="513" spans="4:9" x14ac:dyDescent="0.2">
      <c r="D513" s="1332"/>
      <c r="E513" s="1332"/>
      <c r="F513" s="1332"/>
      <c r="G513" s="1332"/>
      <c r="H513" s="1332"/>
      <c r="I513" s="1332"/>
    </row>
    <row r="514" spans="4:9" x14ac:dyDescent="0.2">
      <c r="D514" s="1332"/>
      <c r="E514" s="1332"/>
      <c r="F514" s="1332"/>
      <c r="G514" s="1332"/>
      <c r="H514" s="1332"/>
      <c r="I514" s="1332"/>
    </row>
    <row r="515" spans="4:9" x14ac:dyDescent="0.2">
      <c r="D515" s="1332"/>
      <c r="E515" s="1332"/>
      <c r="F515" s="1332"/>
      <c r="G515" s="1332"/>
      <c r="H515" s="1332"/>
      <c r="I515" s="1332"/>
    </row>
    <row r="516" spans="4:9" x14ac:dyDescent="0.2">
      <c r="D516" s="1332"/>
      <c r="E516" s="1332"/>
      <c r="F516" s="1332"/>
      <c r="G516" s="1332"/>
      <c r="H516" s="1332"/>
      <c r="I516" s="1332"/>
    </row>
    <row r="517" spans="4:9" x14ac:dyDescent="0.2">
      <c r="D517" s="1332"/>
      <c r="E517" s="1332"/>
      <c r="F517" s="1332"/>
      <c r="G517" s="1332"/>
      <c r="H517" s="1332"/>
      <c r="I517" s="1332"/>
    </row>
    <row r="518" spans="4:9" x14ac:dyDescent="0.2">
      <c r="D518" s="1332"/>
      <c r="E518" s="1332"/>
      <c r="F518" s="1332"/>
      <c r="G518" s="1332"/>
      <c r="H518" s="1332"/>
      <c r="I518" s="1332"/>
    </row>
    <row r="519" spans="4:9" x14ac:dyDescent="0.2">
      <c r="D519" s="1332"/>
      <c r="E519" s="1332"/>
      <c r="F519" s="1332"/>
      <c r="G519" s="1332"/>
      <c r="H519" s="1332"/>
      <c r="I519" s="1332"/>
    </row>
    <row r="520" spans="4:9" x14ac:dyDescent="0.2">
      <c r="D520" s="1332"/>
      <c r="E520" s="1332"/>
      <c r="F520" s="1332"/>
      <c r="G520" s="1332"/>
      <c r="H520" s="1332"/>
      <c r="I520" s="1332"/>
    </row>
    <row r="521" spans="4:9" x14ac:dyDescent="0.2">
      <c r="D521" s="1332"/>
      <c r="E521" s="1332"/>
      <c r="F521" s="1332"/>
      <c r="G521" s="1332"/>
      <c r="H521" s="1332"/>
      <c r="I521" s="1332"/>
    </row>
    <row r="522" spans="4:9" x14ac:dyDescent="0.2">
      <c r="D522" s="1332"/>
      <c r="E522" s="1332"/>
      <c r="F522" s="1332"/>
      <c r="G522" s="1332"/>
      <c r="H522" s="1332"/>
      <c r="I522" s="1332"/>
    </row>
    <row r="523" spans="4:9" x14ac:dyDescent="0.2">
      <c r="D523" s="1332"/>
      <c r="E523" s="1332"/>
      <c r="F523" s="1332"/>
      <c r="G523" s="1332"/>
      <c r="H523" s="1332"/>
      <c r="I523" s="1332"/>
    </row>
    <row r="524" spans="4:9" x14ac:dyDescent="0.2">
      <c r="D524" s="1332"/>
      <c r="E524" s="1332"/>
      <c r="F524" s="1332"/>
      <c r="G524" s="1332"/>
      <c r="H524" s="1332"/>
      <c r="I524" s="1332"/>
    </row>
    <row r="525" spans="4:9" x14ac:dyDescent="0.2">
      <c r="D525" s="1332"/>
      <c r="E525" s="1332"/>
      <c r="F525" s="1332"/>
      <c r="G525" s="1332"/>
      <c r="H525" s="1332"/>
      <c r="I525" s="1332"/>
    </row>
    <row r="526" spans="4:9" x14ac:dyDescent="0.2">
      <c r="D526" s="1332"/>
      <c r="E526" s="1332"/>
      <c r="F526" s="1332"/>
      <c r="G526" s="1332"/>
      <c r="H526" s="1332"/>
      <c r="I526" s="1332"/>
    </row>
    <row r="527" spans="4:9" x14ac:dyDescent="0.2">
      <c r="D527" s="1332"/>
      <c r="E527" s="1332"/>
      <c r="F527" s="1332"/>
      <c r="G527" s="1332"/>
      <c r="H527" s="1332"/>
      <c r="I527" s="1332"/>
    </row>
    <row r="528" spans="4:9" x14ac:dyDescent="0.2">
      <c r="D528" s="1332"/>
      <c r="E528" s="1332"/>
      <c r="F528" s="1332"/>
      <c r="G528" s="1332"/>
      <c r="H528" s="1332"/>
      <c r="I528" s="1332"/>
    </row>
    <row r="529" spans="4:9" x14ac:dyDescent="0.2">
      <c r="D529" s="1332"/>
      <c r="E529" s="1332"/>
      <c r="F529" s="1332"/>
      <c r="G529" s="1332"/>
      <c r="H529" s="1332"/>
      <c r="I529" s="1332"/>
    </row>
    <row r="530" spans="4:9" x14ac:dyDescent="0.2">
      <c r="D530" s="1332"/>
      <c r="E530" s="1332"/>
      <c r="F530" s="1332"/>
      <c r="G530" s="1332"/>
      <c r="H530" s="1332"/>
      <c r="I530" s="1332"/>
    </row>
    <row r="531" spans="4:9" x14ac:dyDescent="0.2">
      <c r="D531" s="1332"/>
      <c r="E531" s="1332"/>
      <c r="F531" s="1332"/>
      <c r="G531" s="1332"/>
      <c r="H531" s="1332"/>
      <c r="I531" s="1332"/>
    </row>
    <row r="532" spans="4:9" x14ac:dyDescent="0.2">
      <c r="D532" s="1332"/>
      <c r="E532" s="1332"/>
      <c r="F532" s="1332"/>
      <c r="G532" s="1332"/>
      <c r="H532" s="1332"/>
      <c r="I532" s="1332"/>
    </row>
    <row r="533" spans="4:9" x14ac:dyDescent="0.2">
      <c r="D533" s="1332"/>
      <c r="E533" s="1332"/>
      <c r="F533" s="1332"/>
      <c r="G533" s="1332"/>
      <c r="H533" s="1332"/>
      <c r="I533" s="1332"/>
    </row>
    <row r="534" spans="4:9" x14ac:dyDescent="0.2">
      <c r="D534" s="1332"/>
      <c r="E534" s="1332"/>
      <c r="F534" s="1332"/>
      <c r="G534" s="1332"/>
      <c r="H534" s="1332"/>
      <c r="I534" s="1332"/>
    </row>
    <row r="535" spans="4:9" x14ac:dyDescent="0.2">
      <c r="D535" s="1332"/>
      <c r="E535" s="1332"/>
      <c r="F535" s="1332"/>
      <c r="G535" s="1332"/>
      <c r="H535" s="1332"/>
      <c r="I535" s="1332"/>
    </row>
    <row r="536" spans="4:9" x14ac:dyDescent="0.2">
      <c r="D536" s="1332"/>
      <c r="E536" s="1332"/>
      <c r="F536" s="1332"/>
      <c r="G536" s="1332"/>
      <c r="H536" s="1332"/>
      <c r="I536" s="1332"/>
    </row>
    <row r="537" spans="4:9" x14ac:dyDescent="0.2">
      <c r="D537" s="1332"/>
      <c r="E537" s="1332"/>
      <c r="F537" s="1332"/>
      <c r="G537" s="1332"/>
      <c r="H537" s="1332"/>
      <c r="I537" s="1332"/>
    </row>
    <row r="538" spans="4:9" x14ac:dyDescent="0.2">
      <c r="D538" s="1332"/>
      <c r="E538" s="1332"/>
      <c r="F538" s="1332"/>
      <c r="G538" s="1332"/>
      <c r="H538" s="1332"/>
      <c r="I538" s="1332"/>
    </row>
    <row r="539" spans="4:9" x14ac:dyDescent="0.2">
      <c r="D539" s="1332"/>
      <c r="E539" s="1332"/>
      <c r="F539" s="1332"/>
      <c r="G539" s="1332"/>
      <c r="H539" s="1332"/>
      <c r="I539" s="1332"/>
    </row>
    <row r="540" spans="4:9" x14ac:dyDescent="0.2">
      <c r="D540" s="1332"/>
      <c r="E540" s="1332"/>
      <c r="F540" s="1332"/>
      <c r="G540" s="1332"/>
      <c r="H540" s="1332"/>
      <c r="I540" s="1332"/>
    </row>
    <row r="541" spans="4:9" x14ac:dyDescent="0.2">
      <c r="D541" s="1332"/>
      <c r="E541" s="1332"/>
      <c r="F541" s="1332"/>
      <c r="G541" s="1332"/>
      <c r="H541" s="1332"/>
      <c r="I541" s="1332"/>
    </row>
    <row r="542" spans="4:9" x14ac:dyDescent="0.2">
      <c r="D542" s="1332"/>
      <c r="E542" s="1332"/>
      <c r="F542" s="1332"/>
      <c r="G542" s="1332"/>
      <c r="H542" s="1332"/>
      <c r="I542" s="1332"/>
    </row>
    <row r="543" spans="4:9" x14ac:dyDescent="0.2">
      <c r="D543" s="1332"/>
      <c r="E543" s="1332"/>
      <c r="F543" s="1332"/>
      <c r="G543" s="1332"/>
      <c r="H543" s="1332"/>
      <c r="I543" s="1332"/>
    </row>
    <row r="544" spans="4:9" x14ac:dyDescent="0.2">
      <c r="D544" s="1332"/>
      <c r="E544" s="1332"/>
      <c r="F544" s="1332"/>
      <c r="G544" s="1332"/>
      <c r="H544" s="1332"/>
      <c r="I544" s="1332"/>
    </row>
    <row r="545" spans="4:9" x14ac:dyDescent="0.2">
      <c r="D545" s="1332"/>
      <c r="E545" s="1332"/>
      <c r="F545" s="1332"/>
      <c r="G545" s="1332"/>
      <c r="H545" s="1332"/>
      <c r="I545" s="1332"/>
    </row>
    <row r="546" spans="4:9" x14ac:dyDescent="0.2">
      <c r="D546" s="1332"/>
      <c r="E546" s="1332"/>
      <c r="F546" s="1332"/>
      <c r="G546" s="1332"/>
      <c r="H546" s="1332"/>
      <c r="I546" s="1332"/>
    </row>
    <row r="547" spans="4:9" x14ac:dyDescent="0.2">
      <c r="D547" s="1332"/>
      <c r="E547" s="1332"/>
      <c r="F547" s="1332"/>
      <c r="G547" s="1332"/>
      <c r="H547" s="1332"/>
      <c r="I547" s="1332"/>
    </row>
    <row r="548" spans="4:9" x14ac:dyDescent="0.2">
      <c r="D548" s="1332"/>
      <c r="E548" s="1332"/>
      <c r="F548" s="1332"/>
      <c r="G548" s="1332"/>
      <c r="H548" s="1332"/>
      <c r="I548" s="1332"/>
    </row>
    <row r="549" spans="4:9" x14ac:dyDescent="0.2">
      <c r="D549" s="1332"/>
      <c r="E549" s="1332"/>
      <c r="F549" s="1332"/>
      <c r="G549" s="1332"/>
      <c r="H549" s="1332"/>
      <c r="I549" s="1332"/>
    </row>
    <row r="550" spans="4:9" x14ac:dyDescent="0.2">
      <c r="D550" s="1332"/>
      <c r="E550" s="1332"/>
      <c r="F550" s="1332"/>
      <c r="G550" s="1332"/>
      <c r="H550" s="1332"/>
      <c r="I550" s="1332"/>
    </row>
    <row r="551" spans="4:9" x14ac:dyDescent="0.2">
      <c r="D551" s="1332"/>
      <c r="E551" s="1332"/>
      <c r="F551" s="1332"/>
      <c r="G551" s="1332"/>
      <c r="H551" s="1332"/>
      <c r="I551" s="1332"/>
    </row>
    <row r="552" spans="4:9" x14ac:dyDescent="0.2">
      <c r="D552" s="1332"/>
      <c r="E552" s="1332"/>
      <c r="F552" s="1332"/>
      <c r="G552" s="1332"/>
      <c r="H552" s="1332"/>
      <c r="I552" s="1332"/>
    </row>
    <row r="553" spans="4:9" x14ac:dyDescent="0.2">
      <c r="D553" s="1332"/>
      <c r="E553" s="1332"/>
      <c r="F553" s="1332"/>
      <c r="G553" s="1332"/>
      <c r="H553" s="1332"/>
      <c r="I553" s="1332"/>
    </row>
    <row r="554" spans="4:9" x14ac:dyDescent="0.2">
      <c r="D554" s="1332"/>
      <c r="E554" s="1332"/>
      <c r="F554" s="1332"/>
      <c r="G554" s="1332"/>
      <c r="H554" s="1332"/>
      <c r="I554" s="1332"/>
    </row>
    <row r="555" spans="4:9" x14ac:dyDescent="0.2">
      <c r="D555" s="1332"/>
      <c r="E555" s="1332"/>
      <c r="F555" s="1332"/>
      <c r="G555" s="1332"/>
      <c r="H555" s="1332"/>
      <c r="I555" s="1332"/>
    </row>
    <row r="556" spans="4:9" x14ac:dyDescent="0.2">
      <c r="D556" s="1332"/>
      <c r="E556" s="1332"/>
      <c r="F556" s="1332"/>
      <c r="G556" s="1332"/>
      <c r="H556" s="1332"/>
      <c r="I556" s="1332"/>
    </row>
    <row r="557" spans="4:9" x14ac:dyDescent="0.2">
      <c r="D557" s="1332"/>
      <c r="E557" s="1332"/>
      <c r="F557" s="1332"/>
      <c r="G557" s="1332"/>
      <c r="H557" s="1332"/>
      <c r="I557" s="1332"/>
    </row>
    <row r="558" spans="4:9" x14ac:dyDescent="0.2">
      <c r="D558" s="1332"/>
      <c r="E558" s="1332"/>
      <c r="F558" s="1332"/>
      <c r="G558" s="1332"/>
      <c r="H558" s="1332"/>
      <c r="I558" s="1332"/>
    </row>
    <row r="559" spans="4:9" x14ac:dyDescent="0.2">
      <c r="D559" s="1332"/>
      <c r="E559" s="1332"/>
      <c r="F559" s="1332"/>
      <c r="G559" s="1332"/>
      <c r="H559" s="1332"/>
      <c r="I559" s="1332"/>
    </row>
    <row r="560" spans="4:9" x14ac:dyDescent="0.2">
      <c r="D560" s="1332"/>
      <c r="E560" s="1332"/>
      <c r="F560" s="1332"/>
      <c r="G560" s="1332"/>
      <c r="H560" s="1332"/>
      <c r="I560" s="1332"/>
    </row>
    <row r="561" spans="4:9" x14ac:dyDescent="0.2">
      <c r="D561" s="1332"/>
      <c r="E561" s="1332"/>
      <c r="F561" s="1332"/>
      <c r="G561" s="1332"/>
      <c r="H561" s="1332"/>
      <c r="I561" s="1332"/>
    </row>
    <row r="562" spans="4:9" x14ac:dyDescent="0.2">
      <c r="D562" s="1332"/>
      <c r="E562" s="1332"/>
      <c r="F562" s="1332"/>
      <c r="G562" s="1332"/>
      <c r="H562" s="1332"/>
      <c r="I562" s="1332"/>
    </row>
    <row r="563" spans="4:9" x14ac:dyDescent="0.2">
      <c r="D563" s="1332"/>
      <c r="E563" s="1332"/>
      <c r="F563" s="1332"/>
      <c r="G563" s="1332"/>
      <c r="H563" s="1332"/>
      <c r="I563" s="1332"/>
    </row>
    <row r="564" spans="4:9" x14ac:dyDescent="0.2">
      <c r="D564" s="1332"/>
      <c r="E564" s="1332"/>
      <c r="F564" s="1332"/>
      <c r="G564" s="1332"/>
      <c r="H564" s="1332"/>
      <c r="I564" s="1332"/>
    </row>
    <row r="565" spans="4:9" x14ac:dyDescent="0.2">
      <c r="D565" s="1332"/>
      <c r="E565" s="1332"/>
      <c r="F565" s="1332"/>
      <c r="G565" s="1332"/>
      <c r="H565" s="1332"/>
      <c r="I565" s="1332"/>
    </row>
    <row r="566" spans="4:9" x14ac:dyDescent="0.2">
      <c r="D566" s="1332"/>
      <c r="E566" s="1332"/>
      <c r="F566" s="1332"/>
      <c r="G566" s="1332"/>
      <c r="H566" s="1332"/>
      <c r="I566" s="1332"/>
    </row>
    <row r="567" spans="4:9" x14ac:dyDescent="0.2">
      <c r="D567" s="1332"/>
      <c r="E567" s="1332"/>
      <c r="F567" s="1332"/>
      <c r="G567" s="1332"/>
      <c r="H567" s="1332"/>
      <c r="I567" s="1332"/>
    </row>
    <row r="568" spans="4:9" x14ac:dyDescent="0.2">
      <c r="D568" s="1332"/>
      <c r="E568" s="1332"/>
      <c r="F568" s="1332"/>
      <c r="G568" s="1332"/>
      <c r="H568" s="1332"/>
      <c r="I568" s="1332"/>
    </row>
    <row r="569" spans="4:9" x14ac:dyDescent="0.2">
      <c r="D569" s="1332"/>
      <c r="E569" s="1332"/>
      <c r="F569" s="1332"/>
      <c r="G569" s="1332"/>
      <c r="H569" s="1332"/>
      <c r="I569" s="1332"/>
    </row>
    <row r="570" spans="4:9" x14ac:dyDescent="0.2">
      <c r="D570" s="1332"/>
      <c r="E570" s="1332"/>
      <c r="F570" s="1332"/>
      <c r="G570" s="1332"/>
      <c r="H570" s="1332"/>
      <c r="I570" s="1332"/>
    </row>
    <row r="571" spans="4:9" x14ac:dyDescent="0.2">
      <c r="D571" s="1332"/>
      <c r="E571" s="1332"/>
      <c r="F571" s="1332"/>
      <c r="G571" s="1332"/>
      <c r="H571" s="1332"/>
      <c r="I571" s="1332"/>
    </row>
    <row r="572" spans="4:9" x14ac:dyDescent="0.2">
      <c r="D572" s="1332"/>
      <c r="E572" s="1332"/>
      <c r="F572" s="1332"/>
      <c r="G572" s="1332"/>
      <c r="H572" s="1332"/>
      <c r="I572" s="1332"/>
    </row>
    <row r="573" spans="4:9" x14ac:dyDescent="0.2">
      <c r="D573" s="1332"/>
      <c r="E573" s="1332"/>
      <c r="F573" s="1332"/>
      <c r="G573" s="1332"/>
      <c r="H573" s="1332"/>
      <c r="I573" s="1332"/>
    </row>
    <row r="574" spans="4:9" x14ac:dyDescent="0.2">
      <c r="D574" s="1332"/>
      <c r="E574" s="1332"/>
      <c r="F574" s="1332"/>
      <c r="G574" s="1332"/>
      <c r="H574" s="1332"/>
      <c r="I574" s="1332"/>
    </row>
    <row r="575" spans="4:9" x14ac:dyDescent="0.2">
      <c r="D575" s="1332"/>
      <c r="E575" s="1332"/>
      <c r="F575" s="1332"/>
      <c r="G575" s="1332"/>
      <c r="H575" s="1332"/>
      <c r="I575" s="1332"/>
    </row>
    <row r="576" spans="4:9" x14ac:dyDescent="0.2">
      <c r="D576" s="1332"/>
      <c r="E576" s="1332"/>
      <c r="F576" s="1332"/>
      <c r="G576" s="1332"/>
      <c r="H576" s="1332"/>
      <c r="I576" s="1332"/>
    </row>
    <row r="577" spans="4:9" x14ac:dyDescent="0.2">
      <c r="D577" s="1332"/>
      <c r="E577" s="1332"/>
      <c r="F577" s="1332"/>
      <c r="G577" s="1332"/>
      <c r="H577" s="1332"/>
      <c r="I577" s="1332"/>
    </row>
    <row r="578" spans="4:9" x14ac:dyDescent="0.2">
      <c r="D578" s="1332"/>
      <c r="E578" s="1332"/>
      <c r="F578" s="1332"/>
      <c r="G578" s="1332"/>
      <c r="H578" s="1332"/>
      <c r="I578" s="1332"/>
    </row>
    <row r="579" spans="4:9" x14ac:dyDescent="0.2">
      <c r="D579" s="1332"/>
      <c r="E579" s="1332"/>
      <c r="F579" s="1332"/>
      <c r="G579" s="1332"/>
      <c r="H579" s="1332"/>
      <c r="I579" s="1332"/>
    </row>
    <row r="580" spans="4:9" x14ac:dyDescent="0.2">
      <c r="D580" s="1332"/>
      <c r="E580" s="1332"/>
      <c r="F580" s="1332"/>
      <c r="G580" s="1332"/>
      <c r="H580" s="1332"/>
      <c r="I580" s="1332"/>
    </row>
    <row r="581" spans="4:9" x14ac:dyDescent="0.2">
      <c r="D581" s="1332"/>
      <c r="E581" s="1332"/>
      <c r="F581" s="1332"/>
      <c r="G581" s="1332"/>
      <c r="H581" s="1332"/>
      <c r="I581" s="1332"/>
    </row>
    <row r="582" spans="4:9" x14ac:dyDescent="0.2">
      <c r="D582" s="1332"/>
      <c r="E582" s="1332"/>
      <c r="F582" s="1332"/>
      <c r="G582" s="1332"/>
      <c r="H582" s="1332"/>
      <c r="I582" s="1332"/>
    </row>
    <row r="583" spans="4:9" x14ac:dyDescent="0.2">
      <c r="D583" s="1332"/>
      <c r="E583" s="1332"/>
      <c r="F583" s="1332"/>
      <c r="G583" s="1332"/>
      <c r="H583" s="1332"/>
      <c r="I583" s="1332"/>
    </row>
    <row r="584" spans="4:9" x14ac:dyDescent="0.2">
      <c r="D584" s="1332"/>
      <c r="E584" s="1332"/>
      <c r="F584" s="1332"/>
      <c r="G584" s="1332"/>
      <c r="H584" s="1332"/>
      <c r="I584" s="1332"/>
    </row>
    <row r="585" spans="4:9" x14ac:dyDescent="0.2">
      <c r="D585" s="1332"/>
      <c r="E585" s="1332"/>
      <c r="F585" s="1332"/>
      <c r="G585" s="1332"/>
      <c r="H585" s="1332"/>
      <c r="I585" s="1332"/>
    </row>
    <row r="586" spans="4:9" x14ac:dyDescent="0.2">
      <c r="D586" s="1332"/>
      <c r="E586" s="1332"/>
      <c r="F586" s="1332"/>
      <c r="G586" s="1332"/>
      <c r="H586" s="1332"/>
      <c r="I586" s="1332"/>
    </row>
    <row r="587" spans="4:9" x14ac:dyDescent="0.2">
      <c r="D587" s="1332"/>
      <c r="E587" s="1332"/>
      <c r="F587" s="1332"/>
      <c r="G587" s="1332"/>
      <c r="H587" s="1332"/>
      <c r="I587" s="1332"/>
    </row>
    <row r="588" spans="4:9" x14ac:dyDescent="0.2">
      <c r="D588" s="1332"/>
      <c r="E588" s="1332"/>
      <c r="F588" s="1332"/>
      <c r="G588" s="1332"/>
      <c r="H588" s="1332"/>
      <c r="I588" s="1332"/>
    </row>
    <row r="589" spans="4:9" x14ac:dyDescent="0.2">
      <c r="D589" s="1332"/>
      <c r="E589" s="1332"/>
      <c r="F589" s="1332"/>
      <c r="G589" s="1332"/>
      <c r="H589" s="1332"/>
      <c r="I589" s="1332"/>
    </row>
    <row r="590" spans="4:9" x14ac:dyDescent="0.2">
      <c r="D590" s="1332"/>
      <c r="E590" s="1332"/>
      <c r="F590" s="1332"/>
      <c r="G590" s="1332"/>
      <c r="H590" s="1332"/>
      <c r="I590" s="1332"/>
    </row>
    <row r="591" spans="4:9" x14ac:dyDescent="0.2">
      <c r="D591" s="1332"/>
      <c r="E591" s="1332"/>
      <c r="F591" s="1332"/>
      <c r="G591" s="1332"/>
      <c r="H591" s="1332"/>
      <c r="I591" s="1332"/>
    </row>
    <row r="592" spans="4:9" x14ac:dyDescent="0.2">
      <c r="D592" s="1332"/>
      <c r="E592" s="1332"/>
      <c r="F592" s="1332"/>
      <c r="G592" s="1332"/>
      <c r="H592" s="1332"/>
      <c r="I592" s="1332"/>
    </row>
    <row r="593" spans="4:9" x14ac:dyDescent="0.2">
      <c r="D593" s="1332"/>
      <c r="E593" s="1332"/>
      <c r="F593" s="1332"/>
      <c r="G593" s="1332"/>
      <c r="H593" s="1332"/>
      <c r="I593" s="1332"/>
    </row>
    <row r="594" spans="4:9" x14ac:dyDescent="0.2">
      <c r="D594" s="1332"/>
      <c r="E594" s="1332"/>
      <c r="F594" s="1332"/>
      <c r="G594" s="1332"/>
      <c r="H594" s="1332"/>
      <c r="I594" s="1332"/>
    </row>
    <row r="595" spans="4:9" x14ac:dyDescent="0.2">
      <c r="D595" s="1332"/>
      <c r="E595" s="1332"/>
      <c r="F595" s="1332"/>
      <c r="G595" s="1332"/>
      <c r="H595" s="1332"/>
      <c r="I595" s="1332"/>
    </row>
    <row r="596" spans="4:9" x14ac:dyDescent="0.2">
      <c r="D596" s="1332"/>
      <c r="E596" s="1332"/>
      <c r="F596" s="1332"/>
      <c r="G596" s="1332"/>
      <c r="H596" s="1332"/>
      <c r="I596" s="1332"/>
    </row>
    <row r="597" spans="4:9" x14ac:dyDescent="0.2">
      <c r="D597" s="1332"/>
      <c r="E597" s="1332"/>
      <c r="F597" s="1332"/>
      <c r="G597" s="1332"/>
      <c r="H597" s="1332"/>
      <c r="I597" s="1332"/>
    </row>
    <row r="598" spans="4:9" x14ac:dyDescent="0.2">
      <c r="D598" s="1332"/>
      <c r="E598" s="1332"/>
      <c r="F598" s="1332"/>
      <c r="G598" s="1332"/>
      <c r="H598" s="1332"/>
      <c r="I598" s="1332"/>
    </row>
    <row r="599" spans="4:9" x14ac:dyDescent="0.2">
      <c r="D599" s="1332"/>
      <c r="E599" s="1332"/>
      <c r="F599" s="1332"/>
      <c r="G599" s="1332"/>
      <c r="H599" s="1332"/>
      <c r="I599" s="1332"/>
    </row>
    <row r="600" spans="4:9" x14ac:dyDescent="0.2">
      <c r="D600" s="1332"/>
      <c r="E600" s="1332"/>
      <c r="F600" s="1332"/>
      <c r="G600" s="1332"/>
      <c r="H600" s="1332"/>
      <c r="I600" s="1332"/>
    </row>
    <row r="601" spans="4:9" x14ac:dyDescent="0.2">
      <c r="D601" s="1332"/>
      <c r="E601" s="1332"/>
      <c r="F601" s="1332"/>
      <c r="G601" s="1332"/>
      <c r="H601" s="1332"/>
      <c r="I601" s="1332"/>
    </row>
    <row r="602" spans="4:9" x14ac:dyDescent="0.2">
      <c r="D602" s="1332"/>
      <c r="E602" s="1332"/>
      <c r="F602" s="1332"/>
      <c r="G602" s="1332"/>
      <c r="H602" s="1332"/>
      <c r="I602" s="1332"/>
    </row>
    <row r="603" spans="4:9" x14ac:dyDescent="0.2">
      <c r="D603" s="1332"/>
      <c r="E603" s="1332"/>
      <c r="F603" s="1332"/>
      <c r="G603" s="1332"/>
      <c r="H603" s="1332"/>
      <c r="I603" s="1332"/>
    </row>
    <row r="604" spans="4:9" x14ac:dyDescent="0.2">
      <c r="D604" s="1332"/>
      <c r="E604" s="1332"/>
      <c r="F604" s="1332"/>
      <c r="G604" s="1332"/>
      <c r="H604" s="1332"/>
      <c r="I604" s="1332"/>
    </row>
    <row r="605" spans="4:9" x14ac:dyDescent="0.2">
      <c r="D605" s="1332"/>
      <c r="E605" s="1332"/>
      <c r="F605" s="1332"/>
      <c r="G605" s="1332"/>
      <c r="H605" s="1332"/>
      <c r="I605" s="1332"/>
    </row>
    <row r="606" spans="4:9" x14ac:dyDescent="0.2">
      <c r="D606" s="1332"/>
      <c r="E606" s="1332"/>
      <c r="F606" s="1332"/>
      <c r="G606" s="1332"/>
      <c r="H606" s="1332"/>
      <c r="I606" s="1332"/>
    </row>
    <row r="607" spans="4:9" x14ac:dyDescent="0.2">
      <c r="D607" s="1332"/>
      <c r="E607" s="1332"/>
      <c r="F607" s="1332"/>
      <c r="G607" s="1332"/>
      <c r="H607" s="1332"/>
      <c r="I607" s="1332"/>
    </row>
    <row r="608" spans="4:9" x14ac:dyDescent="0.2">
      <c r="D608" s="1332"/>
      <c r="E608" s="1332"/>
      <c r="F608" s="1332"/>
      <c r="G608" s="1332"/>
      <c r="H608" s="1332"/>
      <c r="I608" s="1332"/>
    </row>
    <row r="609" spans="4:9" x14ac:dyDescent="0.2">
      <c r="D609" s="1332"/>
      <c r="E609" s="1332"/>
      <c r="F609" s="1332"/>
      <c r="G609" s="1332"/>
      <c r="H609" s="1332"/>
      <c r="I609" s="1332"/>
    </row>
    <row r="610" spans="4:9" x14ac:dyDescent="0.2">
      <c r="D610" s="1332"/>
      <c r="E610" s="1332"/>
      <c r="F610" s="1332"/>
      <c r="G610" s="1332"/>
      <c r="H610" s="1332"/>
      <c r="I610" s="1332"/>
    </row>
    <row r="611" spans="4:9" x14ac:dyDescent="0.2">
      <c r="D611" s="1332"/>
      <c r="E611" s="1332"/>
      <c r="F611" s="1332"/>
      <c r="G611" s="1332"/>
      <c r="H611" s="1332"/>
      <c r="I611" s="1332"/>
    </row>
    <row r="612" spans="4:9" x14ac:dyDescent="0.2">
      <c r="D612" s="1332"/>
      <c r="E612" s="1332"/>
      <c r="F612" s="1332"/>
      <c r="G612" s="1332"/>
      <c r="H612" s="1332"/>
      <c r="I612" s="1332"/>
    </row>
    <row r="613" spans="4:9" x14ac:dyDescent="0.2">
      <c r="D613" s="1332"/>
      <c r="E613" s="1332"/>
      <c r="F613" s="1332"/>
      <c r="G613" s="1332"/>
      <c r="H613" s="1332"/>
      <c r="I613" s="1332"/>
    </row>
    <row r="614" spans="4:9" x14ac:dyDescent="0.2">
      <c r="D614" s="1332"/>
      <c r="E614" s="1332"/>
      <c r="F614" s="1332"/>
      <c r="G614" s="1332"/>
      <c r="H614" s="1332"/>
      <c r="I614" s="1332"/>
    </row>
    <row r="615" spans="4:9" x14ac:dyDescent="0.2">
      <c r="D615" s="1332"/>
      <c r="E615" s="1332"/>
      <c r="F615" s="1332"/>
      <c r="G615" s="1332"/>
      <c r="H615" s="1332"/>
      <c r="I615" s="1332"/>
    </row>
    <row r="616" spans="4:9" x14ac:dyDescent="0.2">
      <c r="D616" s="1332"/>
      <c r="E616" s="1332"/>
      <c r="F616" s="1332"/>
      <c r="G616" s="1332"/>
      <c r="H616" s="1332"/>
      <c r="I616" s="1332"/>
    </row>
    <row r="617" spans="4:9" x14ac:dyDescent="0.2">
      <c r="D617" s="1332"/>
      <c r="E617" s="1332"/>
      <c r="F617" s="1332"/>
      <c r="G617" s="1332"/>
      <c r="H617" s="1332"/>
      <c r="I617" s="1332"/>
    </row>
    <row r="618" spans="4:9" x14ac:dyDescent="0.2">
      <c r="D618" s="1332"/>
      <c r="E618" s="1332"/>
      <c r="F618" s="1332"/>
      <c r="G618" s="1332"/>
      <c r="H618" s="1332"/>
      <c r="I618" s="1332"/>
    </row>
    <row r="619" spans="4:9" x14ac:dyDescent="0.2">
      <c r="D619" s="1332"/>
      <c r="E619" s="1332"/>
      <c r="F619" s="1332"/>
      <c r="G619" s="1332"/>
      <c r="H619" s="1332"/>
      <c r="I619" s="1332"/>
    </row>
    <row r="620" spans="4:9" x14ac:dyDescent="0.2">
      <c r="D620" s="1332"/>
      <c r="E620" s="1332"/>
      <c r="F620" s="1332"/>
      <c r="G620" s="1332"/>
      <c r="H620" s="1332"/>
      <c r="I620" s="1332"/>
    </row>
    <row r="621" spans="4:9" x14ac:dyDescent="0.2">
      <c r="D621" s="1332"/>
      <c r="E621" s="1332"/>
      <c r="F621" s="1332"/>
      <c r="G621" s="1332"/>
      <c r="H621" s="1332"/>
      <c r="I621" s="1332"/>
    </row>
    <row r="622" spans="4:9" x14ac:dyDescent="0.2">
      <c r="D622" s="1332"/>
      <c r="E622" s="1332"/>
      <c r="F622" s="1332"/>
      <c r="G622" s="1332"/>
      <c r="H622" s="1332"/>
      <c r="I622" s="1332"/>
    </row>
    <row r="623" spans="4:9" x14ac:dyDescent="0.2">
      <c r="D623" s="1332"/>
      <c r="E623" s="1332"/>
      <c r="F623" s="1332"/>
      <c r="G623" s="1332"/>
      <c r="H623" s="1332"/>
      <c r="I623" s="1332"/>
    </row>
    <row r="624" spans="4:9" x14ac:dyDescent="0.2">
      <c r="D624" s="1332"/>
      <c r="E624" s="1332"/>
      <c r="F624" s="1332"/>
      <c r="G624" s="1332"/>
      <c r="H624" s="1332"/>
      <c r="I624" s="1332"/>
    </row>
    <row r="625" spans="4:9" x14ac:dyDescent="0.2">
      <c r="D625" s="1332"/>
      <c r="E625" s="1332"/>
      <c r="F625" s="1332"/>
      <c r="G625" s="1332"/>
      <c r="H625" s="1332"/>
      <c r="I625" s="1332"/>
    </row>
    <row r="626" spans="4:9" x14ac:dyDescent="0.2">
      <c r="D626" s="1332"/>
      <c r="E626" s="1332"/>
      <c r="F626" s="1332"/>
      <c r="G626" s="1332"/>
      <c r="H626" s="1332"/>
      <c r="I626" s="1332"/>
    </row>
    <row r="627" spans="4:9" x14ac:dyDescent="0.2">
      <c r="D627" s="1332"/>
      <c r="E627" s="1332"/>
      <c r="F627" s="1332"/>
      <c r="G627" s="1332"/>
      <c r="H627" s="1332"/>
      <c r="I627" s="1332"/>
    </row>
    <row r="628" spans="4:9" x14ac:dyDescent="0.2">
      <c r="D628" s="1332"/>
      <c r="E628" s="1332"/>
      <c r="F628" s="1332"/>
      <c r="G628" s="1332"/>
      <c r="H628" s="1332"/>
      <c r="I628" s="1332"/>
    </row>
    <row r="629" spans="4:9" x14ac:dyDescent="0.2">
      <c r="D629" s="1332"/>
      <c r="E629" s="1332"/>
      <c r="F629" s="1332"/>
      <c r="G629" s="1332"/>
      <c r="H629" s="1332"/>
      <c r="I629" s="1332"/>
    </row>
    <row r="630" spans="4:9" x14ac:dyDescent="0.2">
      <c r="D630" s="1332"/>
      <c r="E630" s="1332"/>
      <c r="F630" s="1332"/>
      <c r="G630" s="1332"/>
      <c r="H630" s="1332"/>
      <c r="I630" s="1332"/>
    </row>
    <row r="631" spans="4:9" x14ac:dyDescent="0.2">
      <c r="D631" s="1332"/>
      <c r="E631" s="1332"/>
      <c r="F631" s="1332"/>
      <c r="G631" s="1332"/>
      <c r="H631" s="1332"/>
      <c r="I631" s="1332"/>
    </row>
    <row r="632" spans="4:9" x14ac:dyDescent="0.2">
      <c r="D632" s="1332"/>
      <c r="E632" s="1332"/>
      <c r="F632" s="1332"/>
      <c r="G632" s="1332"/>
      <c r="H632" s="1332"/>
      <c r="I632" s="1332"/>
    </row>
    <row r="633" spans="4:9" x14ac:dyDescent="0.2">
      <c r="D633" s="1332"/>
      <c r="E633" s="1332"/>
      <c r="F633" s="1332"/>
      <c r="G633" s="1332"/>
      <c r="H633" s="1332"/>
      <c r="I633" s="1332"/>
    </row>
    <row r="634" spans="4:9" x14ac:dyDescent="0.2">
      <c r="D634" s="1332"/>
      <c r="E634" s="1332"/>
      <c r="F634" s="1332"/>
      <c r="G634" s="1332"/>
      <c r="H634" s="1332"/>
      <c r="I634" s="1332"/>
    </row>
    <row r="635" spans="4:9" x14ac:dyDescent="0.2">
      <c r="D635" s="1332"/>
      <c r="E635" s="1332"/>
      <c r="F635" s="1332"/>
      <c r="G635" s="1332"/>
      <c r="H635" s="1332"/>
      <c r="I635" s="1332"/>
    </row>
    <row r="636" spans="4:9" x14ac:dyDescent="0.2">
      <c r="D636" s="1332"/>
      <c r="E636" s="1332"/>
      <c r="F636" s="1332"/>
      <c r="G636" s="1332"/>
      <c r="H636" s="1332"/>
      <c r="I636" s="1332"/>
    </row>
    <row r="637" spans="4:9" x14ac:dyDescent="0.2">
      <c r="D637" s="1332"/>
      <c r="E637" s="1332"/>
      <c r="F637" s="1332"/>
      <c r="G637" s="1332"/>
      <c r="H637" s="1332"/>
      <c r="I637" s="1332"/>
    </row>
    <row r="638" spans="4:9" x14ac:dyDescent="0.2">
      <c r="D638" s="1332"/>
      <c r="E638" s="1332"/>
      <c r="F638" s="1332"/>
      <c r="G638" s="1332"/>
      <c r="H638" s="1332"/>
      <c r="I638" s="1332"/>
    </row>
    <row r="639" spans="4:9" x14ac:dyDescent="0.2">
      <c r="D639" s="1332"/>
      <c r="E639" s="1332"/>
      <c r="F639" s="1332"/>
      <c r="G639" s="1332"/>
      <c r="H639" s="1332"/>
      <c r="I639" s="1332"/>
    </row>
    <row r="640" spans="4:9" x14ac:dyDescent="0.2">
      <c r="D640" s="1332"/>
      <c r="E640" s="1332"/>
      <c r="F640" s="1332"/>
      <c r="G640" s="1332"/>
      <c r="H640" s="1332"/>
      <c r="I640" s="1332"/>
    </row>
    <row r="641" spans="4:9" x14ac:dyDescent="0.2">
      <c r="D641" s="1332"/>
      <c r="E641" s="1332"/>
      <c r="F641" s="1332"/>
      <c r="G641" s="1332"/>
      <c r="H641" s="1332"/>
      <c r="I641" s="1332"/>
    </row>
    <row r="642" spans="4:9" x14ac:dyDescent="0.2">
      <c r="D642" s="1332"/>
      <c r="E642" s="1332"/>
      <c r="F642" s="1332"/>
      <c r="G642" s="1332"/>
      <c r="H642" s="1332"/>
      <c r="I642" s="1332"/>
    </row>
    <row r="643" spans="4:9" x14ac:dyDescent="0.2">
      <c r="D643" s="1332"/>
      <c r="E643" s="1332"/>
      <c r="F643" s="1332"/>
      <c r="G643" s="1332"/>
      <c r="H643" s="1332"/>
      <c r="I643" s="1332"/>
    </row>
    <row r="644" spans="4:9" x14ac:dyDescent="0.2">
      <c r="D644" s="1332"/>
      <c r="E644" s="1332"/>
      <c r="F644" s="1332"/>
      <c r="G644" s="1332"/>
      <c r="H644" s="1332"/>
      <c r="I644" s="1332"/>
    </row>
    <row r="645" spans="4:9" x14ac:dyDescent="0.2">
      <c r="D645" s="1332"/>
      <c r="E645" s="1332"/>
      <c r="F645" s="1332"/>
      <c r="G645" s="1332"/>
      <c r="H645" s="1332"/>
      <c r="I645" s="1332"/>
    </row>
    <row r="646" spans="4:9" x14ac:dyDescent="0.2">
      <c r="D646" s="1332"/>
      <c r="E646" s="1332"/>
      <c r="F646" s="1332"/>
      <c r="G646" s="1332"/>
      <c r="H646" s="1332"/>
      <c r="I646" s="1332"/>
    </row>
    <row r="647" spans="4:9" x14ac:dyDescent="0.2">
      <c r="D647" s="1332"/>
      <c r="E647" s="1332"/>
      <c r="F647" s="1332"/>
      <c r="G647" s="1332"/>
      <c r="H647" s="1332"/>
      <c r="I647" s="1332"/>
    </row>
    <row r="648" spans="4:9" x14ac:dyDescent="0.2">
      <c r="D648" s="1332"/>
      <c r="E648" s="1332"/>
      <c r="F648" s="1332"/>
      <c r="G648" s="1332"/>
      <c r="H648" s="1332"/>
      <c r="I648" s="1332"/>
    </row>
    <row r="649" spans="4:9" x14ac:dyDescent="0.2">
      <c r="D649" s="1332"/>
      <c r="E649" s="1332"/>
      <c r="F649" s="1332"/>
      <c r="G649" s="1332"/>
      <c r="H649" s="1332"/>
      <c r="I649" s="1332"/>
    </row>
    <row r="650" spans="4:9" x14ac:dyDescent="0.2">
      <c r="D650" s="1332"/>
      <c r="E650" s="1332"/>
      <c r="F650" s="1332"/>
      <c r="G650" s="1332"/>
      <c r="H650" s="1332"/>
      <c r="I650" s="1332"/>
    </row>
    <row r="651" spans="4:9" x14ac:dyDescent="0.2">
      <c r="D651" s="1332"/>
      <c r="E651" s="1332"/>
      <c r="F651" s="1332"/>
      <c r="G651" s="1332"/>
      <c r="H651" s="1332"/>
      <c r="I651" s="1332"/>
    </row>
    <row r="652" spans="4:9" x14ac:dyDescent="0.2">
      <c r="D652" s="1332"/>
      <c r="E652" s="1332"/>
      <c r="F652" s="1332"/>
      <c r="G652" s="1332"/>
      <c r="H652" s="1332"/>
      <c r="I652" s="1332"/>
    </row>
    <row r="653" spans="4:9" x14ac:dyDescent="0.2">
      <c r="D653" s="1332"/>
      <c r="E653" s="1332"/>
      <c r="F653" s="1332"/>
      <c r="G653" s="1332"/>
      <c r="H653" s="1332"/>
      <c r="I653" s="1332"/>
    </row>
    <row r="654" spans="4:9" x14ac:dyDescent="0.2">
      <c r="D654" s="1332"/>
      <c r="E654" s="1332"/>
      <c r="F654" s="1332"/>
      <c r="G654" s="1332"/>
      <c r="H654" s="1332"/>
      <c r="I654" s="1332"/>
    </row>
    <row r="655" spans="4:9" x14ac:dyDescent="0.2">
      <c r="D655" s="1332"/>
      <c r="E655" s="1332"/>
      <c r="F655" s="1332"/>
      <c r="G655" s="1332"/>
      <c r="H655" s="1332"/>
      <c r="I655" s="1332"/>
    </row>
    <row r="656" spans="4:9" x14ac:dyDescent="0.2">
      <c r="D656" s="1332"/>
      <c r="E656" s="1332"/>
      <c r="F656" s="1332"/>
      <c r="G656" s="1332"/>
      <c r="H656" s="1332"/>
      <c r="I656" s="1332"/>
    </row>
    <row r="657" spans="4:9" x14ac:dyDescent="0.2">
      <c r="D657" s="1332"/>
      <c r="E657" s="1332"/>
      <c r="F657" s="1332"/>
      <c r="G657" s="1332"/>
      <c r="H657" s="1332"/>
      <c r="I657" s="1332"/>
    </row>
    <row r="658" spans="4:9" x14ac:dyDescent="0.2">
      <c r="D658" s="1332"/>
      <c r="E658" s="1332"/>
      <c r="F658" s="1332"/>
      <c r="G658" s="1332"/>
      <c r="H658" s="1332"/>
      <c r="I658" s="1332"/>
    </row>
    <row r="659" spans="4:9" x14ac:dyDescent="0.2">
      <c r="D659" s="1332"/>
      <c r="E659" s="1332"/>
      <c r="F659" s="1332"/>
      <c r="G659" s="1332"/>
      <c r="H659" s="1332"/>
      <c r="I659" s="1332"/>
    </row>
    <row r="660" spans="4:9" x14ac:dyDescent="0.2">
      <c r="D660" s="1332"/>
      <c r="E660" s="1332"/>
      <c r="F660" s="1332"/>
      <c r="G660" s="1332"/>
      <c r="H660" s="1332"/>
      <c r="I660" s="1332"/>
    </row>
    <row r="661" spans="4:9" x14ac:dyDescent="0.2">
      <c r="D661" s="1332"/>
      <c r="E661" s="1332"/>
      <c r="F661" s="1332"/>
      <c r="G661" s="1332"/>
      <c r="H661" s="1332"/>
      <c r="I661" s="1332"/>
    </row>
    <row r="662" spans="4:9" x14ac:dyDescent="0.2">
      <c r="D662" s="1332"/>
      <c r="E662" s="1332"/>
      <c r="F662" s="1332"/>
      <c r="G662" s="1332"/>
      <c r="H662" s="1332"/>
      <c r="I662" s="1332"/>
    </row>
    <row r="663" spans="4:9" x14ac:dyDescent="0.2">
      <c r="D663" s="1332"/>
      <c r="E663" s="1332"/>
      <c r="F663" s="1332"/>
      <c r="G663" s="1332"/>
      <c r="H663" s="1332"/>
      <c r="I663" s="1332"/>
    </row>
    <row r="664" spans="4:9" x14ac:dyDescent="0.2">
      <c r="D664" s="1332"/>
      <c r="E664" s="1332"/>
      <c r="F664" s="1332"/>
      <c r="G664" s="1332"/>
      <c r="H664" s="1332"/>
      <c r="I664" s="1332"/>
    </row>
    <row r="665" spans="4:9" x14ac:dyDescent="0.2">
      <c r="D665" s="1332"/>
      <c r="E665" s="1332"/>
      <c r="F665" s="1332"/>
      <c r="G665" s="1332"/>
      <c r="H665" s="1332"/>
      <c r="I665" s="1332"/>
    </row>
    <row r="666" spans="4:9" x14ac:dyDescent="0.2">
      <c r="D666" s="1332"/>
      <c r="E666" s="1332"/>
      <c r="F666" s="1332"/>
      <c r="G666" s="1332"/>
      <c r="H666" s="1332"/>
      <c r="I666" s="1332"/>
    </row>
    <row r="667" spans="4:9" x14ac:dyDescent="0.2">
      <c r="D667" s="1332"/>
      <c r="E667" s="1332"/>
      <c r="F667" s="1332"/>
      <c r="G667" s="1332"/>
      <c r="H667" s="1332"/>
      <c r="I667" s="1332"/>
    </row>
    <row r="668" spans="4:9" x14ac:dyDescent="0.2">
      <c r="D668" s="1332"/>
      <c r="E668" s="1332"/>
      <c r="F668" s="1332"/>
      <c r="G668" s="1332"/>
      <c r="H668" s="1332"/>
      <c r="I668" s="1332"/>
    </row>
    <row r="669" spans="4:9" x14ac:dyDescent="0.2">
      <c r="D669" s="1332"/>
      <c r="E669" s="1332"/>
      <c r="F669" s="1332"/>
      <c r="G669" s="1332"/>
      <c r="H669" s="1332"/>
      <c r="I669" s="1332"/>
    </row>
    <row r="670" spans="4:9" x14ac:dyDescent="0.2">
      <c r="D670" s="1332"/>
      <c r="E670" s="1332"/>
      <c r="F670" s="1332"/>
      <c r="G670" s="1332"/>
      <c r="H670" s="1332"/>
      <c r="I670" s="1332"/>
    </row>
    <row r="671" spans="4:9" x14ac:dyDescent="0.2">
      <c r="D671" s="1332"/>
      <c r="E671" s="1332"/>
      <c r="F671" s="1332"/>
      <c r="G671" s="1332"/>
      <c r="H671" s="1332"/>
      <c r="I671" s="1332"/>
    </row>
    <row r="672" spans="4:9" x14ac:dyDescent="0.2">
      <c r="D672" s="1332"/>
      <c r="E672" s="1332"/>
      <c r="F672" s="1332"/>
      <c r="G672" s="1332"/>
      <c r="H672" s="1332"/>
      <c r="I672" s="1332"/>
    </row>
    <row r="673" spans="4:9" x14ac:dyDescent="0.2">
      <c r="D673" s="1332"/>
      <c r="E673" s="1332"/>
      <c r="F673" s="1332"/>
      <c r="G673" s="1332"/>
      <c r="H673" s="1332"/>
      <c r="I673" s="1332"/>
    </row>
    <row r="674" spans="4:9" x14ac:dyDescent="0.2">
      <c r="D674" s="1332"/>
      <c r="E674" s="1332"/>
      <c r="F674" s="1332"/>
      <c r="G674" s="1332"/>
      <c r="H674" s="1332"/>
      <c r="I674" s="1332"/>
    </row>
    <row r="675" spans="4:9" x14ac:dyDescent="0.2">
      <c r="D675" s="1332"/>
      <c r="E675" s="1332"/>
      <c r="F675" s="1332"/>
      <c r="G675" s="1332"/>
      <c r="H675" s="1332"/>
      <c r="I675" s="1332"/>
    </row>
    <row r="676" spans="4:9" x14ac:dyDescent="0.2">
      <c r="D676" s="1332"/>
      <c r="E676" s="1332"/>
      <c r="F676" s="1332"/>
      <c r="G676" s="1332"/>
      <c r="H676" s="1332"/>
      <c r="I676" s="1332"/>
    </row>
    <row r="677" spans="4:9" x14ac:dyDescent="0.2">
      <c r="D677" s="1332"/>
      <c r="E677" s="1332"/>
      <c r="F677" s="1332"/>
      <c r="G677" s="1332"/>
      <c r="H677" s="1332"/>
      <c r="I677" s="1332"/>
    </row>
    <row r="678" spans="4:9" x14ac:dyDescent="0.2">
      <c r="D678" s="1332"/>
      <c r="E678" s="1332"/>
      <c r="F678" s="1332"/>
      <c r="G678" s="1332"/>
      <c r="H678" s="1332"/>
      <c r="I678" s="1332"/>
    </row>
    <row r="679" spans="4:9" x14ac:dyDescent="0.2">
      <c r="D679" s="1332"/>
      <c r="E679" s="1332"/>
      <c r="F679" s="1332"/>
      <c r="G679" s="1332"/>
      <c r="H679" s="1332"/>
      <c r="I679" s="1332"/>
    </row>
    <row r="680" spans="4:9" x14ac:dyDescent="0.2">
      <c r="D680" s="1332"/>
      <c r="E680" s="1332"/>
      <c r="F680" s="1332"/>
      <c r="G680" s="1332"/>
      <c r="H680" s="1332"/>
      <c r="I680" s="1332"/>
    </row>
    <row r="681" spans="4:9" x14ac:dyDescent="0.2">
      <c r="D681" s="1332"/>
      <c r="E681" s="1332"/>
      <c r="F681" s="1332"/>
      <c r="G681" s="1332"/>
      <c r="H681" s="1332"/>
      <c r="I681" s="1332"/>
    </row>
    <row r="682" spans="4:9" x14ac:dyDescent="0.2">
      <c r="D682" s="1332"/>
      <c r="E682" s="1332"/>
      <c r="F682" s="1332"/>
      <c r="G682" s="1332"/>
      <c r="H682" s="1332"/>
      <c r="I682" s="1332"/>
    </row>
    <row r="683" spans="4:9" x14ac:dyDescent="0.2">
      <c r="D683" s="1332"/>
      <c r="E683" s="1332"/>
      <c r="F683" s="1332"/>
      <c r="G683" s="1332"/>
      <c r="H683" s="1332"/>
      <c r="I683" s="1332"/>
    </row>
    <row r="684" spans="4:9" x14ac:dyDescent="0.2">
      <c r="D684" s="1332"/>
      <c r="E684" s="1332"/>
      <c r="F684" s="1332"/>
      <c r="G684" s="1332"/>
      <c r="H684" s="1332"/>
      <c r="I684" s="1332"/>
    </row>
    <row r="685" spans="4:9" x14ac:dyDescent="0.2">
      <c r="D685" s="1332"/>
      <c r="E685" s="1332"/>
      <c r="F685" s="1332"/>
      <c r="G685" s="1332"/>
      <c r="H685" s="1332"/>
      <c r="I685" s="1332"/>
    </row>
    <row r="686" spans="4:9" x14ac:dyDescent="0.2">
      <c r="D686" s="1332"/>
      <c r="E686" s="1332"/>
      <c r="F686" s="1332"/>
      <c r="G686" s="1332"/>
      <c r="H686" s="1332"/>
      <c r="I686" s="1332"/>
    </row>
    <row r="687" spans="4:9" x14ac:dyDescent="0.2">
      <c r="D687" s="1332"/>
      <c r="E687" s="1332"/>
      <c r="F687" s="1332"/>
      <c r="G687" s="1332"/>
      <c r="H687" s="1332"/>
      <c r="I687" s="1332"/>
    </row>
    <row r="688" spans="4:9" x14ac:dyDescent="0.2">
      <c r="D688" s="1332"/>
      <c r="E688" s="1332"/>
      <c r="F688" s="1332"/>
      <c r="G688" s="1332"/>
      <c r="H688" s="1332"/>
      <c r="I688" s="1332"/>
    </row>
    <row r="689" spans="4:9" x14ac:dyDescent="0.2">
      <c r="D689" s="1332"/>
      <c r="E689" s="1332"/>
      <c r="F689" s="1332"/>
      <c r="G689" s="1332"/>
      <c r="H689" s="1332"/>
      <c r="I689" s="1332"/>
    </row>
    <row r="690" spans="4:9" x14ac:dyDescent="0.2">
      <c r="D690" s="1332"/>
      <c r="E690" s="1332"/>
      <c r="F690" s="1332"/>
      <c r="G690" s="1332"/>
      <c r="H690" s="1332"/>
      <c r="I690" s="1332"/>
    </row>
    <row r="691" spans="4:9" x14ac:dyDescent="0.2">
      <c r="D691" s="1332"/>
      <c r="E691" s="1332"/>
      <c r="F691" s="1332"/>
      <c r="G691" s="1332"/>
      <c r="H691" s="1332"/>
      <c r="I691" s="1332"/>
    </row>
    <row r="692" spans="4:9" x14ac:dyDescent="0.2">
      <c r="D692" s="1332"/>
      <c r="E692" s="1332"/>
      <c r="F692" s="1332"/>
      <c r="G692" s="1332"/>
      <c r="H692" s="1332"/>
      <c r="I692" s="1332"/>
    </row>
    <row r="693" spans="4:9" x14ac:dyDescent="0.2">
      <c r="D693" s="1332"/>
      <c r="E693" s="1332"/>
      <c r="F693" s="1332"/>
      <c r="G693" s="1332"/>
      <c r="H693" s="1332"/>
      <c r="I693" s="1332"/>
    </row>
    <row r="694" spans="4:9" x14ac:dyDescent="0.2">
      <c r="D694" s="1332"/>
      <c r="E694" s="1332"/>
      <c r="F694" s="1332"/>
      <c r="G694" s="1332"/>
      <c r="H694" s="1332"/>
      <c r="I694" s="1332"/>
    </row>
    <row r="695" spans="4:9" x14ac:dyDescent="0.2">
      <c r="D695" s="1332"/>
      <c r="E695" s="1332"/>
      <c r="F695" s="1332"/>
      <c r="G695" s="1332"/>
      <c r="H695" s="1332"/>
      <c r="I695" s="1332"/>
    </row>
    <row r="696" spans="4:9" x14ac:dyDescent="0.2">
      <c r="D696" s="1332"/>
      <c r="E696" s="1332"/>
      <c r="F696" s="1332"/>
      <c r="G696" s="1332"/>
      <c r="H696" s="1332"/>
      <c r="I696" s="1332"/>
    </row>
    <row r="697" spans="4:9" x14ac:dyDescent="0.2">
      <c r="D697" s="1332"/>
      <c r="E697" s="1332"/>
      <c r="F697" s="1332"/>
      <c r="G697" s="1332"/>
      <c r="H697" s="1332"/>
      <c r="I697" s="1332"/>
    </row>
    <row r="698" spans="4:9" x14ac:dyDescent="0.2">
      <c r="D698" s="1332"/>
      <c r="E698" s="1332"/>
      <c r="F698" s="1332"/>
      <c r="G698" s="1332"/>
      <c r="H698" s="1332"/>
      <c r="I698" s="1332"/>
    </row>
    <row r="699" spans="4:9" x14ac:dyDescent="0.2">
      <c r="D699" s="1332"/>
      <c r="E699" s="1332"/>
      <c r="F699" s="1332"/>
      <c r="G699" s="1332"/>
      <c r="H699" s="1332"/>
      <c r="I699" s="1332"/>
    </row>
    <row r="700" spans="4:9" x14ac:dyDescent="0.2">
      <c r="D700" s="1332"/>
      <c r="E700" s="1332"/>
      <c r="F700" s="1332"/>
      <c r="G700" s="1332"/>
      <c r="H700" s="1332"/>
      <c r="I700" s="1332"/>
    </row>
    <row r="701" spans="4:9" x14ac:dyDescent="0.2">
      <c r="D701" s="1332"/>
      <c r="E701" s="1332"/>
      <c r="F701" s="1332"/>
      <c r="G701" s="1332"/>
      <c r="H701" s="1332"/>
      <c r="I701" s="1332"/>
    </row>
    <row r="702" spans="4:9" x14ac:dyDescent="0.2">
      <c r="D702" s="1332"/>
      <c r="E702" s="1332"/>
      <c r="F702" s="1332"/>
      <c r="G702" s="1332"/>
      <c r="H702" s="1332"/>
      <c r="I702" s="1332"/>
    </row>
    <row r="703" spans="4:9" x14ac:dyDescent="0.2">
      <c r="D703" s="1332"/>
      <c r="E703" s="1332"/>
      <c r="F703" s="1332"/>
      <c r="G703" s="1332"/>
      <c r="H703" s="1332"/>
      <c r="I703" s="1332"/>
    </row>
    <row r="704" spans="4:9" x14ac:dyDescent="0.2">
      <c r="D704" s="1332"/>
      <c r="E704" s="1332"/>
      <c r="F704" s="1332"/>
      <c r="G704" s="1332"/>
      <c r="H704" s="1332"/>
      <c r="I704" s="1332"/>
    </row>
    <row r="705" spans="4:9" x14ac:dyDescent="0.2">
      <c r="D705" s="1332"/>
      <c r="E705" s="1332"/>
      <c r="F705" s="1332"/>
      <c r="G705" s="1332"/>
      <c r="H705" s="1332"/>
      <c r="I705" s="1332"/>
    </row>
    <row r="706" spans="4:9" x14ac:dyDescent="0.2">
      <c r="D706" s="1332"/>
      <c r="E706" s="1332"/>
      <c r="F706" s="1332"/>
      <c r="G706" s="1332"/>
      <c r="H706" s="1332"/>
      <c r="I706" s="1332"/>
    </row>
    <row r="707" spans="4:9" x14ac:dyDescent="0.2">
      <c r="D707" s="1332"/>
      <c r="E707" s="1332"/>
      <c r="F707" s="1332"/>
      <c r="G707" s="1332"/>
      <c r="H707" s="1332"/>
      <c r="I707" s="1332"/>
    </row>
    <row r="708" spans="4:9" x14ac:dyDescent="0.2">
      <c r="D708" s="1332"/>
      <c r="E708" s="1332"/>
      <c r="F708" s="1332"/>
      <c r="G708" s="1332"/>
      <c r="H708" s="1332"/>
      <c r="I708" s="1332"/>
    </row>
    <row r="709" spans="4:9" x14ac:dyDescent="0.2">
      <c r="D709" s="1332"/>
      <c r="E709" s="1332"/>
      <c r="F709" s="1332"/>
      <c r="G709" s="1332"/>
      <c r="H709" s="1332"/>
      <c r="I709" s="1332"/>
    </row>
    <row r="710" spans="4:9" x14ac:dyDescent="0.2">
      <c r="D710" s="1332"/>
      <c r="E710" s="1332"/>
      <c r="F710" s="1332"/>
      <c r="G710" s="1332"/>
      <c r="H710" s="1332"/>
      <c r="I710" s="1332"/>
    </row>
    <row r="711" spans="4:9" x14ac:dyDescent="0.2">
      <c r="D711" s="1332"/>
      <c r="E711" s="1332"/>
      <c r="F711" s="1332"/>
      <c r="G711" s="1332"/>
      <c r="H711" s="1332"/>
      <c r="I711" s="1332"/>
    </row>
    <row r="712" spans="4:9" x14ac:dyDescent="0.2">
      <c r="D712" s="1332"/>
      <c r="E712" s="1332"/>
      <c r="F712" s="1332"/>
      <c r="G712" s="1332"/>
      <c r="H712" s="1332"/>
      <c r="I712" s="1332"/>
    </row>
    <row r="713" spans="4:9" x14ac:dyDescent="0.2">
      <c r="D713" s="1332"/>
      <c r="E713" s="1332"/>
      <c r="F713" s="1332"/>
      <c r="G713" s="1332"/>
      <c r="H713" s="1332"/>
      <c r="I713" s="1332"/>
    </row>
    <row r="714" spans="4:9" x14ac:dyDescent="0.2">
      <c r="D714" s="1332"/>
      <c r="E714" s="1332"/>
      <c r="F714" s="1332"/>
      <c r="G714" s="1332"/>
      <c r="H714" s="1332"/>
      <c r="I714" s="1332"/>
    </row>
    <row r="715" spans="4:9" x14ac:dyDescent="0.2">
      <c r="D715" s="1332"/>
      <c r="E715" s="1332"/>
      <c r="F715" s="1332"/>
      <c r="G715" s="1332"/>
      <c r="H715" s="1332"/>
      <c r="I715" s="1332"/>
    </row>
    <row r="716" spans="4:9" x14ac:dyDescent="0.2">
      <c r="D716" s="1332"/>
      <c r="E716" s="1332"/>
      <c r="F716" s="1332"/>
      <c r="G716" s="1332"/>
      <c r="H716" s="1332"/>
      <c r="I716" s="1332"/>
    </row>
    <row r="717" spans="4:9" x14ac:dyDescent="0.2">
      <c r="D717" s="1332"/>
      <c r="E717" s="1332"/>
      <c r="F717" s="1332"/>
      <c r="G717" s="1332"/>
      <c r="H717" s="1332"/>
      <c r="I717" s="1332"/>
    </row>
    <row r="718" spans="4:9" x14ac:dyDescent="0.2">
      <c r="D718" s="1332"/>
      <c r="E718" s="1332"/>
      <c r="F718" s="1332"/>
      <c r="G718" s="1332"/>
      <c r="H718" s="1332"/>
      <c r="I718" s="1332"/>
    </row>
    <row r="719" spans="4:9" x14ac:dyDescent="0.2">
      <c r="D719" s="1332"/>
      <c r="E719" s="1332"/>
      <c r="F719" s="1332"/>
      <c r="G719" s="1332"/>
      <c r="H719" s="1332"/>
      <c r="I719" s="1332"/>
    </row>
    <row r="720" spans="4:9" x14ac:dyDescent="0.2">
      <c r="D720" s="1332"/>
      <c r="E720" s="1332"/>
      <c r="F720" s="1332"/>
      <c r="G720" s="1332"/>
      <c r="H720" s="1332"/>
      <c r="I720" s="1332"/>
    </row>
    <row r="721" spans="4:9" x14ac:dyDescent="0.2">
      <c r="D721" s="1332"/>
      <c r="E721" s="1332"/>
      <c r="F721" s="1332"/>
      <c r="G721" s="1332"/>
      <c r="H721" s="1332"/>
      <c r="I721" s="1332"/>
    </row>
    <row r="722" spans="4:9" x14ac:dyDescent="0.2">
      <c r="D722" s="1332"/>
      <c r="E722" s="1332"/>
      <c r="F722" s="1332"/>
      <c r="G722" s="1332"/>
      <c r="H722" s="1332"/>
      <c r="I722" s="1332"/>
    </row>
    <row r="723" spans="4:9" x14ac:dyDescent="0.2">
      <c r="D723" s="1332"/>
      <c r="E723" s="1332"/>
      <c r="F723" s="1332"/>
      <c r="G723" s="1332"/>
      <c r="H723" s="1332"/>
      <c r="I723" s="1332"/>
    </row>
    <row r="724" spans="4:9" x14ac:dyDescent="0.2">
      <c r="D724" s="1332"/>
      <c r="E724" s="1332"/>
      <c r="F724" s="1332"/>
      <c r="G724" s="1332"/>
      <c r="H724" s="1332"/>
      <c r="I724" s="1332"/>
    </row>
    <row r="725" spans="4:9" x14ac:dyDescent="0.2">
      <c r="D725" s="1332"/>
      <c r="E725" s="1332"/>
      <c r="F725" s="1332"/>
      <c r="G725" s="1332"/>
      <c r="H725" s="1332"/>
      <c r="I725" s="1332"/>
    </row>
    <row r="726" spans="4:9" x14ac:dyDescent="0.2">
      <c r="D726" s="1332"/>
      <c r="E726" s="1332"/>
      <c r="F726" s="1332"/>
      <c r="G726" s="1332"/>
      <c r="H726" s="1332"/>
      <c r="I726" s="1332"/>
    </row>
    <row r="727" spans="4:9" x14ac:dyDescent="0.2">
      <c r="D727" s="1332"/>
      <c r="E727" s="1332"/>
      <c r="F727" s="1332"/>
      <c r="G727" s="1332"/>
      <c r="H727" s="1332"/>
      <c r="I727" s="1332"/>
    </row>
    <row r="728" spans="4:9" x14ac:dyDescent="0.2">
      <c r="D728" s="1332"/>
      <c r="E728" s="1332"/>
      <c r="F728" s="1332"/>
      <c r="G728" s="1332"/>
      <c r="H728" s="1332"/>
      <c r="I728" s="1332"/>
    </row>
    <row r="729" spans="4:9" x14ac:dyDescent="0.2">
      <c r="D729" s="1332"/>
      <c r="E729" s="1332"/>
      <c r="F729" s="1332"/>
      <c r="G729" s="1332"/>
      <c r="H729" s="1332"/>
      <c r="I729" s="1332"/>
    </row>
    <row r="730" spans="4:9" x14ac:dyDescent="0.2">
      <c r="D730" s="1332"/>
      <c r="E730" s="1332"/>
      <c r="F730" s="1332"/>
      <c r="G730" s="1332"/>
      <c r="H730" s="1332"/>
      <c r="I730" s="1332"/>
    </row>
    <row r="731" spans="4:9" x14ac:dyDescent="0.2">
      <c r="D731" s="1332"/>
      <c r="E731" s="1332"/>
      <c r="F731" s="1332"/>
      <c r="G731" s="1332"/>
      <c r="H731" s="1332"/>
      <c r="I731" s="1332"/>
    </row>
    <row r="732" spans="4:9" x14ac:dyDescent="0.2">
      <c r="D732" s="1332"/>
      <c r="E732" s="1332"/>
      <c r="F732" s="1332"/>
      <c r="G732" s="1332"/>
      <c r="H732" s="1332"/>
      <c r="I732" s="1332"/>
    </row>
    <row r="733" spans="4:9" x14ac:dyDescent="0.2">
      <c r="D733" s="1332"/>
      <c r="E733" s="1332"/>
      <c r="F733" s="1332"/>
      <c r="G733" s="1332"/>
      <c r="H733" s="1332"/>
      <c r="I733" s="1332"/>
    </row>
    <row r="734" spans="4:9" x14ac:dyDescent="0.2">
      <c r="D734" s="1332"/>
      <c r="E734" s="1332"/>
      <c r="F734" s="1332"/>
      <c r="G734" s="1332"/>
      <c r="H734" s="1332"/>
      <c r="I734" s="1332"/>
    </row>
    <row r="735" spans="4:9" x14ac:dyDescent="0.2">
      <c r="D735" s="1332"/>
      <c r="E735" s="1332"/>
      <c r="F735" s="1332"/>
      <c r="G735" s="1332"/>
      <c r="H735" s="1332"/>
      <c r="I735" s="1332"/>
    </row>
    <row r="736" spans="4:9" x14ac:dyDescent="0.2">
      <c r="D736" s="1332"/>
      <c r="E736" s="1332"/>
      <c r="F736" s="1332"/>
      <c r="G736" s="1332"/>
      <c r="H736" s="1332"/>
      <c r="I736" s="1332"/>
    </row>
    <row r="737" spans="4:9" x14ac:dyDescent="0.2">
      <c r="D737" s="1332"/>
      <c r="E737" s="1332"/>
      <c r="F737" s="1332"/>
      <c r="G737" s="1332"/>
      <c r="H737" s="1332"/>
      <c r="I737" s="1332"/>
    </row>
    <row r="738" spans="4:9" x14ac:dyDescent="0.2">
      <c r="D738" s="1332"/>
      <c r="E738" s="1332"/>
      <c r="F738" s="1332"/>
      <c r="G738" s="1332"/>
      <c r="H738" s="1332"/>
      <c r="I738" s="1332"/>
    </row>
    <row r="739" spans="4:9" x14ac:dyDescent="0.2">
      <c r="D739" s="1332"/>
      <c r="E739" s="1332"/>
      <c r="F739" s="1332"/>
      <c r="G739" s="1332"/>
      <c r="H739" s="1332"/>
      <c r="I739" s="1332"/>
    </row>
    <row r="740" spans="4:9" x14ac:dyDescent="0.2">
      <c r="D740" s="1332"/>
      <c r="E740" s="1332"/>
      <c r="F740" s="1332"/>
      <c r="G740" s="1332"/>
      <c r="H740" s="1332"/>
      <c r="I740" s="1332"/>
    </row>
    <row r="741" spans="4:9" x14ac:dyDescent="0.2">
      <c r="D741" s="1332"/>
      <c r="E741" s="1332"/>
      <c r="F741" s="1332"/>
      <c r="G741" s="1332"/>
      <c r="H741" s="1332"/>
      <c r="I741" s="1332"/>
    </row>
    <row r="742" spans="4:9" x14ac:dyDescent="0.2">
      <c r="D742" s="1332"/>
      <c r="E742" s="1332"/>
      <c r="F742" s="1332"/>
      <c r="G742" s="1332"/>
      <c r="H742" s="1332"/>
      <c r="I742" s="1332"/>
    </row>
    <row r="743" spans="4:9" x14ac:dyDescent="0.2">
      <c r="D743" s="1332"/>
      <c r="E743" s="1332"/>
      <c r="F743" s="1332"/>
      <c r="G743" s="1332"/>
      <c r="H743" s="1332"/>
      <c r="I743" s="1332"/>
    </row>
    <row r="744" spans="4:9" x14ac:dyDescent="0.2">
      <c r="D744" s="1332"/>
      <c r="E744" s="1332"/>
      <c r="F744" s="1332"/>
      <c r="G744" s="1332"/>
      <c r="H744" s="1332"/>
      <c r="I744" s="1332"/>
    </row>
    <row r="745" spans="4:9" x14ac:dyDescent="0.2">
      <c r="D745" s="1332"/>
      <c r="E745" s="1332"/>
      <c r="F745" s="1332"/>
      <c r="G745" s="1332"/>
      <c r="H745" s="1332"/>
      <c r="I745" s="1332"/>
    </row>
    <row r="746" spans="4:9" x14ac:dyDescent="0.2">
      <c r="D746" s="1332"/>
      <c r="E746" s="1332"/>
      <c r="F746" s="1332"/>
      <c r="G746" s="1332"/>
      <c r="H746" s="1332"/>
      <c r="I746" s="1332"/>
    </row>
    <row r="747" spans="4:9" x14ac:dyDescent="0.2">
      <c r="D747" s="1332"/>
      <c r="E747" s="1332"/>
      <c r="F747" s="1332"/>
      <c r="G747" s="1332"/>
      <c r="H747" s="1332"/>
      <c r="I747" s="1332"/>
    </row>
    <row r="748" spans="4:9" x14ac:dyDescent="0.2">
      <c r="D748" s="1332"/>
      <c r="E748" s="1332"/>
      <c r="F748" s="1332"/>
      <c r="G748" s="1332"/>
      <c r="H748" s="1332"/>
      <c r="I748" s="1332"/>
    </row>
    <row r="749" spans="4:9" x14ac:dyDescent="0.2">
      <c r="D749" s="1332"/>
      <c r="E749" s="1332"/>
      <c r="F749" s="1332"/>
      <c r="G749" s="1332"/>
      <c r="H749" s="1332"/>
      <c r="I749" s="1332"/>
    </row>
    <row r="750" spans="4:9" x14ac:dyDescent="0.2">
      <c r="D750" s="1332"/>
      <c r="E750" s="1332"/>
      <c r="F750" s="1332"/>
      <c r="G750" s="1332"/>
      <c r="H750" s="1332"/>
      <c r="I750" s="1332"/>
    </row>
    <row r="751" spans="4:9" x14ac:dyDescent="0.2">
      <c r="D751" s="1332"/>
      <c r="E751" s="1332"/>
      <c r="F751" s="1332"/>
      <c r="G751" s="1332"/>
      <c r="H751" s="1332"/>
      <c r="I751" s="1332"/>
    </row>
    <row r="752" spans="4:9" x14ac:dyDescent="0.2">
      <c r="D752" s="1332"/>
      <c r="E752" s="1332"/>
      <c r="F752" s="1332"/>
      <c r="G752" s="1332"/>
      <c r="H752" s="1332"/>
      <c r="I752" s="1332"/>
    </row>
    <row r="753" spans="4:9" x14ac:dyDescent="0.2">
      <c r="D753" s="1332"/>
      <c r="E753" s="1332"/>
      <c r="F753" s="1332"/>
      <c r="G753" s="1332"/>
      <c r="H753" s="1332"/>
      <c r="I753" s="1332"/>
    </row>
    <row r="754" spans="4:9" x14ac:dyDescent="0.2">
      <c r="D754" s="1332"/>
      <c r="E754" s="1332"/>
      <c r="F754" s="1332"/>
      <c r="G754" s="1332"/>
      <c r="H754" s="1332"/>
      <c r="I754" s="1332"/>
    </row>
    <row r="755" spans="4:9" x14ac:dyDescent="0.2">
      <c r="D755" s="1332"/>
      <c r="E755" s="1332"/>
      <c r="F755" s="1332"/>
      <c r="G755" s="1332"/>
      <c r="H755" s="1332"/>
      <c r="I755" s="1332"/>
    </row>
    <row r="756" spans="4:9" x14ac:dyDescent="0.2">
      <c r="D756" s="1332"/>
      <c r="E756" s="1332"/>
      <c r="F756" s="1332"/>
      <c r="G756" s="1332"/>
      <c r="H756" s="1332"/>
      <c r="I756" s="1332"/>
    </row>
    <row r="757" spans="4:9" x14ac:dyDescent="0.2">
      <c r="D757" s="1332"/>
      <c r="E757" s="1332"/>
      <c r="F757" s="1332"/>
      <c r="G757" s="1332"/>
      <c r="H757" s="1332"/>
      <c r="I757" s="1332"/>
    </row>
    <row r="758" spans="4:9" x14ac:dyDescent="0.2">
      <c r="D758" s="1332"/>
      <c r="E758" s="1332"/>
      <c r="F758" s="1332"/>
      <c r="G758" s="1332"/>
      <c r="H758" s="1332"/>
      <c r="I758" s="1332"/>
    </row>
    <row r="759" spans="4:9" x14ac:dyDescent="0.2">
      <c r="D759" s="1332"/>
      <c r="E759" s="1332"/>
      <c r="F759" s="1332"/>
      <c r="G759" s="1332"/>
      <c r="H759" s="1332"/>
      <c r="I759" s="1332"/>
    </row>
    <row r="760" spans="4:9" x14ac:dyDescent="0.2">
      <c r="D760" s="1332"/>
      <c r="E760" s="1332"/>
      <c r="F760" s="1332"/>
      <c r="G760" s="1332"/>
      <c r="H760" s="1332"/>
      <c r="I760" s="1332"/>
    </row>
    <row r="761" spans="4:9" x14ac:dyDescent="0.2">
      <c r="D761" s="1332"/>
      <c r="E761" s="1332"/>
      <c r="F761" s="1332"/>
      <c r="G761" s="1332"/>
      <c r="H761" s="1332"/>
      <c r="I761" s="1332"/>
    </row>
    <row r="762" spans="4:9" x14ac:dyDescent="0.2">
      <c r="D762" s="1332"/>
      <c r="E762" s="1332"/>
      <c r="F762" s="1332"/>
      <c r="G762" s="1332"/>
      <c r="H762" s="1332"/>
      <c r="I762" s="1332"/>
    </row>
    <row r="763" spans="4:9" x14ac:dyDescent="0.2">
      <c r="D763" s="1332"/>
      <c r="E763" s="1332"/>
      <c r="F763" s="1332"/>
      <c r="G763" s="1332"/>
      <c r="H763" s="1332"/>
      <c r="I763" s="1332"/>
    </row>
    <row r="764" spans="4:9" x14ac:dyDescent="0.2">
      <c r="D764" s="1332"/>
      <c r="E764" s="1332"/>
      <c r="F764" s="1332"/>
      <c r="G764" s="1332"/>
      <c r="H764" s="1332"/>
      <c r="I764" s="1332"/>
    </row>
    <row r="765" spans="4:9" x14ac:dyDescent="0.2">
      <c r="D765" s="1332"/>
      <c r="E765" s="1332"/>
      <c r="F765" s="1332"/>
      <c r="G765" s="1332"/>
      <c r="H765" s="1332"/>
      <c r="I765" s="1332"/>
    </row>
    <row r="766" spans="4:9" x14ac:dyDescent="0.2">
      <c r="D766" s="1332"/>
      <c r="E766" s="1332"/>
      <c r="F766" s="1332"/>
      <c r="G766" s="1332"/>
      <c r="H766" s="1332"/>
      <c r="I766" s="1332"/>
    </row>
    <row r="767" spans="4:9" x14ac:dyDescent="0.2">
      <c r="D767" s="1332"/>
      <c r="E767" s="1332"/>
      <c r="F767" s="1332"/>
      <c r="G767" s="1332"/>
      <c r="H767" s="1332"/>
      <c r="I767" s="1332"/>
    </row>
    <row r="768" spans="4:9" x14ac:dyDescent="0.2">
      <c r="D768" s="1332"/>
      <c r="E768" s="1332"/>
      <c r="F768" s="1332"/>
      <c r="G768" s="1332"/>
      <c r="H768" s="1332"/>
      <c r="I768" s="1332"/>
    </row>
    <row r="769" spans="4:9" x14ac:dyDescent="0.2">
      <c r="D769" s="1332"/>
      <c r="E769" s="1332"/>
      <c r="F769" s="1332"/>
      <c r="G769" s="1332"/>
      <c r="H769" s="1332"/>
      <c r="I769" s="1332"/>
    </row>
    <row r="770" spans="4:9" x14ac:dyDescent="0.2">
      <c r="D770" s="1332"/>
      <c r="E770" s="1332"/>
      <c r="F770" s="1332"/>
      <c r="G770" s="1332"/>
      <c r="H770" s="1332"/>
      <c r="I770" s="1332"/>
    </row>
    <row r="771" spans="4:9" x14ac:dyDescent="0.2">
      <c r="D771" s="1332"/>
      <c r="E771" s="1332"/>
      <c r="F771" s="1332"/>
      <c r="G771" s="1332"/>
      <c r="H771" s="1332"/>
      <c r="I771" s="1332"/>
    </row>
    <row r="772" spans="4:9" x14ac:dyDescent="0.2">
      <c r="D772" s="1332"/>
      <c r="E772" s="1332"/>
      <c r="F772" s="1332"/>
      <c r="G772" s="1332"/>
      <c r="H772" s="1332"/>
      <c r="I772" s="1332"/>
    </row>
    <row r="773" spans="4:9" x14ac:dyDescent="0.2">
      <c r="D773" s="1332"/>
      <c r="E773" s="1332"/>
      <c r="F773" s="1332"/>
      <c r="G773" s="1332"/>
      <c r="H773" s="1332"/>
      <c r="I773" s="1332"/>
    </row>
    <row r="774" spans="4:9" x14ac:dyDescent="0.2">
      <c r="D774" s="1332"/>
      <c r="E774" s="1332"/>
      <c r="F774" s="1332"/>
      <c r="G774" s="1332"/>
      <c r="H774" s="1332"/>
      <c r="I774" s="1332"/>
    </row>
    <row r="775" spans="4:9" x14ac:dyDescent="0.2">
      <c r="D775" s="1332"/>
      <c r="E775" s="1332"/>
      <c r="F775" s="1332"/>
      <c r="G775" s="1332"/>
      <c r="H775" s="1332"/>
      <c r="I775" s="1332"/>
    </row>
    <row r="776" spans="4:9" x14ac:dyDescent="0.2">
      <c r="D776" s="1332"/>
      <c r="E776" s="1332"/>
      <c r="F776" s="1332"/>
      <c r="G776" s="1332"/>
      <c r="H776" s="1332"/>
      <c r="I776" s="1332"/>
    </row>
    <row r="777" spans="4:9" x14ac:dyDescent="0.2">
      <c r="D777" s="1332"/>
      <c r="E777" s="1332"/>
      <c r="F777" s="1332"/>
      <c r="G777" s="1332"/>
      <c r="H777" s="1332"/>
      <c r="I777" s="1332"/>
    </row>
    <row r="778" spans="4:9" x14ac:dyDescent="0.2">
      <c r="D778" s="1332"/>
      <c r="E778" s="1332"/>
      <c r="F778" s="1332"/>
      <c r="G778" s="1332"/>
      <c r="H778" s="1332"/>
      <c r="I778" s="1332"/>
    </row>
    <row r="779" spans="4:9" x14ac:dyDescent="0.2">
      <c r="D779" s="1332"/>
      <c r="E779" s="1332"/>
      <c r="F779" s="1332"/>
      <c r="G779" s="1332"/>
      <c r="H779" s="1332"/>
      <c r="I779" s="1332"/>
    </row>
    <row r="780" spans="4:9" x14ac:dyDescent="0.2">
      <c r="D780" s="1332"/>
      <c r="E780" s="1332"/>
      <c r="F780" s="1332"/>
      <c r="G780" s="1332"/>
      <c r="H780" s="1332"/>
      <c r="I780" s="1332"/>
    </row>
    <row r="781" spans="4:9" x14ac:dyDescent="0.2">
      <c r="D781" s="1332"/>
      <c r="E781" s="1332"/>
      <c r="F781" s="1332"/>
      <c r="G781" s="1332"/>
      <c r="H781" s="1332"/>
      <c r="I781" s="1332"/>
    </row>
    <row r="782" spans="4:9" x14ac:dyDescent="0.2">
      <c r="D782" s="1332"/>
      <c r="E782" s="1332"/>
      <c r="F782" s="1332"/>
      <c r="G782" s="1332"/>
      <c r="H782" s="1332"/>
      <c r="I782" s="1332"/>
    </row>
    <row r="783" spans="4:9" x14ac:dyDescent="0.2">
      <c r="D783" s="1332"/>
      <c r="E783" s="1332"/>
      <c r="F783" s="1332"/>
      <c r="G783" s="1332"/>
      <c r="H783" s="1332"/>
      <c r="I783" s="1332"/>
    </row>
    <row r="784" spans="4:9" x14ac:dyDescent="0.2">
      <c r="D784" s="1332"/>
      <c r="E784" s="1332"/>
      <c r="F784" s="1332"/>
      <c r="G784" s="1332"/>
      <c r="H784" s="1332"/>
      <c r="I784" s="1332"/>
    </row>
    <row r="785" spans="4:9" x14ac:dyDescent="0.2">
      <c r="D785" s="1332"/>
      <c r="E785" s="1332"/>
      <c r="F785" s="1332"/>
      <c r="G785" s="1332"/>
      <c r="H785" s="1332"/>
      <c r="I785" s="1332"/>
    </row>
    <row r="786" spans="4:9" x14ac:dyDescent="0.2">
      <c r="D786" s="1332"/>
      <c r="E786" s="1332"/>
      <c r="F786" s="1332"/>
      <c r="G786" s="1332"/>
      <c r="H786" s="1332"/>
      <c r="I786" s="1332"/>
    </row>
    <row r="787" spans="4:9" x14ac:dyDescent="0.2">
      <c r="D787" s="1332"/>
      <c r="E787" s="1332"/>
      <c r="F787" s="1332"/>
      <c r="G787" s="1332"/>
      <c r="H787" s="1332"/>
      <c r="I787" s="1332"/>
    </row>
    <row r="788" spans="4:9" x14ac:dyDescent="0.2">
      <c r="D788" s="1332"/>
      <c r="E788" s="1332"/>
      <c r="F788" s="1332"/>
      <c r="G788" s="1332"/>
      <c r="H788" s="1332"/>
      <c r="I788" s="1332"/>
    </row>
    <row r="789" spans="4:9" x14ac:dyDescent="0.2">
      <c r="D789" s="1332"/>
      <c r="E789" s="1332"/>
      <c r="F789" s="1332"/>
      <c r="G789" s="1332"/>
      <c r="H789" s="1332"/>
      <c r="I789" s="1332"/>
    </row>
    <row r="790" spans="4:9" x14ac:dyDescent="0.2">
      <c r="D790" s="1332"/>
      <c r="E790" s="1332"/>
      <c r="F790" s="1332"/>
      <c r="G790" s="1332"/>
      <c r="H790" s="1332"/>
      <c r="I790" s="1332"/>
    </row>
    <row r="791" spans="4:9" x14ac:dyDescent="0.2">
      <c r="D791" s="1332"/>
      <c r="E791" s="1332"/>
      <c r="F791" s="1332"/>
      <c r="G791" s="1332"/>
      <c r="H791" s="1332"/>
      <c r="I791" s="1332"/>
    </row>
    <row r="792" spans="4:9" x14ac:dyDescent="0.2">
      <c r="D792" s="1332"/>
      <c r="E792" s="1332"/>
      <c r="F792" s="1332"/>
      <c r="G792" s="1332"/>
      <c r="H792" s="1332"/>
      <c r="I792" s="1332"/>
    </row>
    <row r="793" spans="4:9" x14ac:dyDescent="0.2">
      <c r="D793" s="1332"/>
      <c r="E793" s="1332"/>
      <c r="F793" s="1332"/>
      <c r="G793" s="1332"/>
      <c r="H793" s="1332"/>
      <c r="I793" s="1332"/>
    </row>
    <row r="794" spans="4:9" x14ac:dyDescent="0.2">
      <c r="D794" s="1332"/>
      <c r="E794" s="1332"/>
      <c r="F794" s="1332"/>
      <c r="G794" s="1332"/>
      <c r="H794" s="1332"/>
      <c r="I794" s="1332"/>
    </row>
    <row r="795" spans="4:9" x14ac:dyDescent="0.2">
      <c r="D795" s="1332"/>
      <c r="E795" s="1332"/>
      <c r="F795" s="1332"/>
      <c r="G795" s="1332"/>
      <c r="H795" s="1332"/>
      <c r="I795" s="1332"/>
    </row>
    <row r="796" spans="4:9" x14ac:dyDescent="0.2">
      <c r="D796" s="1332"/>
      <c r="E796" s="1332"/>
      <c r="F796" s="1332"/>
      <c r="G796" s="1332"/>
      <c r="H796" s="1332"/>
      <c r="I796" s="1332"/>
    </row>
    <row r="797" spans="4:9" x14ac:dyDescent="0.2">
      <c r="D797" s="1332"/>
      <c r="E797" s="1332"/>
      <c r="F797" s="1332"/>
      <c r="G797" s="1332"/>
      <c r="H797" s="1332"/>
      <c r="I797" s="1332"/>
    </row>
    <row r="798" spans="4:9" x14ac:dyDescent="0.2">
      <c r="D798" s="1332"/>
      <c r="E798" s="1332"/>
      <c r="F798" s="1332"/>
      <c r="G798" s="1332"/>
      <c r="H798" s="1332"/>
      <c r="I798" s="1332"/>
    </row>
    <row r="799" spans="4:9" x14ac:dyDescent="0.2">
      <c r="D799" s="1332"/>
      <c r="E799" s="1332"/>
      <c r="F799" s="1332"/>
      <c r="G799" s="1332"/>
      <c r="H799" s="1332"/>
      <c r="I799" s="1332"/>
    </row>
    <row r="800" spans="4:9" x14ac:dyDescent="0.2">
      <c r="D800" s="1332"/>
      <c r="E800" s="1332"/>
      <c r="F800" s="1332"/>
      <c r="G800" s="1332"/>
      <c r="H800" s="1332"/>
      <c r="I800" s="1332"/>
    </row>
    <row r="801" spans="4:9" x14ac:dyDescent="0.2">
      <c r="D801" s="1332"/>
      <c r="E801" s="1332"/>
      <c r="F801" s="1332"/>
      <c r="G801" s="1332"/>
      <c r="H801" s="1332"/>
      <c r="I801" s="1332"/>
    </row>
    <row r="802" spans="4:9" x14ac:dyDescent="0.2">
      <c r="D802" s="1332"/>
      <c r="E802" s="1332"/>
      <c r="F802" s="1332"/>
      <c r="G802" s="1332"/>
      <c r="H802" s="1332"/>
      <c r="I802" s="1332"/>
    </row>
    <row r="803" spans="4:9" x14ac:dyDescent="0.2">
      <c r="D803" s="1332"/>
      <c r="E803" s="1332"/>
      <c r="F803" s="1332"/>
      <c r="G803" s="1332"/>
      <c r="H803" s="1332"/>
      <c r="I803" s="1332"/>
    </row>
    <row r="804" spans="4:9" x14ac:dyDescent="0.2">
      <c r="D804" s="1332"/>
      <c r="E804" s="1332"/>
      <c r="F804" s="1332"/>
      <c r="G804" s="1332"/>
      <c r="H804" s="1332"/>
      <c r="I804" s="1332"/>
    </row>
    <row r="805" spans="4:9" x14ac:dyDescent="0.2">
      <c r="D805" s="1332"/>
      <c r="E805" s="1332"/>
      <c r="F805" s="1332"/>
      <c r="G805" s="1332"/>
      <c r="H805" s="1332"/>
      <c r="I805" s="1332"/>
    </row>
    <row r="806" spans="4:9" x14ac:dyDescent="0.2">
      <c r="D806" s="1332"/>
      <c r="E806" s="1332"/>
      <c r="F806" s="1332"/>
      <c r="G806" s="1332"/>
      <c r="H806" s="1332"/>
      <c r="I806" s="1332"/>
    </row>
    <row r="807" spans="4:9" x14ac:dyDescent="0.2">
      <c r="D807" s="1332"/>
      <c r="E807" s="1332"/>
      <c r="F807" s="1332"/>
      <c r="G807" s="1332"/>
      <c r="H807" s="1332"/>
      <c r="I807" s="1332"/>
    </row>
    <row r="808" spans="4:9" x14ac:dyDescent="0.2">
      <c r="D808" s="1332"/>
      <c r="E808" s="1332"/>
      <c r="F808" s="1332"/>
      <c r="G808" s="1332"/>
      <c r="H808" s="1332"/>
      <c r="I808" s="1332"/>
    </row>
    <row r="809" spans="4:9" x14ac:dyDescent="0.2">
      <c r="D809" s="1332"/>
      <c r="E809" s="1332"/>
      <c r="F809" s="1332"/>
      <c r="G809" s="1332"/>
      <c r="H809" s="1332"/>
      <c r="I809" s="1332"/>
    </row>
    <row r="810" spans="4:9" x14ac:dyDescent="0.2">
      <c r="D810" s="1332"/>
      <c r="E810" s="1332"/>
      <c r="F810" s="1332"/>
      <c r="G810" s="1332"/>
      <c r="H810" s="1332"/>
      <c r="I810" s="1332"/>
    </row>
    <row r="811" spans="4:9" x14ac:dyDescent="0.2">
      <c r="D811" s="1332"/>
      <c r="E811" s="1332"/>
      <c r="F811" s="1332"/>
      <c r="G811" s="1332"/>
      <c r="H811" s="1332"/>
      <c r="I811" s="1332"/>
    </row>
    <row r="812" spans="4:9" x14ac:dyDescent="0.2">
      <c r="D812" s="1332"/>
      <c r="E812" s="1332"/>
      <c r="F812" s="1332"/>
      <c r="G812" s="1332"/>
      <c r="H812" s="1332"/>
      <c r="I812" s="1332"/>
    </row>
    <row r="813" spans="4:9" x14ac:dyDescent="0.2">
      <c r="D813" s="1332"/>
      <c r="E813" s="1332"/>
      <c r="F813" s="1332"/>
      <c r="G813" s="1332"/>
      <c r="H813" s="1332"/>
      <c r="I813" s="1332"/>
    </row>
    <row r="814" spans="4:9" x14ac:dyDescent="0.2">
      <c r="D814" s="1332"/>
      <c r="E814" s="1332"/>
      <c r="F814" s="1332"/>
      <c r="G814" s="1332"/>
      <c r="H814" s="1332"/>
      <c r="I814" s="1332"/>
    </row>
    <row r="815" spans="4:9" x14ac:dyDescent="0.2">
      <c r="D815" s="1332"/>
      <c r="E815" s="1332"/>
      <c r="F815" s="1332"/>
      <c r="G815" s="1332"/>
      <c r="H815" s="1332"/>
      <c r="I815" s="1332"/>
    </row>
    <row r="816" spans="4:9" x14ac:dyDescent="0.2">
      <c r="D816" s="1332"/>
      <c r="E816" s="1332"/>
      <c r="F816" s="1332"/>
      <c r="G816" s="1332"/>
      <c r="H816" s="1332"/>
      <c r="I816" s="1332"/>
    </row>
    <row r="817" spans="4:9" x14ac:dyDescent="0.2">
      <c r="D817" s="1332"/>
      <c r="E817" s="1332"/>
      <c r="F817" s="1332"/>
      <c r="G817" s="1332"/>
      <c r="H817" s="1332"/>
      <c r="I817" s="1332"/>
    </row>
    <row r="818" spans="4:9" x14ac:dyDescent="0.2">
      <c r="D818" s="1332"/>
      <c r="E818" s="1332"/>
      <c r="F818" s="1332"/>
      <c r="G818" s="1332"/>
      <c r="H818" s="1332"/>
      <c r="I818" s="1332"/>
    </row>
    <row r="819" spans="4:9" x14ac:dyDescent="0.2">
      <c r="D819" s="1332"/>
      <c r="E819" s="1332"/>
      <c r="F819" s="1332"/>
      <c r="G819" s="1332"/>
      <c r="H819" s="1332"/>
      <c r="I819" s="1332"/>
    </row>
    <row r="820" spans="4:9" x14ac:dyDescent="0.2">
      <c r="D820" s="1332"/>
      <c r="E820" s="1332"/>
      <c r="F820" s="1332"/>
      <c r="G820" s="1332"/>
      <c r="H820" s="1332"/>
      <c r="I820" s="1332"/>
    </row>
    <row r="821" spans="4:9" x14ac:dyDescent="0.2">
      <c r="D821" s="1332"/>
      <c r="E821" s="1332"/>
      <c r="F821" s="1332"/>
      <c r="G821" s="1332"/>
      <c r="H821" s="1332"/>
      <c r="I821" s="1332"/>
    </row>
    <row r="822" spans="4:9" x14ac:dyDescent="0.2">
      <c r="D822" s="1332"/>
      <c r="E822" s="1332"/>
      <c r="F822" s="1332"/>
      <c r="G822" s="1332"/>
      <c r="H822" s="1332"/>
      <c r="I822" s="1332"/>
    </row>
    <row r="823" spans="4:9" x14ac:dyDescent="0.2">
      <c r="D823" s="1332"/>
      <c r="E823" s="1332"/>
      <c r="F823" s="1332"/>
      <c r="G823" s="1332"/>
      <c r="H823" s="1332"/>
      <c r="I823" s="1332"/>
    </row>
    <row r="824" spans="4:9" x14ac:dyDescent="0.2">
      <c r="D824" s="1332"/>
      <c r="E824" s="1332"/>
      <c r="F824" s="1332"/>
      <c r="G824" s="1332"/>
      <c r="H824" s="1332"/>
      <c r="I824" s="1332"/>
    </row>
    <row r="825" spans="4:9" x14ac:dyDescent="0.2">
      <c r="D825" s="1332"/>
      <c r="E825" s="1332"/>
      <c r="F825" s="1332"/>
      <c r="G825" s="1332"/>
      <c r="H825" s="1332"/>
      <c r="I825" s="1332"/>
    </row>
    <row r="826" spans="4:9" x14ac:dyDescent="0.2">
      <c r="D826" s="1332"/>
      <c r="E826" s="1332"/>
      <c r="F826" s="1332"/>
      <c r="G826" s="1332"/>
      <c r="H826" s="1332"/>
      <c r="I826" s="1332"/>
    </row>
    <row r="827" spans="4:9" x14ac:dyDescent="0.2">
      <c r="D827" s="1332"/>
      <c r="E827" s="1332"/>
      <c r="F827" s="1332"/>
      <c r="G827" s="1332"/>
      <c r="H827" s="1332"/>
      <c r="I827" s="1332"/>
    </row>
    <row r="828" spans="4:9" x14ac:dyDescent="0.2">
      <c r="D828" s="1332"/>
      <c r="E828" s="1332"/>
      <c r="F828" s="1332"/>
      <c r="G828" s="1332"/>
      <c r="H828" s="1332"/>
      <c r="I828" s="1332"/>
    </row>
    <row r="829" spans="4:9" x14ac:dyDescent="0.2">
      <c r="D829" s="1332"/>
      <c r="E829" s="1332"/>
      <c r="F829" s="1332"/>
      <c r="G829" s="1332"/>
      <c r="H829" s="1332"/>
      <c r="I829" s="1332"/>
    </row>
    <row r="830" spans="4:9" x14ac:dyDescent="0.2">
      <c r="D830" s="1332"/>
      <c r="E830" s="1332"/>
      <c r="F830" s="1332"/>
      <c r="G830" s="1332"/>
      <c r="H830" s="1332"/>
      <c r="I830" s="1332"/>
    </row>
    <row r="831" spans="4:9" x14ac:dyDescent="0.2">
      <c r="D831" s="1332"/>
      <c r="E831" s="1332"/>
      <c r="F831" s="1332"/>
      <c r="G831" s="1332"/>
      <c r="H831" s="1332"/>
      <c r="I831" s="1332"/>
    </row>
    <row r="832" spans="4:9" x14ac:dyDescent="0.2">
      <c r="D832" s="1332"/>
      <c r="E832" s="1332"/>
      <c r="F832" s="1332"/>
      <c r="G832" s="1332"/>
      <c r="H832" s="1332"/>
      <c r="I832" s="1332"/>
    </row>
    <row r="833" spans="4:9" x14ac:dyDescent="0.2">
      <c r="D833" s="1332"/>
      <c r="E833" s="1332"/>
      <c r="F833" s="1332"/>
      <c r="G833" s="1332"/>
      <c r="H833" s="1332"/>
      <c r="I833" s="1332"/>
    </row>
    <row r="834" spans="4:9" x14ac:dyDescent="0.2">
      <c r="D834" s="1332"/>
      <c r="E834" s="1332"/>
      <c r="F834" s="1332"/>
      <c r="G834" s="1332"/>
      <c r="H834" s="1332"/>
      <c r="I834" s="1332"/>
    </row>
    <row r="835" spans="4:9" x14ac:dyDescent="0.2">
      <c r="D835" s="1332"/>
      <c r="E835" s="1332"/>
      <c r="F835" s="1332"/>
      <c r="G835" s="1332"/>
      <c r="H835" s="1332"/>
      <c r="I835" s="1332"/>
    </row>
    <row r="836" spans="4:9" x14ac:dyDescent="0.2">
      <c r="D836" s="1332"/>
      <c r="E836" s="1332"/>
      <c r="F836" s="1332"/>
      <c r="G836" s="1332"/>
      <c r="H836" s="1332"/>
      <c r="I836" s="1332"/>
    </row>
    <row r="837" spans="4:9" x14ac:dyDescent="0.2">
      <c r="D837" s="1332"/>
      <c r="E837" s="1332"/>
      <c r="F837" s="1332"/>
      <c r="G837" s="1332"/>
      <c r="H837" s="1332"/>
      <c r="I837" s="1332"/>
    </row>
    <row r="838" spans="4:9" x14ac:dyDescent="0.2">
      <c r="D838" s="1332"/>
      <c r="E838" s="1332"/>
      <c r="F838" s="1332"/>
      <c r="G838" s="1332"/>
      <c r="H838" s="1332"/>
      <c r="I838" s="1332"/>
    </row>
    <row r="839" spans="4:9" x14ac:dyDescent="0.2">
      <c r="D839" s="1332"/>
      <c r="E839" s="1332"/>
      <c r="F839" s="1332"/>
      <c r="G839" s="1332"/>
      <c r="H839" s="1332"/>
      <c r="I839" s="1332"/>
    </row>
    <row r="840" spans="4:9" x14ac:dyDescent="0.2">
      <c r="D840" s="1332"/>
      <c r="E840" s="1332"/>
      <c r="F840" s="1332"/>
      <c r="G840" s="1332"/>
      <c r="H840" s="1332"/>
      <c r="I840" s="1332"/>
    </row>
    <row r="841" spans="4:9" x14ac:dyDescent="0.2">
      <c r="D841" s="1332"/>
      <c r="E841" s="1332"/>
      <c r="F841" s="1332"/>
      <c r="G841" s="1332"/>
      <c r="H841" s="1332"/>
      <c r="I841" s="1332"/>
    </row>
    <row r="842" spans="4:9" x14ac:dyDescent="0.2">
      <c r="D842" s="1332"/>
      <c r="E842" s="1332"/>
      <c r="F842" s="1332"/>
      <c r="G842" s="1332"/>
      <c r="H842" s="1332"/>
      <c r="I842" s="1332"/>
    </row>
    <row r="843" spans="4:9" x14ac:dyDescent="0.2">
      <c r="D843" s="1332"/>
      <c r="E843" s="1332"/>
      <c r="F843" s="1332"/>
      <c r="G843" s="1332"/>
      <c r="H843" s="1332"/>
      <c r="I843" s="1332"/>
    </row>
    <row r="844" spans="4:9" x14ac:dyDescent="0.2">
      <c r="D844" s="1332"/>
      <c r="E844" s="1332"/>
      <c r="F844" s="1332"/>
      <c r="G844" s="1332"/>
      <c r="H844" s="1332"/>
      <c r="I844" s="1332"/>
    </row>
    <row r="845" spans="4:9" x14ac:dyDescent="0.2">
      <c r="D845" s="1332"/>
      <c r="E845" s="1332"/>
      <c r="F845" s="1332"/>
      <c r="G845" s="1332"/>
      <c r="H845" s="1332"/>
      <c r="I845" s="1332"/>
    </row>
    <row r="846" spans="4:9" x14ac:dyDescent="0.2">
      <c r="D846" s="1332"/>
      <c r="E846" s="1332"/>
      <c r="F846" s="1332"/>
      <c r="G846" s="1332"/>
      <c r="H846" s="1332"/>
      <c r="I846" s="1332"/>
    </row>
    <row r="847" spans="4:9" x14ac:dyDescent="0.2">
      <c r="D847" s="1332"/>
      <c r="E847" s="1332"/>
      <c r="F847" s="1332"/>
      <c r="G847" s="1332"/>
      <c r="H847" s="1332"/>
      <c r="I847" s="1332"/>
    </row>
    <row r="848" spans="4:9" x14ac:dyDescent="0.2">
      <c r="D848" s="1332"/>
      <c r="E848" s="1332"/>
      <c r="F848" s="1332"/>
      <c r="G848" s="1332"/>
      <c r="H848" s="1332"/>
      <c r="I848" s="1332"/>
    </row>
    <row r="849" spans="4:9" x14ac:dyDescent="0.2">
      <c r="D849" s="1332"/>
      <c r="E849" s="1332"/>
      <c r="F849" s="1332"/>
      <c r="G849" s="1332"/>
      <c r="H849" s="1332"/>
      <c r="I849" s="1332"/>
    </row>
    <row r="850" spans="4:9" x14ac:dyDescent="0.2">
      <c r="D850" s="1332"/>
      <c r="E850" s="1332"/>
      <c r="F850" s="1332"/>
      <c r="G850" s="1332"/>
      <c r="H850" s="1332"/>
      <c r="I850" s="1332"/>
    </row>
    <row r="851" spans="4:9" x14ac:dyDescent="0.2">
      <c r="D851" s="1332"/>
      <c r="E851" s="1332"/>
      <c r="F851" s="1332"/>
      <c r="G851" s="1332"/>
      <c r="H851" s="1332"/>
      <c r="I851" s="1332"/>
    </row>
    <row r="852" spans="4:9" x14ac:dyDescent="0.2">
      <c r="D852" s="1332"/>
      <c r="E852" s="1332"/>
      <c r="F852" s="1332"/>
      <c r="G852" s="1332"/>
      <c r="H852" s="1332"/>
      <c r="I852" s="1332"/>
    </row>
    <row r="853" spans="4:9" x14ac:dyDescent="0.2">
      <c r="D853" s="1332"/>
      <c r="E853" s="1332"/>
      <c r="F853" s="1332"/>
      <c r="G853" s="1332"/>
      <c r="H853" s="1332"/>
      <c r="I853" s="1332"/>
    </row>
    <row r="854" spans="4:9" x14ac:dyDescent="0.2">
      <c r="D854" s="1332"/>
      <c r="E854" s="1332"/>
      <c r="F854" s="1332"/>
      <c r="G854" s="1332"/>
      <c r="H854" s="1332"/>
      <c r="I854" s="1332"/>
    </row>
    <row r="855" spans="4:9" x14ac:dyDescent="0.2">
      <c r="D855" s="1332"/>
      <c r="E855" s="1332"/>
      <c r="F855" s="1332"/>
      <c r="G855" s="1332"/>
      <c r="H855" s="1332"/>
      <c r="I855" s="1332"/>
    </row>
    <row r="856" spans="4:9" x14ac:dyDescent="0.2">
      <c r="D856" s="1332"/>
      <c r="E856" s="1332"/>
      <c r="F856" s="1332"/>
      <c r="G856" s="1332"/>
      <c r="H856" s="1332"/>
      <c r="I856" s="1332"/>
    </row>
    <row r="857" spans="4:9" x14ac:dyDescent="0.2">
      <c r="D857" s="1332"/>
      <c r="E857" s="1332"/>
      <c r="F857" s="1332"/>
      <c r="G857" s="1332"/>
      <c r="H857" s="1332"/>
      <c r="I857" s="1332"/>
    </row>
    <row r="858" spans="4:9" x14ac:dyDescent="0.2">
      <c r="D858" s="1332"/>
      <c r="E858" s="1332"/>
      <c r="F858" s="1332"/>
      <c r="G858" s="1332"/>
      <c r="H858" s="1332"/>
      <c r="I858" s="1332"/>
    </row>
    <row r="859" spans="4:9" x14ac:dyDescent="0.2">
      <c r="D859" s="1332"/>
      <c r="E859" s="1332"/>
      <c r="F859" s="1332"/>
      <c r="G859" s="1332"/>
      <c r="H859" s="1332"/>
      <c r="I859" s="1332"/>
    </row>
    <row r="860" spans="4:9" x14ac:dyDescent="0.2">
      <c r="D860" s="1332"/>
      <c r="E860" s="1332"/>
      <c r="F860" s="1332"/>
      <c r="G860" s="1332"/>
      <c r="H860" s="1332"/>
      <c r="I860" s="1332"/>
    </row>
    <row r="861" spans="4:9" x14ac:dyDescent="0.2">
      <c r="D861" s="1332"/>
      <c r="E861" s="1332"/>
      <c r="F861" s="1332"/>
      <c r="G861" s="1332"/>
      <c r="H861" s="1332"/>
      <c r="I861" s="1332"/>
    </row>
    <row r="862" spans="4:9" x14ac:dyDescent="0.2">
      <c r="D862" s="1332"/>
      <c r="E862" s="1332"/>
      <c r="F862" s="1332"/>
      <c r="G862" s="1332"/>
      <c r="H862" s="1332"/>
      <c r="I862" s="1332"/>
    </row>
    <row r="863" spans="4:9" x14ac:dyDescent="0.2">
      <c r="D863" s="1332"/>
      <c r="E863" s="1332"/>
      <c r="F863" s="1332"/>
      <c r="G863" s="1332"/>
      <c r="H863" s="1332"/>
      <c r="I863" s="1332"/>
    </row>
    <row r="864" spans="4:9" x14ac:dyDescent="0.2">
      <c r="D864" s="1332"/>
      <c r="E864" s="1332"/>
      <c r="F864" s="1332"/>
      <c r="G864" s="1332"/>
      <c r="H864" s="1332"/>
      <c r="I864" s="1332"/>
    </row>
    <row r="865" spans="4:9" x14ac:dyDescent="0.2">
      <c r="D865" s="1332"/>
      <c r="E865" s="1332"/>
      <c r="F865" s="1332"/>
      <c r="G865" s="1332"/>
      <c r="H865" s="1332"/>
      <c r="I865" s="1332"/>
    </row>
    <row r="866" spans="4:9" x14ac:dyDescent="0.2">
      <c r="D866" s="1332"/>
      <c r="E866" s="1332"/>
      <c r="F866" s="1332"/>
      <c r="G866" s="1332"/>
      <c r="H866" s="1332"/>
      <c r="I866" s="1332"/>
    </row>
    <row r="867" spans="4:9" x14ac:dyDescent="0.2">
      <c r="D867" s="1332"/>
      <c r="E867" s="1332"/>
      <c r="F867" s="1332"/>
      <c r="G867" s="1332"/>
      <c r="H867" s="1332"/>
      <c r="I867" s="1332"/>
    </row>
    <row r="868" spans="4:9" x14ac:dyDescent="0.2">
      <c r="D868" s="1332"/>
      <c r="E868" s="1332"/>
      <c r="F868" s="1332"/>
      <c r="G868" s="1332"/>
      <c r="H868" s="1332"/>
      <c r="I868" s="1332"/>
    </row>
    <row r="869" spans="4:9" x14ac:dyDescent="0.2">
      <c r="D869" s="1332"/>
      <c r="E869" s="1332"/>
      <c r="F869" s="1332"/>
      <c r="G869" s="1332"/>
      <c r="H869" s="1332"/>
      <c r="I869" s="1332"/>
    </row>
    <row r="870" spans="4:9" x14ac:dyDescent="0.2">
      <c r="D870" s="1332"/>
      <c r="E870" s="1332"/>
      <c r="F870" s="1332"/>
      <c r="G870" s="1332"/>
      <c r="H870" s="1332"/>
      <c r="I870" s="1332"/>
    </row>
    <row r="871" spans="4:9" x14ac:dyDescent="0.2">
      <c r="D871" s="1332"/>
      <c r="E871" s="1332"/>
      <c r="F871" s="1332"/>
      <c r="G871" s="1332"/>
      <c r="H871" s="1332"/>
      <c r="I871" s="1332"/>
    </row>
    <row r="872" spans="4:9" x14ac:dyDescent="0.2">
      <c r="D872" s="1332"/>
      <c r="E872" s="1332"/>
      <c r="F872" s="1332"/>
      <c r="G872" s="1332"/>
      <c r="H872" s="1332"/>
      <c r="I872" s="1332"/>
    </row>
    <row r="873" spans="4:9" x14ac:dyDescent="0.2">
      <c r="D873" s="1332"/>
      <c r="E873" s="1332"/>
      <c r="F873" s="1332"/>
      <c r="G873" s="1332"/>
      <c r="H873" s="1332"/>
      <c r="I873" s="1332"/>
    </row>
    <row r="874" spans="4:9" x14ac:dyDescent="0.2">
      <c r="D874" s="1332"/>
      <c r="E874" s="1332"/>
      <c r="F874" s="1332"/>
      <c r="G874" s="1332"/>
      <c r="H874" s="1332"/>
      <c r="I874" s="1332"/>
    </row>
    <row r="875" spans="4:9" x14ac:dyDescent="0.2">
      <c r="D875" s="1332"/>
      <c r="E875" s="1332"/>
      <c r="F875" s="1332"/>
      <c r="G875" s="1332"/>
      <c r="H875" s="1332"/>
      <c r="I875" s="1332"/>
    </row>
    <row r="876" spans="4:9" x14ac:dyDescent="0.2">
      <c r="D876" s="1332"/>
      <c r="E876" s="1332"/>
      <c r="F876" s="1332"/>
      <c r="G876" s="1332"/>
      <c r="H876" s="1332"/>
      <c r="I876" s="1332"/>
    </row>
    <row r="877" spans="4:9" x14ac:dyDescent="0.2">
      <c r="D877" s="1332"/>
      <c r="E877" s="1332"/>
      <c r="F877" s="1332"/>
      <c r="G877" s="1332"/>
      <c r="H877" s="1332"/>
      <c r="I877" s="1332"/>
    </row>
    <row r="878" spans="4:9" x14ac:dyDescent="0.2">
      <c r="D878" s="1332"/>
      <c r="E878" s="1332"/>
      <c r="F878" s="1332"/>
      <c r="G878" s="1332"/>
      <c r="H878" s="1332"/>
      <c r="I878" s="1332"/>
    </row>
    <row r="879" spans="4:9" x14ac:dyDescent="0.2">
      <c r="D879" s="1332"/>
      <c r="E879" s="1332"/>
      <c r="F879" s="1332"/>
      <c r="G879" s="1332"/>
      <c r="H879" s="1332"/>
      <c r="I879" s="1332"/>
    </row>
    <row r="880" spans="4:9" x14ac:dyDescent="0.2">
      <c r="D880" s="1332"/>
      <c r="E880" s="1332"/>
      <c r="F880" s="1332"/>
      <c r="G880" s="1332"/>
      <c r="H880" s="1332"/>
      <c r="I880" s="1332"/>
    </row>
    <row r="881" spans="4:9" x14ac:dyDescent="0.2">
      <c r="D881" s="1332"/>
      <c r="E881" s="1332"/>
      <c r="F881" s="1332"/>
      <c r="G881" s="1332"/>
      <c r="H881" s="1332"/>
      <c r="I881" s="1332"/>
    </row>
    <row r="882" spans="4:9" x14ac:dyDescent="0.2">
      <c r="D882" s="1332"/>
      <c r="E882" s="1332"/>
      <c r="F882" s="1332"/>
      <c r="G882" s="1332"/>
      <c r="H882" s="1332"/>
      <c r="I882" s="1332"/>
    </row>
    <row r="883" spans="4:9" x14ac:dyDescent="0.2">
      <c r="D883" s="1332"/>
      <c r="E883" s="1332"/>
      <c r="F883" s="1332"/>
      <c r="G883" s="1332"/>
      <c r="H883" s="1332"/>
      <c r="I883" s="1332"/>
    </row>
    <row r="884" spans="4:9" x14ac:dyDescent="0.2">
      <c r="D884" s="1332"/>
      <c r="E884" s="1332"/>
      <c r="F884" s="1332"/>
      <c r="G884" s="1332"/>
      <c r="H884" s="1332"/>
      <c r="I884" s="1332"/>
    </row>
    <row r="885" spans="4:9" x14ac:dyDescent="0.2">
      <c r="D885" s="1332"/>
      <c r="E885" s="1332"/>
      <c r="F885" s="1332"/>
      <c r="G885" s="1332"/>
      <c r="H885" s="1332"/>
      <c r="I885" s="1332"/>
    </row>
    <row r="886" spans="4:9" x14ac:dyDescent="0.2">
      <c r="D886" s="1332"/>
      <c r="E886" s="1332"/>
      <c r="F886" s="1332"/>
      <c r="G886" s="1332"/>
      <c r="H886" s="1332"/>
      <c r="I886" s="1332"/>
    </row>
    <row r="887" spans="4:9" x14ac:dyDescent="0.2">
      <c r="D887" s="1332"/>
      <c r="E887" s="1332"/>
      <c r="F887" s="1332"/>
      <c r="G887" s="1332"/>
      <c r="H887" s="1332"/>
      <c r="I887" s="1332"/>
    </row>
    <row r="888" spans="4:9" x14ac:dyDescent="0.2">
      <c r="D888" s="1332"/>
      <c r="E888" s="1332"/>
      <c r="F888" s="1332"/>
      <c r="G888" s="1332"/>
      <c r="H888" s="1332"/>
      <c r="I888" s="1332"/>
    </row>
    <row r="889" spans="4:9" x14ac:dyDescent="0.2">
      <c r="D889" s="1332"/>
      <c r="E889" s="1332"/>
      <c r="F889" s="1332"/>
      <c r="G889" s="1332"/>
      <c r="H889" s="1332"/>
      <c r="I889" s="1332"/>
    </row>
    <row r="890" spans="4:9" x14ac:dyDescent="0.2">
      <c r="D890" s="1332"/>
      <c r="E890" s="1332"/>
      <c r="F890" s="1332"/>
      <c r="G890" s="1332"/>
      <c r="H890" s="1332"/>
      <c r="I890" s="1332"/>
    </row>
    <row r="891" spans="4:9" x14ac:dyDescent="0.2">
      <c r="D891" s="1332"/>
      <c r="E891" s="1332"/>
      <c r="F891" s="1332"/>
      <c r="G891" s="1332"/>
      <c r="H891" s="1332"/>
      <c r="I891" s="1332"/>
    </row>
    <row r="892" spans="4:9" x14ac:dyDescent="0.2">
      <c r="D892" s="1332"/>
      <c r="E892" s="1332"/>
      <c r="F892" s="1332"/>
      <c r="G892" s="1332"/>
      <c r="H892" s="1332"/>
      <c r="I892" s="1332"/>
    </row>
    <row r="893" spans="4:9" x14ac:dyDescent="0.2">
      <c r="D893" s="1332"/>
      <c r="E893" s="1332"/>
      <c r="F893" s="1332"/>
      <c r="G893" s="1332"/>
      <c r="H893" s="1332"/>
      <c r="I893" s="1332"/>
    </row>
    <row r="894" spans="4:9" x14ac:dyDescent="0.2">
      <c r="D894" s="1332"/>
      <c r="E894" s="1332"/>
      <c r="F894" s="1332"/>
      <c r="G894" s="1332"/>
      <c r="H894" s="1332"/>
      <c r="I894" s="1332"/>
    </row>
    <row r="895" spans="4:9" x14ac:dyDescent="0.2">
      <c r="D895" s="1332"/>
      <c r="E895" s="1332"/>
      <c r="F895" s="1332"/>
      <c r="G895" s="1332"/>
      <c r="H895" s="1332"/>
      <c r="I895" s="1332"/>
    </row>
    <row r="896" spans="4:9" x14ac:dyDescent="0.2">
      <c r="D896" s="1332"/>
      <c r="E896" s="1332"/>
      <c r="F896" s="1332"/>
      <c r="G896" s="1332"/>
      <c r="H896" s="1332"/>
      <c r="I896" s="1332"/>
    </row>
    <row r="897" spans="4:9" x14ac:dyDescent="0.2">
      <c r="D897" s="1332"/>
      <c r="E897" s="1332"/>
      <c r="F897" s="1332"/>
      <c r="G897" s="1332"/>
      <c r="H897" s="1332"/>
      <c r="I897" s="1332"/>
    </row>
    <row r="898" spans="4:9" x14ac:dyDescent="0.2">
      <c r="D898" s="1332"/>
      <c r="E898" s="1332"/>
      <c r="F898" s="1332"/>
      <c r="G898" s="1332"/>
      <c r="H898" s="1332"/>
      <c r="I898" s="1332"/>
    </row>
    <row r="899" spans="4:9" x14ac:dyDescent="0.2">
      <c r="D899" s="1332"/>
      <c r="E899" s="1332"/>
      <c r="F899" s="1332"/>
      <c r="G899" s="1332"/>
      <c r="H899" s="1332"/>
      <c r="I899" s="1332"/>
    </row>
    <row r="900" spans="4:9" x14ac:dyDescent="0.2">
      <c r="D900" s="1332"/>
      <c r="E900" s="1332"/>
      <c r="F900" s="1332"/>
      <c r="G900" s="1332"/>
      <c r="H900" s="1332"/>
      <c r="I900" s="1332"/>
    </row>
    <row r="901" spans="4:9" x14ac:dyDescent="0.2">
      <c r="D901" s="1332"/>
      <c r="E901" s="1332"/>
      <c r="F901" s="1332"/>
      <c r="G901" s="1332"/>
      <c r="H901" s="1332"/>
      <c r="I901" s="1332"/>
    </row>
    <row r="902" spans="4:9" x14ac:dyDescent="0.2">
      <c r="D902" s="1332"/>
      <c r="E902" s="1332"/>
      <c r="F902" s="1332"/>
      <c r="G902" s="1332"/>
      <c r="H902" s="1332"/>
      <c r="I902" s="1332"/>
    </row>
    <row r="903" spans="4:9" x14ac:dyDescent="0.2">
      <c r="D903" s="1332"/>
      <c r="E903" s="1332"/>
      <c r="F903" s="1332"/>
      <c r="G903" s="1332"/>
      <c r="H903" s="1332"/>
      <c r="I903" s="1332"/>
    </row>
    <row r="904" spans="4:9" x14ac:dyDescent="0.2">
      <c r="D904" s="1332"/>
      <c r="E904" s="1332"/>
      <c r="F904" s="1332"/>
      <c r="G904" s="1332"/>
      <c r="H904" s="1332"/>
      <c r="I904" s="1332"/>
    </row>
    <row r="905" spans="4:9" x14ac:dyDescent="0.2">
      <c r="D905" s="1332"/>
      <c r="E905" s="1332"/>
      <c r="F905" s="1332"/>
      <c r="G905" s="1332"/>
      <c r="H905" s="1332"/>
      <c r="I905" s="1332"/>
    </row>
    <row r="906" spans="4:9" x14ac:dyDescent="0.2">
      <c r="D906" s="1332"/>
      <c r="E906" s="1332"/>
      <c r="F906" s="1332"/>
      <c r="G906" s="1332"/>
      <c r="H906" s="1332"/>
      <c r="I906" s="1332"/>
    </row>
    <row r="907" spans="4:9" x14ac:dyDescent="0.2">
      <c r="D907" s="1332"/>
      <c r="E907" s="1332"/>
      <c r="F907" s="1332"/>
      <c r="G907" s="1332"/>
      <c r="H907" s="1332"/>
      <c r="I907" s="1332"/>
    </row>
    <row r="908" spans="4:9" x14ac:dyDescent="0.2">
      <c r="D908" s="1332"/>
      <c r="E908" s="1332"/>
      <c r="F908" s="1332"/>
      <c r="G908" s="1332"/>
      <c r="H908" s="1332"/>
      <c r="I908" s="1332"/>
    </row>
    <row r="909" spans="4:9" x14ac:dyDescent="0.2">
      <c r="D909" s="1332"/>
      <c r="E909" s="1332"/>
      <c r="F909" s="1332"/>
      <c r="G909" s="1332"/>
      <c r="H909" s="1332"/>
      <c r="I909" s="1332"/>
    </row>
    <row r="910" spans="4:9" x14ac:dyDescent="0.2">
      <c r="D910" s="1332"/>
      <c r="E910" s="1332"/>
      <c r="F910" s="1332"/>
      <c r="G910" s="1332"/>
      <c r="H910" s="1332"/>
      <c r="I910" s="1332"/>
    </row>
    <row r="911" spans="4:9" x14ac:dyDescent="0.2">
      <c r="D911" s="1332"/>
      <c r="E911" s="1332"/>
      <c r="F911" s="1332"/>
      <c r="G911" s="1332"/>
      <c r="H911" s="1332"/>
      <c r="I911" s="1332"/>
    </row>
    <row r="912" spans="4:9" x14ac:dyDescent="0.2">
      <c r="D912" s="1332"/>
      <c r="E912" s="1332"/>
      <c r="F912" s="1332"/>
      <c r="G912" s="1332"/>
      <c r="H912" s="1332"/>
      <c r="I912" s="1332"/>
    </row>
    <row r="913" spans="4:9" x14ac:dyDescent="0.2">
      <c r="D913" s="1332"/>
      <c r="E913" s="1332"/>
      <c r="F913" s="1332"/>
      <c r="G913" s="1332"/>
      <c r="H913" s="1332"/>
      <c r="I913" s="1332"/>
    </row>
    <row r="914" spans="4:9" x14ac:dyDescent="0.2">
      <c r="D914" s="1332"/>
      <c r="E914" s="1332"/>
      <c r="F914" s="1332"/>
      <c r="G914" s="1332"/>
      <c r="H914" s="1332"/>
      <c r="I914" s="1332"/>
    </row>
    <row r="915" spans="4:9" x14ac:dyDescent="0.2">
      <c r="D915" s="1332"/>
      <c r="E915" s="1332"/>
      <c r="F915" s="1332"/>
      <c r="G915" s="1332"/>
      <c r="H915" s="1332"/>
      <c r="I915" s="1332"/>
    </row>
    <row r="916" spans="4:9" x14ac:dyDescent="0.2">
      <c r="D916" s="1332"/>
      <c r="E916" s="1332"/>
      <c r="F916" s="1332"/>
      <c r="G916" s="1332"/>
      <c r="H916" s="1332"/>
      <c r="I916" s="1332"/>
    </row>
    <row r="917" spans="4:9" x14ac:dyDescent="0.2">
      <c r="D917" s="1332"/>
      <c r="E917" s="1332"/>
      <c r="F917" s="1332"/>
      <c r="G917" s="1332"/>
      <c r="H917" s="1332"/>
      <c r="I917" s="1332"/>
    </row>
    <row r="918" spans="4:9" x14ac:dyDescent="0.2">
      <c r="D918" s="1332"/>
      <c r="E918" s="1332"/>
      <c r="F918" s="1332"/>
      <c r="G918" s="1332"/>
      <c r="H918" s="1332"/>
      <c r="I918" s="1332"/>
    </row>
    <row r="919" spans="4:9" x14ac:dyDescent="0.2">
      <c r="D919" s="1332"/>
      <c r="E919" s="1332"/>
      <c r="F919" s="1332"/>
      <c r="G919" s="1332"/>
      <c r="H919" s="1332"/>
      <c r="I919" s="1332"/>
    </row>
    <row r="920" spans="4:9" x14ac:dyDescent="0.2">
      <c r="D920" s="1332"/>
      <c r="E920" s="1332"/>
      <c r="F920" s="1332"/>
      <c r="G920" s="1332"/>
      <c r="H920" s="1332"/>
      <c r="I920" s="1332"/>
    </row>
    <row r="921" spans="4:9" x14ac:dyDescent="0.2">
      <c r="D921" s="1332"/>
      <c r="E921" s="1332"/>
      <c r="F921" s="1332"/>
      <c r="G921" s="1332"/>
      <c r="H921" s="1332"/>
      <c r="I921" s="1332"/>
    </row>
    <row r="922" spans="4:9" x14ac:dyDescent="0.2">
      <c r="D922" s="1332"/>
      <c r="E922" s="1332"/>
      <c r="F922" s="1332"/>
      <c r="G922" s="1332"/>
      <c r="H922" s="1332"/>
      <c r="I922" s="1332"/>
    </row>
    <row r="923" spans="4:9" x14ac:dyDescent="0.2">
      <c r="D923" s="1332"/>
      <c r="E923" s="1332"/>
      <c r="F923" s="1332"/>
      <c r="G923" s="1332"/>
      <c r="H923" s="1332"/>
      <c r="I923" s="1332"/>
    </row>
    <row r="924" spans="4:9" x14ac:dyDescent="0.2">
      <c r="D924" s="1332"/>
      <c r="E924" s="1332"/>
      <c r="F924" s="1332"/>
      <c r="G924" s="1332"/>
      <c r="H924" s="1332"/>
      <c r="I924" s="1332"/>
    </row>
    <row r="925" spans="4:9" x14ac:dyDescent="0.2">
      <c r="D925" s="1332"/>
      <c r="E925" s="1332"/>
      <c r="F925" s="1332"/>
      <c r="G925" s="1332"/>
      <c r="H925" s="1332"/>
      <c r="I925" s="1332"/>
    </row>
    <row r="926" spans="4:9" x14ac:dyDescent="0.2">
      <c r="D926" s="1332"/>
      <c r="E926" s="1332"/>
      <c r="F926" s="1332"/>
      <c r="G926" s="1332"/>
      <c r="H926" s="1332"/>
      <c r="I926" s="1332"/>
    </row>
    <row r="927" spans="4:9" x14ac:dyDescent="0.2">
      <c r="D927" s="1332"/>
      <c r="E927" s="1332"/>
      <c r="F927" s="1332"/>
      <c r="G927" s="1332"/>
      <c r="H927" s="1332"/>
      <c r="I927" s="1332"/>
    </row>
    <row r="928" spans="4:9" x14ac:dyDescent="0.2">
      <c r="D928" s="1332"/>
      <c r="E928" s="1332"/>
      <c r="F928" s="1332"/>
      <c r="G928" s="1332"/>
      <c r="H928" s="1332"/>
      <c r="I928" s="1332"/>
    </row>
    <row r="929" spans="4:9" x14ac:dyDescent="0.2">
      <c r="D929" s="1332"/>
      <c r="E929" s="1332"/>
      <c r="F929" s="1332"/>
      <c r="G929" s="1332"/>
      <c r="H929" s="1332"/>
      <c r="I929" s="1332"/>
    </row>
    <row r="930" spans="4:9" x14ac:dyDescent="0.2">
      <c r="D930" s="1332"/>
      <c r="E930" s="1332"/>
      <c r="F930" s="1332"/>
      <c r="G930" s="1332"/>
      <c r="H930" s="1332"/>
      <c r="I930" s="1332"/>
    </row>
    <row r="931" spans="4:9" x14ac:dyDescent="0.2">
      <c r="D931" s="1332"/>
      <c r="E931" s="1332"/>
      <c r="F931" s="1332"/>
      <c r="G931" s="1332"/>
      <c r="H931" s="1332"/>
      <c r="I931" s="1332"/>
    </row>
    <row r="932" spans="4:9" x14ac:dyDescent="0.2">
      <c r="D932" s="1332"/>
      <c r="E932" s="1332"/>
      <c r="F932" s="1332"/>
      <c r="G932" s="1332"/>
      <c r="H932" s="1332"/>
      <c r="I932" s="1332"/>
    </row>
    <row r="933" spans="4:9" x14ac:dyDescent="0.2">
      <c r="D933" s="1332"/>
      <c r="E933" s="1332"/>
      <c r="F933" s="1332"/>
      <c r="G933" s="1332"/>
      <c r="H933" s="1332"/>
      <c r="I933" s="1332"/>
    </row>
    <row r="934" spans="4:9" x14ac:dyDescent="0.2">
      <c r="D934" s="1332"/>
      <c r="E934" s="1332"/>
      <c r="F934" s="1332"/>
      <c r="G934" s="1332"/>
      <c r="H934" s="1332"/>
      <c r="I934" s="1332"/>
    </row>
    <row r="935" spans="4:9" x14ac:dyDescent="0.2">
      <c r="D935" s="1332"/>
      <c r="E935" s="1332"/>
      <c r="F935" s="1332"/>
      <c r="G935" s="1332"/>
      <c r="H935" s="1332"/>
      <c r="I935" s="1332"/>
    </row>
    <row r="936" spans="4:9" x14ac:dyDescent="0.2">
      <c r="D936" s="1332"/>
      <c r="E936" s="1332"/>
      <c r="F936" s="1332"/>
      <c r="G936" s="1332"/>
      <c r="H936" s="1332"/>
      <c r="I936" s="1332"/>
    </row>
    <row r="937" spans="4:9" x14ac:dyDescent="0.2">
      <c r="D937" s="1332"/>
      <c r="E937" s="1332"/>
      <c r="F937" s="1332"/>
      <c r="G937" s="1332"/>
      <c r="H937" s="1332"/>
      <c r="I937" s="1332"/>
    </row>
    <row r="938" spans="4:9" x14ac:dyDescent="0.2">
      <c r="D938" s="1332"/>
      <c r="E938" s="1332"/>
      <c r="F938" s="1332"/>
      <c r="G938" s="1332"/>
      <c r="H938" s="1332"/>
      <c r="I938" s="1332"/>
    </row>
    <row r="939" spans="4:9" x14ac:dyDescent="0.2">
      <c r="D939" s="1332"/>
      <c r="E939" s="1332"/>
      <c r="F939" s="1332"/>
      <c r="G939" s="1332"/>
      <c r="H939" s="1332"/>
      <c r="I939" s="1332"/>
    </row>
    <row r="940" spans="4:9" x14ac:dyDescent="0.2">
      <c r="D940" s="1332"/>
      <c r="E940" s="1332"/>
      <c r="F940" s="1332"/>
      <c r="G940" s="1332"/>
      <c r="H940" s="1332"/>
      <c r="I940" s="1332"/>
    </row>
    <row r="941" spans="4:9" x14ac:dyDescent="0.2">
      <c r="D941" s="1332"/>
      <c r="E941" s="1332"/>
      <c r="F941" s="1332"/>
      <c r="G941" s="1332"/>
      <c r="H941" s="1332"/>
      <c r="I941" s="1332"/>
    </row>
    <row r="942" spans="4:9" x14ac:dyDescent="0.2">
      <c r="D942" s="1332"/>
      <c r="E942" s="1332"/>
      <c r="F942" s="1332"/>
      <c r="G942" s="1332"/>
      <c r="H942" s="1332"/>
      <c r="I942" s="1332"/>
    </row>
    <row r="943" spans="4:9" x14ac:dyDescent="0.2">
      <c r="D943" s="1332"/>
      <c r="E943" s="1332"/>
      <c r="F943" s="1332"/>
      <c r="G943" s="1332"/>
      <c r="H943" s="1332"/>
      <c r="I943" s="1332"/>
    </row>
    <row r="944" spans="4:9" x14ac:dyDescent="0.2">
      <c r="D944" s="1332"/>
      <c r="E944" s="1332"/>
      <c r="F944" s="1332"/>
      <c r="G944" s="1332"/>
      <c r="H944" s="1332"/>
      <c r="I944" s="1332"/>
    </row>
    <row r="945" spans="4:9" x14ac:dyDescent="0.2">
      <c r="D945" s="1332"/>
      <c r="E945" s="1332"/>
      <c r="F945" s="1332"/>
      <c r="G945" s="1332"/>
      <c r="H945" s="1332"/>
      <c r="I945" s="1332"/>
    </row>
    <row r="946" spans="4:9" x14ac:dyDescent="0.2">
      <c r="D946" s="1332"/>
      <c r="E946" s="1332"/>
      <c r="F946" s="1332"/>
      <c r="G946" s="1332"/>
      <c r="H946" s="1332"/>
      <c r="I946" s="1332"/>
    </row>
    <row r="947" spans="4:9" x14ac:dyDescent="0.2">
      <c r="D947" s="1332"/>
      <c r="E947" s="1332"/>
      <c r="F947" s="1332"/>
      <c r="G947" s="1332"/>
      <c r="H947" s="1332"/>
      <c r="I947" s="1332"/>
    </row>
    <row r="948" spans="4:9" x14ac:dyDescent="0.2">
      <c r="D948" s="1332"/>
      <c r="E948" s="1332"/>
      <c r="F948" s="1332"/>
      <c r="G948" s="1332"/>
      <c r="H948" s="1332"/>
      <c r="I948" s="1332"/>
    </row>
    <row r="949" spans="4:9" x14ac:dyDescent="0.2">
      <c r="D949" s="1332"/>
      <c r="E949" s="1332"/>
      <c r="F949" s="1332"/>
      <c r="G949" s="1332"/>
      <c r="H949" s="1332"/>
      <c r="I949" s="1332"/>
    </row>
    <row r="950" spans="4:9" x14ac:dyDescent="0.2">
      <c r="D950" s="1332"/>
      <c r="E950" s="1332"/>
      <c r="F950" s="1332"/>
      <c r="G950" s="1332"/>
      <c r="H950" s="1332"/>
      <c r="I950" s="1332"/>
    </row>
    <row r="951" spans="4:9" x14ac:dyDescent="0.2">
      <c r="D951" s="1332"/>
      <c r="E951" s="1332"/>
      <c r="F951" s="1332"/>
      <c r="G951" s="1332"/>
      <c r="H951" s="1332"/>
      <c r="I951" s="1332"/>
    </row>
    <row r="952" spans="4:9" x14ac:dyDescent="0.2">
      <c r="D952" s="1332"/>
      <c r="E952" s="1332"/>
      <c r="F952" s="1332"/>
      <c r="G952" s="1332"/>
      <c r="H952" s="1332"/>
      <c r="I952" s="1332"/>
    </row>
    <row r="953" spans="4:9" x14ac:dyDescent="0.2">
      <c r="D953" s="1332"/>
      <c r="E953" s="1332"/>
      <c r="F953" s="1332"/>
      <c r="G953" s="1332"/>
      <c r="H953" s="1332"/>
      <c r="I953" s="1332"/>
    </row>
    <row r="954" spans="4:9" x14ac:dyDescent="0.2">
      <c r="D954" s="1332"/>
      <c r="E954" s="1332"/>
      <c r="F954" s="1332"/>
      <c r="G954" s="1332"/>
      <c r="H954" s="1332"/>
      <c r="I954" s="1332"/>
    </row>
    <row r="955" spans="4:9" x14ac:dyDescent="0.2">
      <c r="D955" s="1332"/>
      <c r="E955" s="1332"/>
      <c r="F955" s="1332"/>
      <c r="G955" s="1332"/>
      <c r="H955" s="1332"/>
      <c r="I955" s="1332"/>
    </row>
    <row r="956" spans="4:9" x14ac:dyDescent="0.2">
      <c r="D956" s="1332"/>
      <c r="E956" s="1332"/>
      <c r="F956" s="1332"/>
      <c r="G956" s="1332"/>
      <c r="H956" s="1332"/>
      <c r="I956" s="1332"/>
    </row>
    <row r="957" spans="4:9" x14ac:dyDescent="0.2">
      <c r="D957" s="1332"/>
      <c r="E957" s="1332"/>
      <c r="F957" s="1332"/>
      <c r="G957" s="1332"/>
      <c r="H957" s="1332"/>
      <c r="I957" s="1332"/>
    </row>
    <row r="958" spans="4:9" x14ac:dyDescent="0.2">
      <c r="D958" s="1332"/>
      <c r="E958" s="1332"/>
      <c r="F958" s="1332"/>
      <c r="G958" s="1332"/>
      <c r="H958" s="1332"/>
      <c r="I958" s="1332"/>
    </row>
    <row r="959" spans="4:9" x14ac:dyDescent="0.2">
      <c r="D959" s="1332"/>
      <c r="E959" s="1332"/>
      <c r="F959" s="1332"/>
      <c r="G959" s="1332"/>
      <c r="H959" s="1332"/>
      <c r="I959" s="1332"/>
    </row>
    <row r="960" spans="4:9" x14ac:dyDescent="0.2">
      <c r="D960" s="1332"/>
      <c r="E960" s="1332"/>
      <c r="F960" s="1332"/>
      <c r="G960" s="1332"/>
      <c r="H960" s="1332"/>
      <c r="I960" s="1332"/>
    </row>
    <row r="961" spans="4:9" x14ac:dyDescent="0.2">
      <c r="D961" s="1332"/>
      <c r="E961" s="1332"/>
      <c r="F961" s="1332"/>
      <c r="G961" s="1332"/>
      <c r="H961" s="1332"/>
      <c r="I961" s="1332"/>
    </row>
    <row r="962" spans="4:9" x14ac:dyDescent="0.2">
      <c r="D962" s="1332"/>
      <c r="E962" s="1332"/>
      <c r="F962" s="1332"/>
      <c r="G962" s="1332"/>
      <c r="H962" s="1332"/>
      <c r="I962" s="1332"/>
    </row>
    <row r="963" spans="4:9" x14ac:dyDescent="0.2">
      <c r="D963" s="1332"/>
      <c r="E963" s="1332"/>
      <c r="F963" s="1332"/>
      <c r="G963" s="1332"/>
      <c r="H963" s="1332"/>
      <c r="I963" s="1332"/>
    </row>
    <row r="964" spans="4:9" x14ac:dyDescent="0.2">
      <c r="D964" s="1332"/>
      <c r="E964" s="1332"/>
      <c r="F964" s="1332"/>
      <c r="G964" s="1332"/>
      <c r="H964" s="1332"/>
      <c r="I964" s="1332"/>
    </row>
    <row r="965" spans="4:9" x14ac:dyDescent="0.2">
      <c r="D965" s="1332"/>
      <c r="E965" s="1332"/>
      <c r="F965" s="1332"/>
      <c r="G965" s="1332"/>
      <c r="H965" s="1332"/>
      <c r="I965" s="1332"/>
    </row>
    <row r="966" spans="4:9" x14ac:dyDescent="0.2">
      <c r="D966" s="1332"/>
      <c r="E966" s="1332"/>
      <c r="F966" s="1332"/>
      <c r="G966" s="1332"/>
      <c r="H966" s="1332"/>
      <c r="I966" s="1332"/>
    </row>
    <row r="967" spans="4:9" x14ac:dyDescent="0.2">
      <c r="D967" s="1332"/>
      <c r="E967" s="1332"/>
      <c r="F967" s="1332"/>
      <c r="G967" s="1332"/>
      <c r="H967" s="1332"/>
      <c r="I967" s="1332"/>
    </row>
    <row r="968" spans="4:9" x14ac:dyDescent="0.2">
      <c r="D968" s="1332"/>
      <c r="E968" s="1332"/>
      <c r="F968" s="1332"/>
      <c r="G968" s="1332"/>
      <c r="H968" s="1332"/>
      <c r="I968" s="1332"/>
    </row>
    <row r="969" spans="4:9" x14ac:dyDescent="0.2">
      <c r="D969" s="1332"/>
      <c r="E969" s="1332"/>
      <c r="F969" s="1332"/>
      <c r="G969" s="1332"/>
      <c r="H969" s="1332"/>
      <c r="I969" s="1332"/>
    </row>
    <row r="970" spans="4:9" x14ac:dyDescent="0.2">
      <c r="D970" s="1332"/>
      <c r="E970" s="1332"/>
      <c r="F970" s="1332"/>
      <c r="G970" s="1332"/>
      <c r="H970" s="1332"/>
      <c r="I970" s="1332"/>
    </row>
    <row r="971" spans="4:9" x14ac:dyDescent="0.2">
      <c r="D971" s="1332"/>
      <c r="E971" s="1332"/>
      <c r="F971" s="1332"/>
      <c r="G971" s="1332"/>
      <c r="H971" s="1332"/>
      <c r="I971" s="1332"/>
    </row>
    <row r="972" spans="4:9" x14ac:dyDescent="0.2">
      <c r="D972" s="1332"/>
      <c r="E972" s="1332"/>
      <c r="F972" s="1332"/>
      <c r="G972" s="1332"/>
      <c r="H972" s="1332"/>
      <c r="I972" s="1332"/>
    </row>
    <row r="973" spans="4:9" x14ac:dyDescent="0.2">
      <c r="D973" s="1332"/>
      <c r="E973" s="1332"/>
      <c r="F973" s="1332"/>
      <c r="G973" s="1332"/>
      <c r="H973" s="1332"/>
      <c r="I973" s="1332"/>
    </row>
    <row r="974" spans="4:9" x14ac:dyDescent="0.2">
      <c r="D974" s="1332"/>
      <c r="E974" s="1332"/>
      <c r="F974" s="1332"/>
      <c r="G974" s="1332"/>
      <c r="H974" s="1332"/>
      <c r="I974" s="1332"/>
    </row>
    <row r="975" spans="4:9" x14ac:dyDescent="0.2">
      <c r="D975" s="1332"/>
      <c r="E975" s="1332"/>
      <c r="F975" s="1332"/>
      <c r="G975" s="1332"/>
      <c r="H975" s="1332"/>
      <c r="I975" s="1332"/>
    </row>
    <row r="976" spans="4:9" x14ac:dyDescent="0.2">
      <c r="D976" s="1332"/>
      <c r="E976" s="1332"/>
      <c r="F976" s="1332"/>
      <c r="G976" s="1332"/>
      <c r="H976" s="1332"/>
      <c r="I976" s="1332"/>
    </row>
    <row r="977" spans="4:9" x14ac:dyDescent="0.2">
      <c r="D977" s="1332"/>
      <c r="E977" s="1332"/>
      <c r="F977" s="1332"/>
      <c r="G977" s="1332"/>
      <c r="H977" s="1332"/>
      <c r="I977" s="1332"/>
    </row>
    <row r="978" spans="4:9" x14ac:dyDescent="0.2">
      <c r="D978" s="1332"/>
      <c r="E978" s="1332"/>
      <c r="F978" s="1332"/>
      <c r="G978" s="1332"/>
      <c r="H978" s="1332"/>
      <c r="I978" s="1332"/>
    </row>
    <row r="979" spans="4:9" x14ac:dyDescent="0.2">
      <c r="D979" s="1332"/>
      <c r="E979" s="1332"/>
      <c r="F979" s="1332"/>
      <c r="G979" s="1332"/>
      <c r="H979" s="1332"/>
      <c r="I979" s="1332"/>
    </row>
    <row r="980" spans="4:9" x14ac:dyDescent="0.2">
      <c r="D980" s="1332"/>
      <c r="E980" s="1332"/>
      <c r="F980" s="1332"/>
      <c r="G980" s="1332"/>
      <c r="H980" s="1332"/>
      <c r="I980" s="1332"/>
    </row>
    <row r="981" spans="4:9" x14ac:dyDescent="0.2">
      <c r="D981" s="1332"/>
      <c r="E981" s="1332"/>
      <c r="F981" s="1332"/>
      <c r="G981" s="1332"/>
      <c r="H981" s="1332"/>
      <c r="I981" s="1332"/>
    </row>
    <row r="982" spans="4:9" x14ac:dyDescent="0.2">
      <c r="D982" s="1332"/>
      <c r="E982" s="1332"/>
      <c r="F982" s="1332"/>
      <c r="G982" s="1332"/>
      <c r="H982" s="1332"/>
      <c r="I982" s="1332"/>
    </row>
    <row r="983" spans="4:9" x14ac:dyDescent="0.2">
      <c r="D983" s="1332"/>
      <c r="E983" s="1332"/>
      <c r="F983" s="1332"/>
      <c r="G983" s="1332"/>
      <c r="H983" s="1332"/>
      <c r="I983" s="1332"/>
    </row>
    <row r="984" spans="4:9" x14ac:dyDescent="0.2">
      <c r="D984" s="1332"/>
      <c r="E984" s="1332"/>
      <c r="F984" s="1332"/>
      <c r="G984" s="1332"/>
      <c r="H984" s="1332"/>
      <c r="I984" s="1332"/>
    </row>
    <row r="985" spans="4:9" x14ac:dyDescent="0.2">
      <c r="D985" s="1332"/>
      <c r="E985" s="1332"/>
      <c r="F985" s="1332"/>
      <c r="G985" s="1332"/>
      <c r="H985" s="1332"/>
      <c r="I985" s="1332"/>
    </row>
    <row r="986" spans="4:9" x14ac:dyDescent="0.2">
      <c r="D986" s="1332"/>
      <c r="E986" s="1332"/>
      <c r="F986" s="1332"/>
      <c r="G986" s="1332"/>
      <c r="H986" s="1332"/>
      <c r="I986" s="1332"/>
    </row>
    <row r="987" spans="4:9" x14ac:dyDescent="0.2">
      <c r="D987" s="1332"/>
      <c r="E987" s="1332"/>
      <c r="F987" s="1332"/>
      <c r="G987" s="1332"/>
      <c r="H987" s="1332"/>
      <c r="I987" s="1332"/>
    </row>
    <row r="988" spans="4:9" x14ac:dyDescent="0.2">
      <c r="D988" s="1332"/>
      <c r="E988" s="1332"/>
      <c r="F988" s="1332"/>
      <c r="G988" s="1332"/>
      <c r="H988" s="1332"/>
      <c r="I988" s="1332"/>
    </row>
    <row r="989" spans="4:9" x14ac:dyDescent="0.2">
      <c r="D989" s="1332"/>
      <c r="E989" s="1332"/>
      <c r="F989" s="1332"/>
      <c r="G989" s="1332"/>
      <c r="H989" s="1332"/>
      <c r="I989" s="1332"/>
    </row>
    <row r="990" spans="4:9" x14ac:dyDescent="0.2">
      <c r="D990" s="1332"/>
      <c r="E990" s="1332"/>
      <c r="F990" s="1332"/>
      <c r="G990" s="1332"/>
      <c r="H990" s="1332"/>
      <c r="I990" s="1332"/>
    </row>
    <row r="991" spans="4:9" x14ac:dyDescent="0.2">
      <c r="D991" s="1332"/>
      <c r="E991" s="1332"/>
      <c r="F991" s="1332"/>
      <c r="G991" s="1332"/>
      <c r="H991" s="1332"/>
      <c r="I991" s="1332"/>
    </row>
    <row r="992" spans="4:9" x14ac:dyDescent="0.2">
      <c r="D992" s="1332"/>
      <c r="E992" s="1332"/>
      <c r="F992" s="1332"/>
      <c r="G992" s="1332"/>
      <c r="H992" s="1332"/>
      <c r="I992" s="1332"/>
    </row>
    <row r="993" spans="4:9" x14ac:dyDescent="0.2">
      <c r="D993" s="1332"/>
      <c r="E993" s="1332"/>
      <c r="F993" s="1332"/>
      <c r="G993" s="1332"/>
      <c r="H993" s="1332"/>
      <c r="I993" s="1332"/>
    </row>
    <row r="994" spans="4:9" x14ac:dyDescent="0.2">
      <c r="D994" s="1332"/>
      <c r="E994" s="1332"/>
      <c r="F994" s="1332"/>
      <c r="G994" s="1332"/>
      <c r="H994" s="1332"/>
      <c r="I994" s="1332"/>
    </row>
    <row r="995" spans="4:9" x14ac:dyDescent="0.2">
      <c r="D995" s="1332"/>
      <c r="E995" s="1332"/>
      <c r="F995" s="1332"/>
      <c r="G995" s="1332"/>
      <c r="H995" s="1332"/>
      <c r="I995" s="1332"/>
    </row>
    <row r="996" spans="4:9" x14ac:dyDescent="0.2">
      <c r="D996" s="1332"/>
      <c r="E996" s="1332"/>
      <c r="F996" s="1332"/>
      <c r="G996" s="1332"/>
      <c r="H996" s="1332"/>
      <c r="I996" s="1332"/>
    </row>
    <row r="997" spans="4:9" x14ac:dyDescent="0.2">
      <c r="D997" s="1332"/>
      <c r="E997" s="1332"/>
      <c r="F997" s="1332"/>
      <c r="G997" s="1332"/>
      <c r="H997" s="1332"/>
      <c r="I997" s="1332"/>
    </row>
    <row r="998" spans="4:9" x14ac:dyDescent="0.2">
      <c r="D998" s="1332"/>
      <c r="E998" s="1332"/>
      <c r="F998" s="1332"/>
      <c r="G998" s="1332"/>
      <c r="H998" s="1332"/>
      <c r="I998" s="1332"/>
    </row>
    <row r="999" spans="4:9" x14ac:dyDescent="0.2">
      <c r="D999" s="1332"/>
      <c r="E999" s="1332"/>
      <c r="F999" s="1332"/>
      <c r="G999" s="1332"/>
      <c r="H999" s="1332"/>
      <c r="I999" s="1332"/>
    </row>
    <row r="1000" spans="4:9" x14ac:dyDescent="0.2">
      <c r="D1000" s="1332"/>
      <c r="E1000" s="1332"/>
      <c r="F1000" s="1332"/>
      <c r="G1000" s="1332"/>
      <c r="H1000" s="1332"/>
      <c r="I1000" s="1332"/>
    </row>
  </sheetData>
  <mergeCells count="388">
    <mergeCell ref="A475:B475"/>
    <mergeCell ref="A476:B476"/>
    <mergeCell ref="A462:B462"/>
    <mergeCell ref="A463:B463"/>
    <mergeCell ref="A464:B464"/>
    <mergeCell ref="A468:D468"/>
    <mergeCell ref="E468:H468"/>
    <mergeCell ref="A471:B471"/>
    <mergeCell ref="A472:B472"/>
    <mergeCell ref="A473:B473"/>
    <mergeCell ref="A474:B474"/>
    <mergeCell ref="A453:B453"/>
    <mergeCell ref="A454:B454"/>
    <mergeCell ref="A455:B455"/>
    <mergeCell ref="A456:B456"/>
    <mergeCell ref="A457:B457"/>
    <mergeCell ref="A458:B458"/>
    <mergeCell ref="A459:B459"/>
    <mergeCell ref="A460:B460"/>
    <mergeCell ref="A461:B461"/>
    <mergeCell ref="A447:D447"/>
    <mergeCell ref="E447:H447"/>
    <mergeCell ref="A448:D448"/>
    <mergeCell ref="E448:H448"/>
    <mergeCell ref="A449:D449"/>
    <mergeCell ref="E449:H449"/>
    <mergeCell ref="A450:D450"/>
    <mergeCell ref="E450:H450"/>
    <mergeCell ref="A452:B452"/>
    <mergeCell ref="E452:F452"/>
    <mergeCell ref="E442:H442"/>
    <mergeCell ref="A443:D443"/>
    <mergeCell ref="E443:H443"/>
    <mergeCell ref="A444:D444"/>
    <mergeCell ref="E444:H444"/>
    <mergeCell ref="A445:D445"/>
    <mergeCell ref="E445:H445"/>
    <mergeCell ref="A446:D446"/>
    <mergeCell ref="E446:H446"/>
    <mergeCell ref="A431:B431"/>
    <mergeCell ref="A432:B432"/>
    <mergeCell ref="A433:B433"/>
    <mergeCell ref="A434:B434"/>
    <mergeCell ref="A435:B435"/>
    <mergeCell ref="A436:B436"/>
    <mergeCell ref="A437:B437"/>
    <mergeCell ref="A438:B438"/>
    <mergeCell ref="A442:D442"/>
    <mergeCell ref="A422:B422"/>
    <mergeCell ref="A423:B423"/>
    <mergeCell ref="A424:B424"/>
    <mergeCell ref="A425:B425"/>
    <mergeCell ref="A426:B426"/>
    <mergeCell ref="A427:B427"/>
    <mergeCell ref="A428:B428"/>
    <mergeCell ref="A429:B429"/>
    <mergeCell ref="A430:B430"/>
    <mergeCell ref="A411:B411"/>
    <mergeCell ref="A412:B412"/>
    <mergeCell ref="A413:B413"/>
    <mergeCell ref="A414:B414"/>
    <mergeCell ref="A415:B415"/>
    <mergeCell ref="A418:B418"/>
    <mergeCell ref="A419:B419"/>
    <mergeCell ref="A420:B420"/>
    <mergeCell ref="A421:B421"/>
    <mergeCell ref="A402:B402"/>
    <mergeCell ref="A403:B403"/>
    <mergeCell ref="A404:B404"/>
    <mergeCell ref="A405:B405"/>
    <mergeCell ref="A406:B406"/>
    <mergeCell ref="A407:B407"/>
    <mergeCell ref="A408:B408"/>
    <mergeCell ref="A409:B409"/>
    <mergeCell ref="A410:B410"/>
    <mergeCell ref="A393:B393"/>
    <mergeCell ref="A394:B394"/>
    <mergeCell ref="A395:B395"/>
    <mergeCell ref="A396:B396"/>
    <mergeCell ref="A397:B397"/>
    <mergeCell ref="A398:B398"/>
    <mergeCell ref="A399:B399"/>
    <mergeCell ref="A400:B400"/>
    <mergeCell ref="A401:B401"/>
    <mergeCell ref="A381:B381"/>
    <mergeCell ref="A382:B382"/>
    <mergeCell ref="A383:B383"/>
    <mergeCell ref="A384:B384"/>
    <mergeCell ref="A385:B385"/>
    <mergeCell ref="A386:B386"/>
    <mergeCell ref="A387:B387"/>
    <mergeCell ref="A391:B391"/>
    <mergeCell ref="A392:B392"/>
    <mergeCell ref="A372:B372"/>
    <mergeCell ref="A373:B373"/>
    <mergeCell ref="A374:B374"/>
    <mergeCell ref="A375:B375"/>
    <mergeCell ref="A376:B376"/>
    <mergeCell ref="A377:B377"/>
    <mergeCell ref="A378:B378"/>
    <mergeCell ref="A379:B379"/>
    <mergeCell ref="A380:B380"/>
    <mergeCell ref="A363:B363"/>
    <mergeCell ref="A364:B364"/>
    <mergeCell ref="A365:B365"/>
    <mergeCell ref="A366:B366"/>
    <mergeCell ref="A367:B367"/>
    <mergeCell ref="A368:B368"/>
    <mergeCell ref="A369:B369"/>
    <mergeCell ref="A370:B370"/>
    <mergeCell ref="A371:B371"/>
    <mergeCell ref="A354:B354"/>
    <mergeCell ref="A355:B355"/>
    <mergeCell ref="A356:B356"/>
    <mergeCell ref="A357:B357"/>
    <mergeCell ref="A358:B358"/>
    <mergeCell ref="A359:B359"/>
    <mergeCell ref="A360:B360"/>
    <mergeCell ref="A361:B361"/>
    <mergeCell ref="A362:B362"/>
    <mergeCell ref="A337:B337"/>
    <mergeCell ref="A338:B338"/>
    <mergeCell ref="A339:B339"/>
    <mergeCell ref="A345:D345"/>
    <mergeCell ref="A347:D347"/>
    <mergeCell ref="E347:H347"/>
    <mergeCell ref="A349:D349"/>
    <mergeCell ref="E349:H349"/>
    <mergeCell ref="A353:B353"/>
    <mergeCell ref="A322:B322"/>
    <mergeCell ref="A323:B323"/>
    <mergeCell ref="A324:B324"/>
    <mergeCell ref="A325:B325"/>
    <mergeCell ref="A326:B326"/>
    <mergeCell ref="A330:B330"/>
    <mergeCell ref="A331:B331"/>
    <mergeCell ref="A332:B332"/>
    <mergeCell ref="A336:B336"/>
    <mergeCell ref="A313:B313"/>
    <mergeCell ref="A314:B314"/>
    <mergeCell ref="A315:B315"/>
    <mergeCell ref="A316:B316"/>
    <mergeCell ref="A317:B317"/>
    <mergeCell ref="A318:B318"/>
    <mergeCell ref="A319:B319"/>
    <mergeCell ref="A320:B320"/>
    <mergeCell ref="A321:B321"/>
    <mergeCell ref="A304:B304"/>
    <mergeCell ref="A305:B305"/>
    <mergeCell ref="A306:B306"/>
    <mergeCell ref="A307:B307"/>
    <mergeCell ref="A308:B308"/>
    <mergeCell ref="A309:B309"/>
    <mergeCell ref="A310:B310"/>
    <mergeCell ref="A311:B311"/>
    <mergeCell ref="A312:B312"/>
    <mergeCell ref="A292:D292"/>
    <mergeCell ref="A293:D293"/>
    <mergeCell ref="A297:B297"/>
    <mergeCell ref="A298:B298"/>
    <mergeCell ref="A299:B299"/>
    <mergeCell ref="A300:B300"/>
    <mergeCell ref="A301:B301"/>
    <mergeCell ref="A302:B302"/>
    <mergeCell ref="A303:B303"/>
    <mergeCell ref="A274:B274"/>
    <mergeCell ref="A275:B275"/>
    <mergeCell ref="A276:B276"/>
    <mergeCell ref="A277:B277"/>
    <mergeCell ref="A278:B278"/>
    <mergeCell ref="A285:D285"/>
    <mergeCell ref="A287:D287"/>
    <mergeCell ref="A290:D290"/>
    <mergeCell ref="A291:D291"/>
    <mergeCell ref="A282:B282"/>
    <mergeCell ref="A283:B283"/>
    <mergeCell ref="A284:B284"/>
    <mergeCell ref="A250:B250"/>
    <mergeCell ref="A251:B251"/>
    <mergeCell ref="A252:B252"/>
    <mergeCell ref="A253:B253"/>
    <mergeCell ref="A254:B254"/>
    <mergeCell ref="A255:B255"/>
    <mergeCell ref="A256:B256"/>
    <mergeCell ref="A257:B257"/>
    <mergeCell ref="A258:B258"/>
    <mergeCell ref="A224:B224"/>
    <mergeCell ref="A225:B225"/>
    <mergeCell ref="A237:D237"/>
    <mergeCell ref="A239:D239"/>
    <mergeCell ref="A242:D242"/>
    <mergeCell ref="A243:D243"/>
    <mergeCell ref="A244:D244"/>
    <mergeCell ref="A245:D245"/>
    <mergeCell ref="A249:B249"/>
    <mergeCell ref="A157:B157"/>
    <mergeCell ref="A158:B158"/>
    <mergeCell ref="A159:B159"/>
    <mergeCell ref="A160:B160"/>
    <mergeCell ref="A189:D189"/>
    <mergeCell ref="A191:D191"/>
    <mergeCell ref="A179:B179"/>
    <mergeCell ref="A180:B180"/>
    <mergeCell ref="A182:B182"/>
    <mergeCell ref="A186:B186"/>
    <mergeCell ref="A181:B181"/>
    <mergeCell ref="A51:D51"/>
    <mergeCell ref="A52:D52"/>
    <mergeCell ref="A141:D141"/>
    <mergeCell ref="A143:D143"/>
    <mergeCell ref="A146:D146"/>
    <mergeCell ref="A147:D147"/>
    <mergeCell ref="A148:D148"/>
    <mergeCell ref="A149:D149"/>
    <mergeCell ref="A153:B153"/>
    <mergeCell ref="A74:B74"/>
    <mergeCell ref="A82:B82"/>
    <mergeCell ref="A83:B83"/>
    <mergeCell ref="A75:B75"/>
    <mergeCell ref="A76:B76"/>
    <mergeCell ref="A66:B66"/>
    <mergeCell ref="A67:B67"/>
    <mergeCell ref="A68:B68"/>
    <mergeCell ref="A69:B69"/>
    <mergeCell ref="A70:B70"/>
    <mergeCell ref="A71:B71"/>
    <mergeCell ref="A101:D101"/>
    <mergeCell ref="A105:B105"/>
    <mergeCell ref="A106:B106"/>
    <mergeCell ref="A107:B107"/>
    <mergeCell ref="A266:B266"/>
    <mergeCell ref="A267:B267"/>
    <mergeCell ref="A268:B268"/>
    <mergeCell ref="A269:B269"/>
    <mergeCell ref="A270:B270"/>
    <mergeCell ref="A271:B271"/>
    <mergeCell ref="A272:B272"/>
    <mergeCell ref="A260:B260"/>
    <mergeCell ref="A261:B261"/>
    <mergeCell ref="A262:B262"/>
    <mergeCell ref="A263:B263"/>
    <mergeCell ref="A264:B264"/>
    <mergeCell ref="A265:B265"/>
    <mergeCell ref="A259:B259"/>
    <mergeCell ref="A273:B273"/>
    <mergeCell ref="A168:B168"/>
    <mergeCell ref="A169:B169"/>
    <mergeCell ref="A170:B170"/>
    <mergeCell ref="A171:B171"/>
    <mergeCell ref="A172:B172"/>
    <mergeCell ref="A173:B173"/>
    <mergeCell ref="A174:B174"/>
    <mergeCell ref="A175:B175"/>
    <mergeCell ref="A234:B234"/>
    <mergeCell ref="A235:B235"/>
    <mergeCell ref="A236:B236"/>
    <mergeCell ref="A229:B229"/>
    <mergeCell ref="A230:B230"/>
    <mergeCell ref="A209:B209"/>
    <mergeCell ref="A210:B210"/>
    <mergeCell ref="A211:B211"/>
    <mergeCell ref="A203:B203"/>
    <mergeCell ref="A204:B204"/>
    <mergeCell ref="A205:B205"/>
    <mergeCell ref="A206:B206"/>
    <mergeCell ref="A212:B212"/>
    <mergeCell ref="A178:B178"/>
    <mergeCell ref="A110:B110"/>
    <mergeCell ref="A111:B111"/>
    <mergeCell ref="A112:B112"/>
    <mergeCell ref="A90:B90"/>
    <mergeCell ref="A226:B226"/>
    <mergeCell ref="A227:B227"/>
    <mergeCell ref="A228:B228"/>
    <mergeCell ref="A176:B176"/>
    <mergeCell ref="A218:B218"/>
    <mergeCell ref="A219:B219"/>
    <mergeCell ref="A220:B220"/>
    <mergeCell ref="A221:B221"/>
    <mergeCell ref="A222:B222"/>
    <mergeCell ref="A223:B223"/>
    <mergeCell ref="A217:B217"/>
    <mergeCell ref="A177:B177"/>
    <mergeCell ref="A201:B201"/>
    <mergeCell ref="A202:B202"/>
    <mergeCell ref="A187:B187"/>
    <mergeCell ref="A188:B188"/>
    <mergeCell ref="A207:B207"/>
    <mergeCell ref="A208:B208"/>
    <mergeCell ref="A154:B154"/>
    <mergeCell ref="A155:B155"/>
    <mergeCell ref="A84:B84"/>
    <mergeCell ref="A85:B85"/>
    <mergeCell ref="A86:B86"/>
    <mergeCell ref="A91:B91"/>
    <mergeCell ref="A92:B92"/>
    <mergeCell ref="A113:B113"/>
    <mergeCell ref="A114:B114"/>
    <mergeCell ref="A115:B115"/>
    <mergeCell ref="A124:B124"/>
    <mergeCell ref="A93:D93"/>
    <mergeCell ref="A95:D95"/>
    <mergeCell ref="A98:D98"/>
    <mergeCell ref="A99:D99"/>
    <mergeCell ref="A100:D100"/>
    <mergeCell ref="A116:B116"/>
    <mergeCell ref="A117:B117"/>
    <mergeCell ref="A118:B118"/>
    <mergeCell ref="A119:B119"/>
    <mergeCell ref="A120:B120"/>
    <mergeCell ref="A121:B121"/>
    <mergeCell ref="A122:B122"/>
    <mergeCell ref="A123:B123"/>
    <mergeCell ref="A108:B108"/>
    <mergeCell ref="A109:B109"/>
    <mergeCell ref="A58:B58"/>
    <mergeCell ref="A59:B59"/>
    <mergeCell ref="A60:B60"/>
    <mergeCell ref="A77:B77"/>
    <mergeCell ref="A78:B78"/>
    <mergeCell ref="A65:B65"/>
    <mergeCell ref="A61:B61"/>
    <mergeCell ref="A62:B62"/>
    <mergeCell ref="A63:B63"/>
    <mergeCell ref="A64:B64"/>
    <mergeCell ref="A72:B72"/>
    <mergeCell ref="A73:B73"/>
    <mergeCell ref="C1:D1"/>
    <mergeCell ref="A10:D10"/>
    <mergeCell ref="A11:D11"/>
    <mergeCell ref="A13:B13"/>
    <mergeCell ref="A15:D15"/>
    <mergeCell ref="A19:D19"/>
    <mergeCell ref="A18:D18"/>
    <mergeCell ref="C7:D7"/>
    <mergeCell ref="C5:D5"/>
    <mergeCell ref="A8:D8"/>
    <mergeCell ref="C3:D3"/>
    <mergeCell ref="C2:D2"/>
    <mergeCell ref="C4:D4"/>
    <mergeCell ref="A125:B125"/>
    <mergeCell ref="A126:B126"/>
    <mergeCell ref="A138:B138"/>
    <mergeCell ref="A139:B139"/>
    <mergeCell ref="A140:B140"/>
    <mergeCell ref="A20:D20"/>
    <mergeCell ref="A37:D37"/>
    <mergeCell ref="A38:D38"/>
    <mergeCell ref="A39:D39"/>
    <mergeCell ref="A41:D41"/>
    <mergeCell ref="A42:D42"/>
    <mergeCell ref="A43:D43"/>
    <mergeCell ref="A21:D21"/>
    <mergeCell ref="A22:D22"/>
    <mergeCell ref="A23:D23"/>
    <mergeCell ref="A24:D24"/>
    <mergeCell ref="A79:B79"/>
    <mergeCell ref="A80:B80"/>
    <mergeCell ref="A81:B81"/>
    <mergeCell ref="A45:D45"/>
    <mergeCell ref="A47:D47"/>
    <mergeCell ref="A50:D50"/>
    <mergeCell ref="A53:D53"/>
    <mergeCell ref="A57:B57"/>
    <mergeCell ref="A213:B213"/>
    <mergeCell ref="A214:B214"/>
    <mergeCell ref="A215:B215"/>
    <mergeCell ref="A216:B216"/>
    <mergeCell ref="A127:B127"/>
    <mergeCell ref="A128:B128"/>
    <mergeCell ref="A161:B161"/>
    <mergeCell ref="A162:B162"/>
    <mergeCell ref="A163:B163"/>
    <mergeCell ref="A164:B164"/>
    <mergeCell ref="A165:B165"/>
    <mergeCell ref="A166:B166"/>
    <mergeCell ref="A129:B129"/>
    <mergeCell ref="A130:B130"/>
    <mergeCell ref="A131:B131"/>
    <mergeCell ref="A132:B132"/>
    <mergeCell ref="A133:B133"/>
    <mergeCell ref="A134:B134"/>
    <mergeCell ref="A167:B167"/>
    <mergeCell ref="A194:D194"/>
    <mergeCell ref="A195:D195"/>
    <mergeCell ref="A196:D196"/>
    <mergeCell ref="A197:D197"/>
    <mergeCell ref="A156:B156"/>
  </mergeCells>
  <dataValidations count="9">
    <dataValidation allowBlank="1" showInputMessage="1" showErrorMessage="1" sqref="I25:J34 E18:H34 A25:D34 B46:I46 B48:I49 B87:D89 A383:A387 A45:A53 D57:D86 D90:D92 H52:I89 A55:D56 G55:G56 B94:I94 B96:I97 B135:D137 A81:A101 D105:D134 D138:D140 H100:I137 A103:D104 G103:G104 B142:I142 B144:I145 B183:D185 A129:A149 D186:D188 H148:I185 A151:D152 G151:G152 B190:I190 B192:I193 B231:D233 A177:A197 D234:D236 H196:I233 A199:D200 G199:G200 B238:I238 B240:I241 B279:D281 A225:A245 D282:D284 H244:I281 A247:D248 G247:G248 B286:I286 B288:I289 B327:D329 A273:A293 A321:A332 D330:D332 H292:I329 A295:D296 G295:G296 A452:A464 C452:D456 C458:D459 C463:D464 D153:D182 D201:D230 D249:D278 D297:D326"/>
    <dataValidation type="list" allowBlank="1" showInputMessage="1" showErrorMessage="1" sqref="C13">
      <formula1>"1,2,3,4,5,6,7,8, 9, 10,11,12,13,14,15"</formula1>
    </dataValidation>
    <dataValidation type="list" allowBlank="1" showInputMessage="1" showErrorMessage="1" sqref="A19:D24">
      <formula1>Rate_Class</formula1>
    </dataValidation>
    <dataValidation type="list" allowBlank="1" showInputMessage="1" showErrorMessage="1" sqref="C90:C92 C249:C278 C138:C140 C57:C86 C186:C188 C105:C134 C234:C236 C153:C182 C282:C284 C201:C230 C330:C332 C297:C326">
      <formula1>Units</formula1>
    </dataValidation>
    <dataValidation type="list" showInputMessage="1" showErrorMessage="1" sqref="A249:A272 A57:A80 A105:A128 A153:A176 A201:A224 A297:A320">
      <formula1>Fixed_Charges</formula1>
    </dataValidation>
    <dataValidation type="list" allowBlank="1" showInputMessage="1" showErrorMessage="1" sqref="A471:A476">
      <formula1>LossFactors</formula1>
    </dataValidation>
    <dataValidation type="list" allowBlank="1" showInputMessage="1" showErrorMessage="1" sqref="A418:A433 A391:A410">
      <formula1>NonPayment</formula1>
    </dataValidation>
    <dataValidation type="list" allowBlank="1" showInputMessage="1" showErrorMessage="1" sqref="A353:A382">
      <formula1>CustomerAdministration</formula1>
    </dataValidation>
    <dataValidation type="list" allowBlank="1" showInputMessage="1" showErrorMessage="1" sqref="C418:C438 C353:C387 C391:C415">
      <formula1>"$,%"</formula1>
    </dataValidation>
  </dataValidations>
  <pageMargins left="0.7" right="0.7" top="0.75" bottom="0.75" header="0.3" footer="0.3"/>
  <pageSetup scale="6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5" r:id="rId4" name="Button 3">
              <controlPr defaultSize="0" print="0" autoFill="0" autoPict="0" macro="[0]!createCOStariff">
                <anchor moveWithCells="1">
                  <from>
                    <xdr:col>0</xdr:col>
                    <xdr:colOff>2466975</xdr:colOff>
                    <xdr:row>34</xdr:row>
                    <xdr:rowOff>476250</xdr:rowOff>
                  </from>
                  <to>
                    <xdr:col>1</xdr:col>
                    <xdr:colOff>104775</xdr:colOff>
                    <xdr:row>35</xdr:row>
                    <xdr:rowOff>47625</xdr:rowOff>
                  </to>
                </anchor>
              </controlPr>
            </control>
          </mc:Choice>
        </mc:AlternateContent>
        <mc:AlternateContent xmlns:mc="http://schemas.openxmlformats.org/markup-compatibility/2006">
          <mc:Choice Requires="x14">
            <control shapeId="105478" r:id="rId5" name="Button 6">
              <controlPr defaultSize="0" print="0" autoFill="0" autoPict="0" macro="[0]!AddNewFile">
                <anchor moveWithCells="1">
                  <from>
                    <xdr:col>1</xdr:col>
                    <xdr:colOff>523875</xdr:colOff>
                    <xdr:row>7</xdr:row>
                    <xdr:rowOff>47625</xdr:rowOff>
                  </from>
                  <to>
                    <xdr:col>3</xdr:col>
                    <xdr:colOff>571500</xdr:colOff>
                    <xdr:row>7</xdr:row>
                    <xdr:rowOff>323850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P491"/>
  <sheetViews>
    <sheetView topLeftCell="AB44" workbookViewId="0">
      <selection activeCell="AL88" sqref="AL1:AL88"/>
    </sheetView>
  </sheetViews>
  <sheetFormatPr defaultColWidth="9.140625" defaultRowHeight="15" x14ac:dyDescent="0.25"/>
  <cols>
    <col min="1" max="1" width="92.7109375" style="1174" bestFit="1" customWidth="1"/>
    <col min="2" max="8" width="9.140625" style="1174"/>
    <col min="9" max="9" width="132.140625" style="1174" bestFit="1" customWidth="1"/>
    <col min="10" max="10" width="9.140625" style="1174"/>
    <col min="11" max="11" width="2.28515625" style="1174" customWidth="1"/>
    <col min="12" max="12" width="59.140625" style="1174" bestFit="1" customWidth="1"/>
    <col min="13" max="19" width="9.140625" style="1174"/>
    <col min="20" max="20" width="9.140625" style="1243"/>
    <col min="21" max="22" width="9.140625" style="1174"/>
    <col min="23" max="23" width="35.42578125" style="1174" bestFit="1" customWidth="1"/>
    <col min="24" max="25" width="9.140625" style="1174"/>
    <col min="26" max="26" width="90.28515625" style="1174" bestFit="1" customWidth="1"/>
    <col min="27" max="27" width="110" style="1174" bestFit="1" customWidth="1"/>
    <col min="28" max="37" width="9.140625" style="1174"/>
    <col min="38" max="39" width="83" style="1174" bestFit="1" customWidth="1"/>
    <col min="40" max="40" width="9.140625" style="1174"/>
    <col min="41" max="41" width="63.85546875" style="1189" customWidth="1"/>
    <col min="42" max="42" width="9.140625" style="1174"/>
    <col min="43" max="43" width="105.7109375" style="1174" bestFit="1" customWidth="1"/>
    <col min="44" max="45" width="9.140625" style="1174"/>
    <col min="46" max="46" width="56.42578125" style="1174" customWidth="1"/>
    <col min="47" max="84" width="9.140625" style="1174"/>
    <col min="85" max="94" width="8.85546875" customWidth="1"/>
    <col min="95" max="16384" width="9.140625" style="1174"/>
  </cols>
  <sheetData>
    <row r="1" spans="1:81" ht="18" customHeight="1" x14ac:dyDescent="0.25">
      <c r="A1" s="1174" t="s">
        <v>1298</v>
      </c>
      <c r="B1" s="1174" t="s">
        <v>1299</v>
      </c>
      <c r="C1" s="1174">
        <f>COUNTA(B1:B17)</f>
        <v>4</v>
      </c>
      <c r="I1" s="1175" t="s">
        <v>29</v>
      </c>
      <c r="L1" s="1176" t="s">
        <v>164</v>
      </c>
      <c r="N1" s="1176" t="s">
        <v>1300</v>
      </c>
      <c r="O1" s="1176" t="s">
        <v>1301</v>
      </c>
      <c r="P1" s="1176" t="s">
        <v>1302</v>
      </c>
      <c r="T1" s="1177"/>
      <c r="Z1" s="1178" t="s">
        <v>1303</v>
      </c>
      <c r="AA1" s="1178" t="s">
        <v>1304</v>
      </c>
      <c r="AB1" s="1179" t="s">
        <v>1305</v>
      </c>
      <c r="AL1" s="1180" t="s">
        <v>437</v>
      </c>
      <c r="AM1" s="1180" t="s">
        <v>437</v>
      </c>
      <c r="AO1" s="1181" t="s">
        <v>1298</v>
      </c>
      <c r="AP1" s="1174" t="s">
        <v>115</v>
      </c>
      <c r="AT1" s="1182" t="s">
        <v>1306</v>
      </c>
      <c r="AU1" s="1183"/>
      <c r="AV1" s="1183"/>
      <c r="AW1" s="1184"/>
      <c r="AX1" s="1183"/>
      <c r="AY1" s="1183"/>
      <c r="AZ1" s="2342"/>
      <c r="BA1" s="2342"/>
      <c r="BB1" s="1184"/>
      <c r="BC1" s="1185"/>
      <c r="BD1" s="1185"/>
      <c r="BE1" s="1186"/>
      <c r="BU1" s="1187"/>
      <c r="BV1" s="1188"/>
    </row>
    <row r="2" spans="1:81" s="1189" customFormat="1" x14ac:dyDescent="0.25">
      <c r="A2" s="1174" t="s">
        <v>1307</v>
      </c>
      <c r="B2" s="1174" t="s">
        <v>1308</v>
      </c>
      <c r="C2" s="1174"/>
      <c r="D2" s="1174"/>
      <c r="E2" s="1174"/>
      <c r="F2" s="1174"/>
      <c r="G2" s="1174"/>
      <c r="H2" s="1174"/>
      <c r="I2" s="1175" t="s">
        <v>1309</v>
      </c>
      <c r="K2" s="1174"/>
      <c r="L2" s="1179" t="s">
        <v>1310</v>
      </c>
      <c r="M2" s="1174"/>
      <c r="N2" s="1174" t="s">
        <v>229</v>
      </c>
      <c r="O2" s="1174" t="s">
        <v>1311</v>
      </c>
      <c r="P2" s="1174" t="s">
        <v>229</v>
      </c>
      <c r="Q2" s="1174"/>
      <c r="R2" s="1174"/>
      <c r="T2" s="1177"/>
      <c r="U2" s="1174"/>
      <c r="V2" s="1174"/>
      <c r="W2" s="1190"/>
      <c r="X2" s="1190"/>
      <c r="Y2" s="1190"/>
      <c r="Z2" s="1178" t="s">
        <v>1312</v>
      </c>
      <c r="AA2" s="1178" t="s">
        <v>1313</v>
      </c>
      <c r="AB2" s="1179" t="s">
        <v>1310</v>
      </c>
      <c r="AC2" s="1190"/>
      <c r="AD2" s="1190"/>
      <c r="AE2" s="1190"/>
      <c r="AF2" s="1190"/>
      <c r="AG2" s="1190"/>
      <c r="AH2" s="1190"/>
      <c r="AI2" s="1190"/>
      <c r="AJ2" s="1190"/>
      <c r="AK2" s="1190"/>
      <c r="AL2" s="1180" t="s">
        <v>438</v>
      </c>
      <c r="AM2" s="1180" t="s">
        <v>438</v>
      </c>
      <c r="AN2" s="1190"/>
      <c r="AO2" s="1191" t="s">
        <v>1307</v>
      </c>
      <c r="AP2" s="1174" t="s">
        <v>115</v>
      </c>
      <c r="AS2" s="1190"/>
      <c r="AT2" s="1192" t="s">
        <v>1314</v>
      </c>
      <c r="AU2" s="1193"/>
      <c r="AV2" s="1194"/>
      <c r="AW2" s="1195">
        <f>AU2*AV2</f>
        <v>0</v>
      </c>
      <c r="AX2" s="1193">
        <f t="shared" ref="AX2:AY4" si="0">AU2</f>
        <v>0</v>
      </c>
      <c r="AY2" s="1196">
        <f t="shared" si="0"/>
        <v>0</v>
      </c>
      <c r="AZ2" s="2343">
        <f>AX2*AY2</f>
        <v>0</v>
      </c>
      <c r="BA2" s="2343"/>
      <c r="BB2" s="1197">
        <f>AZ2-AW2</f>
        <v>0</v>
      </c>
      <c r="BC2" s="1198" t="e">
        <f>BB2/AW2</f>
        <v>#DIV/0!</v>
      </c>
      <c r="BD2" s="1198"/>
      <c r="BE2" s="1199"/>
      <c r="BF2" s="1190"/>
      <c r="BG2" s="1190"/>
      <c r="BH2" s="1190"/>
      <c r="BI2" s="1190"/>
      <c r="BJ2" s="1190"/>
      <c r="BK2" s="1190"/>
      <c r="BL2" s="1190"/>
      <c r="BM2" s="1190"/>
      <c r="BN2" s="1190"/>
      <c r="BO2" s="1190"/>
      <c r="BP2" s="1190"/>
      <c r="BQ2" s="1190"/>
      <c r="BR2" s="1190"/>
      <c r="BS2" s="1190"/>
      <c r="BT2" s="1190"/>
      <c r="BU2" s="1174"/>
      <c r="BV2" s="1188"/>
      <c r="BW2" s="1190"/>
      <c r="BX2" s="1190"/>
      <c r="BY2" s="1190"/>
      <c r="BZ2" s="1190"/>
      <c r="CA2" s="1190"/>
      <c r="CB2" s="1190"/>
      <c r="CC2" s="1190"/>
    </row>
    <row r="3" spans="1:81" x14ac:dyDescent="0.25">
      <c r="A3" s="1174" t="s">
        <v>1307</v>
      </c>
      <c r="B3" s="1174" t="s">
        <v>1315</v>
      </c>
      <c r="I3" s="1175" t="s">
        <v>1316</v>
      </c>
      <c r="L3" s="1179" t="s">
        <v>1317</v>
      </c>
      <c r="N3" s="1174" t="s">
        <v>1311</v>
      </c>
      <c r="O3" s="1174" t="s">
        <v>1318</v>
      </c>
      <c r="P3" s="1174" t="s">
        <v>230</v>
      </c>
      <c r="T3" s="1177"/>
      <c r="W3" s="1174" t="s">
        <v>1319</v>
      </c>
      <c r="Z3" s="1178" t="s">
        <v>1320</v>
      </c>
      <c r="AA3" s="1178" t="s">
        <v>1321</v>
      </c>
      <c r="AB3" s="1179" t="s">
        <v>1317</v>
      </c>
      <c r="AL3" s="1180" t="s">
        <v>1322</v>
      </c>
      <c r="AM3" s="1180" t="s">
        <v>1322</v>
      </c>
      <c r="AO3" s="1181" t="s">
        <v>1307</v>
      </c>
      <c r="AP3" s="1174" t="s">
        <v>115</v>
      </c>
      <c r="AT3" s="1192" t="s">
        <v>1263</v>
      </c>
      <c r="AU3" s="1193"/>
      <c r="AV3" s="1194"/>
      <c r="AW3" s="1195">
        <f>AU3*AV3</f>
        <v>0</v>
      </c>
      <c r="AX3" s="1193">
        <f t="shared" si="0"/>
        <v>0</v>
      </c>
      <c r="AY3" s="1196">
        <f t="shared" si="0"/>
        <v>0</v>
      </c>
      <c r="AZ3" s="2343">
        <f>AX3*AY3</f>
        <v>0</v>
      </c>
      <c r="BA3" s="2343"/>
      <c r="BB3" s="1197">
        <f>AZ3-AW3</f>
        <v>0</v>
      </c>
      <c r="BC3" s="1198" t="e">
        <f>BB3/AW3</f>
        <v>#DIV/0!</v>
      </c>
      <c r="BD3" s="1198"/>
      <c r="BE3" s="1199"/>
      <c r="BU3" s="1187"/>
      <c r="BV3" s="1188"/>
    </row>
    <row r="4" spans="1:81" x14ac:dyDescent="0.25">
      <c r="A4" s="1174" t="s">
        <v>1323</v>
      </c>
      <c r="B4" s="1174" t="s">
        <v>1324</v>
      </c>
      <c r="I4" s="1175" t="s">
        <v>1325</v>
      </c>
      <c r="L4" s="1179" t="s">
        <v>1326</v>
      </c>
      <c r="N4" s="1174" t="s">
        <v>1318</v>
      </c>
      <c r="O4" s="1174" t="s">
        <v>1327</v>
      </c>
      <c r="T4" s="1177"/>
      <c r="W4" s="1174" t="s">
        <v>1328</v>
      </c>
      <c r="Z4" s="1178" t="s">
        <v>1304</v>
      </c>
      <c r="AA4" s="1178" t="s">
        <v>1329</v>
      </c>
      <c r="AB4" s="1179" t="s">
        <v>1326</v>
      </c>
      <c r="AL4" s="1180" t="s">
        <v>1330</v>
      </c>
      <c r="AM4" s="1180" t="s">
        <v>1330</v>
      </c>
      <c r="AO4" s="1181" t="s">
        <v>1323</v>
      </c>
      <c r="AP4" s="1174" t="s">
        <v>114</v>
      </c>
      <c r="AT4" s="1192" t="s">
        <v>1331</v>
      </c>
      <c r="AU4" s="1200"/>
      <c r="AV4" s="1193"/>
      <c r="AW4" s="1195">
        <f>AU4*AV4</f>
        <v>0</v>
      </c>
      <c r="AX4" s="1200">
        <f t="shared" si="0"/>
        <v>0</v>
      </c>
      <c r="AY4" s="1201">
        <f t="shared" si="0"/>
        <v>0</v>
      </c>
      <c r="AZ4" s="2343">
        <f>AX4*AY4</f>
        <v>0</v>
      </c>
      <c r="BA4" s="2343"/>
      <c r="BB4" s="1197">
        <f>AZ4-AW4</f>
        <v>0</v>
      </c>
      <c r="BC4" s="1198" t="e">
        <f>BB4/AW4</f>
        <v>#DIV/0!</v>
      </c>
      <c r="BD4" s="1198"/>
      <c r="BE4" s="1199"/>
      <c r="BV4" s="1188"/>
    </row>
    <row r="5" spans="1:81" x14ac:dyDescent="0.25">
      <c r="A5" s="1174" t="s">
        <v>1332</v>
      </c>
      <c r="I5" s="1175" t="s">
        <v>1333</v>
      </c>
      <c r="L5" s="1179" t="s">
        <v>1334</v>
      </c>
      <c r="N5" s="1174" t="s">
        <v>1327</v>
      </c>
      <c r="T5" s="1177"/>
      <c r="W5" s="1174" t="s">
        <v>1335</v>
      </c>
      <c r="Z5" s="1178" t="s">
        <v>1336</v>
      </c>
      <c r="AA5" s="1178" t="s">
        <v>1337</v>
      </c>
      <c r="AB5" s="1179" t="s">
        <v>1334</v>
      </c>
      <c r="AL5" s="1180" t="s">
        <v>1338</v>
      </c>
      <c r="AM5" s="1180" t="s">
        <v>1338</v>
      </c>
      <c r="AO5" s="1181" t="s">
        <v>1332</v>
      </c>
      <c r="AP5" s="1174" t="s">
        <v>114</v>
      </c>
      <c r="AT5" s="1182" t="s">
        <v>1339</v>
      </c>
      <c r="AU5" s="1183"/>
      <c r="AV5" s="1183"/>
      <c r="AW5" s="1184">
        <f>SUM(AW2:AW4)</f>
        <v>0</v>
      </c>
      <c r="AX5" s="1183"/>
      <c r="AY5" s="1183"/>
      <c r="AZ5" s="2342">
        <f>SUM(AZ2:BA4)</f>
        <v>0</v>
      </c>
      <c r="BA5" s="2342"/>
      <c r="BB5" s="1184">
        <f>AZ5-AW5</f>
        <v>0</v>
      </c>
      <c r="BC5" s="1202" t="e">
        <f>BB5/AW5</f>
        <v>#DIV/0!</v>
      </c>
      <c r="BD5" s="1185"/>
      <c r="BE5" s="1186"/>
      <c r="BV5" s="1188"/>
    </row>
    <row r="6" spans="1:81" x14ac:dyDescent="0.25">
      <c r="A6" s="1174" t="s">
        <v>1340</v>
      </c>
      <c r="I6" s="1175" t="s">
        <v>1341</v>
      </c>
      <c r="L6" s="1179" t="s">
        <v>1289</v>
      </c>
      <c r="T6" s="1177"/>
      <c r="W6" s="1174" t="s">
        <v>1342</v>
      </c>
      <c r="Z6" s="1178" t="s">
        <v>1343</v>
      </c>
      <c r="AA6" s="1178" t="s">
        <v>1344</v>
      </c>
      <c r="AB6" s="1179" t="s">
        <v>1289</v>
      </c>
      <c r="AL6" s="1180" t="s">
        <v>442</v>
      </c>
      <c r="AM6" s="1180" t="s">
        <v>442</v>
      </c>
      <c r="AO6" s="1181" t="s">
        <v>1340</v>
      </c>
      <c r="AP6" s="1174" t="s">
        <v>115</v>
      </c>
      <c r="AT6" s="1203" t="s">
        <v>35</v>
      </c>
      <c r="AU6" s="1193"/>
      <c r="AV6" s="1204"/>
      <c r="AW6" s="1195">
        <f>AU6*AV6</f>
        <v>0</v>
      </c>
      <c r="AX6" s="1193">
        <f>AU6</f>
        <v>0</v>
      </c>
      <c r="AY6" s="1196">
        <f>AV6</f>
        <v>0</v>
      </c>
      <c r="AZ6" s="2344">
        <f>AX6*AY6</f>
        <v>0</v>
      </c>
      <c r="BA6" s="2344"/>
      <c r="BB6" s="1197">
        <f>AZ6-AW6</f>
        <v>0</v>
      </c>
      <c r="BC6" s="1198" t="e">
        <f>BB6/AW6</f>
        <v>#DIV/0!</v>
      </c>
      <c r="BD6" s="1205"/>
      <c r="BE6" s="1206"/>
      <c r="BV6" s="1188"/>
    </row>
    <row r="7" spans="1:81" x14ac:dyDescent="0.25">
      <c r="A7" s="1174" t="s">
        <v>1345</v>
      </c>
      <c r="I7" s="1175" t="s">
        <v>1346</v>
      </c>
      <c r="L7" s="1207"/>
      <c r="T7" s="1177"/>
      <c r="Z7" s="1178"/>
      <c r="AA7" s="1178"/>
      <c r="AL7" s="1180" t="s">
        <v>443</v>
      </c>
      <c r="AM7" s="1180" t="s">
        <v>443</v>
      </c>
      <c r="AO7" s="1181" t="s">
        <v>1345</v>
      </c>
      <c r="AP7" s="1174" t="s">
        <v>115</v>
      </c>
      <c r="AT7" s="1208"/>
      <c r="AU7" s="1209"/>
      <c r="AV7" s="1209"/>
      <c r="AW7" s="1210"/>
      <c r="AX7" s="1209"/>
      <c r="AY7" s="1209"/>
      <c r="AZ7" s="2340"/>
      <c r="BA7" s="2341"/>
      <c r="BB7" s="1211"/>
      <c r="BC7" s="1212"/>
      <c r="BD7" s="1213"/>
      <c r="BE7" s="1214"/>
      <c r="BU7" s="1187"/>
      <c r="BV7" s="1188"/>
    </row>
    <row r="8" spans="1:81" x14ac:dyDescent="0.25">
      <c r="A8" s="1174" t="s">
        <v>1347</v>
      </c>
      <c r="I8" s="1175" t="s">
        <v>1348</v>
      </c>
      <c r="L8" s="1179" t="s">
        <v>1349</v>
      </c>
      <c r="T8" s="1177"/>
      <c r="W8" s="1174" t="s">
        <v>1350</v>
      </c>
      <c r="Z8" s="1178" t="s">
        <v>1351</v>
      </c>
      <c r="AA8" s="1178" t="s">
        <v>1352</v>
      </c>
      <c r="AB8" s="1179" t="s">
        <v>1349</v>
      </c>
      <c r="AL8" s="1180" t="s">
        <v>1353</v>
      </c>
      <c r="AM8" s="1180" t="s">
        <v>1353</v>
      </c>
      <c r="AO8" s="1181" t="s">
        <v>1347</v>
      </c>
      <c r="AP8" s="1174" t="s">
        <v>115</v>
      </c>
      <c r="AT8" s="1203" t="s">
        <v>1354</v>
      </c>
      <c r="AU8" s="1215"/>
      <c r="AV8" s="1215"/>
      <c r="AW8" s="1197"/>
      <c r="AX8" s="1216"/>
      <c r="AY8" s="1216"/>
      <c r="AZ8" s="2337"/>
      <c r="BA8" s="2337"/>
      <c r="BB8" s="1197">
        <f>AZ8-AW8</f>
        <v>0</v>
      </c>
      <c r="BC8" s="1198"/>
      <c r="BD8" s="1198"/>
      <c r="BE8" s="1199"/>
      <c r="BV8" s="1188"/>
    </row>
    <row r="9" spans="1:81" x14ac:dyDescent="0.25">
      <c r="A9" s="1174" t="s">
        <v>1355</v>
      </c>
      <c r="I9" s="1175" t="s">
        <v>705</v>
      </c>
      <c r="L9" s="1207" t="s">
        <v>1356</v>
      </c>
      <c r="T9" s="1177"/>
      <c r="W9" s="1174" t="s">
        <v>1357</v>
      </c>
      <c r="Z9" s="1178" t="s">
        <v>1358</v>
      </c>
      <c r="AA9" s="1178" t="s">
        <v>1359</v>
      </c>
      <c r="AL9" s="1180" t="s">
        <v>1360</v>
      </c>
      <c r="AM9" s="1180" t="s">
        <v>1361</v>
      </c>
      <c r="AO9" s="1181" t="s">
        <v>1355</v>
      </c>
      <c r="AP9" s="1174" t="s">
        <v>115</v>
      </c>
      <c r="AT9" s="1217" t="s">
        <v>36</v>
      </c>
      <c r="AU9" s="1218"/>
      <c r="AV9" s="1219"/>
      <c r="AW9" s="1197">
        <f>AV9*AW8</f>
        <v>0</v>
      </c>
      <c r="AX9" s="1218"/>
      <c r="AY9" s="1219">
        <f>AV9</f>
        <v>0</v>
      </c>
      <c r="AZ9" s="2337">
        <f>AY9*AZ8</f>
        <v>0</v>
      </c>
      <c r="BA9" s="2337"/>
      <c r="BB9" s="1197">
        <f>AZ9-AW9</f>
        <v>0</v>
      </c>
      <c r="BC9" s="1198" t="e">
        <f>BB9/AW9</f>
        <v>#DIV/0!</v>
      </c>
      <c r="BD9" s="1198"/>
      <c r="BE9" s="1199"/>
      <c r="BU9" s="1187"/>
      <c r="BV9" s="1188"/>
    </row>
    <row r="10" spans="1:81" x14ac:dyDescent="0.25">
      <c r="A10" s="1174" t="s">
        <v>1362</v>
      </c>
      <c r="I10" s="1175" t="s">
        <v>1363</v>
      </c>
      <c r="L10" s="1207" t="s">
        <v>1364</v>
      </c>
      <c r="T10" s="1177"/>
      <c r="W10" s="1174" t="s">
        <v>1365</v>
      </c>
      <c r="Z10" s="1178" t="s">
        <v>1366</v>
      </c>
      <c r="AA10" s="1178" t="s">
        <v>1367</v>
      </c>
      <c r="AL10" s="1180" t="s">
        <v>446</v>
      </c>
      <c r="AM10" s="1180" t="s">
        <v>1368</v>
      </c>
      <c r="AO10" s="1181" t="s">
        <v>1362</v>
      </c>
      <c r="AP10" s="1174" t="s">
        <v>115</v>
      </c>
      <c r="AT10" s="1217" t="s">
        <v>1369</v>
      </c>
      <c r="AU10" s="1220"/>
      <c r="AV10" s="1220"/>
      <c r="AW10" s="1197">
        <f>AW9+AW8</f>
        <v>0</v>
      </c>
      <c r="AX10" s="1220"/>
      <c r="AY10" s="1220"/>
      <c r="AZ10" s="2337">
        <f>AZ9+AZ8</f>
        <v>0</v>
      </c>
      <c r="BA10" s="2337"/>
      <c r="BB10" s="1197">
        <f>AZ10-AW10</f>
        <v>0</v>
      </c>
      <c r="BC10" s="1198" t="e">
        <f>BB10/AW10</f>
        <v>#DIV/0!</v>
      </c>
      <c r="BD10" s="1198"/>
      <c r="BE10" s="1199"/>
      <c r="BV10" s="1188"/>
    </row>
    <row r="11" spans="1:81" x14ac:dyDescent="0.25">
      <c r="A11" s="1174" t="s">
        <v>1370</v>
      </c>
      <c r="I11" s="1175" t="s">
        <v>1371</v>
      </c>
      <c r="L11" s="1207" t="s">
        <v>1372</v>
      </c>
      <c r="T11" s="1177"/>
      <c r="W11" s="1174" t="s">
        <v>1373</v>
      </c>
      <c r="Z11" s="1178" t="s">
        <v>1374</v>
      </c>
      <c r="AA11" s="1178" t="s">
        <v>1366</v>
      </c>
      <c r="AL11" s="1180" t="s">
        <v>447</v>
      </c>
      <c r="AM11" s="1180" t="s">
        <v>1375</v>
      </c>
      <c r="AO11" s="1181" t="s">
        <v>1370</v>
      </c>
      <c r="AP11" s="1174" t="s">
        <v>115</v>
      </c>
      <c r="AT11" s="1217" t="s">
        <v>1376</v>
      </c>
      <c r="AU11" s="1215"/>
      <c r="AV11" s="1221"/>
      <c r="AW11" s="1222">
        <f>-0.1*AW10</f>
        <v>0</v>
      </c>
      <c r="AX11" s="1216"/>
      <c r="AY11" s="1223">
        <f>AV11</f>
        <v>0</v>
      </c>
      <c r="AZ11" s="2338">
        <f>-0.1*AZ10</f>
        <v>0</v>
      </c>
      <c r="BA11" s="2338"/>
      <c r="BB11" s="1197">
        <f>AZ11-AW11</f>
        <v>0</v>
      </c>
      <c r="BC11" s="1198" t="e">
        <f>BB11/AW11</f>
        <v>#DIV/0!</v>
      </c>
      <c r="BD11" s="1198"/>
      <c r="BE11" s="1199"/>
      <c r="BV11" s="1188"/>
    </row>
    <row r="12" spans="1:81" ht="15.75" thickBot="1" x14ac:dyDescent="0.3">
      <c r="A12" s="1174" t="s">
        <v>1377</v>
      </c>
      <c r="I12" s="1175" t="s">
        <v>1378</v>
      </c>
      <c r="L12" s="1207" t="s">
        <v>1379</v>
      </c>
      <c r="T12" s="1177"/>
      <c r="W12" s="1174" t="s">
        <v>1380</v>
      </c>
      <c r="Z12" s="1178" t="s">
        <v>1381</v>
      </c>
      <c r="AA12" s="1178" t="s">
        <v>1382</v>
      </c>
      <c r="AL12" s="1180" t="s">
        <v>1383</v>
      </c>
      <c r="AM12" s="1180" t="s">
        <v>446</v>
      </c>
      <c r="AO12" s="1181" t="s">
        <v>1377</v>
      </c>
      <c r="AP12" s="1174" t="s">
        <v>115</v>
      </c>
      <c r="AT12" s="1224" t="s">
        <v>687</v>
      </c>
      <c r="AU12" s="1225"/>
      <c r="AV12" s="1225"/>
      <c r="AW12" s="1226">
        <f>AW10+AW11</f>
        <v>0</v>
      </c>
      <c r="AX12" s="1225"/>
      <c r="AY12" s="1225"/>
      <c r="AZ12" s="2339">
        <f>AZ10+AZ11</f>
        <v>0</v>
      </c>
      <c r="BA12" s="2339"/>
      <c r="BB12" s="1227">
        <f>AZ12-AW12</f>
        <v>0</v>
      </c>
      <c r="BC12" s="1228" t="e">
        <f>BB12/AW12</f>
        <v>#DIV/0!</v>
      </c>
      <c r="BD12" s="1229"/>
      <c r="BE12" s="1230"/>
      <c r="BU12" s="1187"/>
      <c r="BV12" s="1188"/>
    </row>
    <row r="13" spans="1:81" x14ac:dyDescent="0.25">
      <c r="A13" s="1174" t="s">
        <v>1384</v>
      </c>
      <c r="I13" s="1175" t="s">
        <v>1385</v>
      </c>
      <c r="L13" s="1207"/>
      <c r="T13" s="1177"/>
      <c r="Z13" s="1178"/>
      <c r="AA13" s="1178"/>
      <c r="AL13" s="1180" t="s">
        <v>1386</v>
      </c>
      <c r="AM13" s="1180" t="s">
        <v>447</v>
      </c>
      <c r="AO13" s="1181" t="s">
        <v>1384</v>
      </c>
      <c r="AP13" s="1174" t="s">
        <v>115</v>
      </c>
      <c r="AT13" s="1208"/>
      <c r="AU13" s="1209"/>
      <c r="AV13" s="1209"/>
      <c r="AW13" s="1210"/>
      <c r="AX13" s="1209"/>
      <c r="AY13" s="1209"/>
      <c r="AZ13" s="2340"/>
      <c r="BA13" s="2341"/>
      <c r="BB13" s="1211"/>
      <c r="BC13" s="1212"/>
      <c r="BD13" s="1213"/>
      <c r="BE13" s="1214"/>
      <c r="BU13" s="1187"/>
      <c r="BV13" s="1188"/>
    </row>
    <row r="14" spans="1:81" x14ac:dyDescent="0.25">
      <c r="A14" s="1174" t="s">
        <v>1387</v>
      </c>
      <c r="I14" s="1175" t="s">
        <v>1388</v>
      </c>
      <c r="L14" s="1207" t="s">
        <v>1389</v>
      </c>
      <c r="T14" s="1177"/>
      <c r="W14" s="1174" t="s">
        <v>1390</v>
      </c>
      <c r="Z14" s="1178" t="s">
        <v>1391</v>
      </c>
      <c r="AA14" s="1178" t="s">
        <v>1392</v>
      </c>
      <c r="AL14" s="1180" t="s">
        <v>449</v>
      </c>
      <c r="AM14" s="1180" t="s">
        <v>1383</v>
      </c>
      <c r="AO14" s="1181" t="s">
        <v>1387</v>
      </c>
      <c r="AP14" s="1174" t="s">
        <v>115</v>
      </c>
      <c r="AT14" s="1203" t="s">
        <v>1393</v>
      </c>
      <c r="AU14" s="1215"/>
      <c r="AV14" s="1215"/>
      <c r="AW14" s="1197"/>
      <c r="AX14" s="1216"/>
      <c r="AY14" s="1216"/>
      <c r="AZ14" s="2337"/>
      <c r="BA14" s="2337"/>
      <c r="BB14" s="1197">
        <f>AZ14-AW14</f>
        <v>0</v>
      </c>
      <c r="BC14" s="1198"/>
      <c r="BD14" s="1198"/>
      <c r="BE14" s="1199"/>
      <c r="BV14" s="1188"/>
    </row>
    <row r="15" spans="1:81" x14ac:dyDescent="0.25">
      <c r="A15" s="1174" t="s">
        <v>1394</v>
      </c>
      <c r="I15" s="1175" t="s">
        <v>1395</v>
      </c>
      <c r="L15" s="1179" t="s">
        <v>1305</v>
      </c>
      <c r="T15" s="1177"/>
      <c r="W15" s="1174" t="s">
        <v>1396</v>
      </c>
      <c r="Z15" s="1178" t="s">
        <v>1397</v>
      </c>
      <c r="AA15" s="1178" t="s">
        <v>1398</v>
      </c>
      <c r="AL15" s="1180" t="s">
        <v>450</v>
      </c>
      <c r="AM15" s="1180" t="s">
        <v>1386</v>
      </c>
      <c r="AO15" s="1181" t="s">
        <v>1394</v>
      </c>
      <c r="AP15" s="1174" t="s">
        <v>115</v>
      </c>
      <c r="AT15" s="1217" t="s">
        <v>36</v>
      </c>
      <c r="AU15" s="1218"/>
      <c r="AV15" s="1219"/>
      <c r="AW15" s="1197">
        <f>AV15*AW14</f>
        <v>0</v>
      </c>
      <c r="AX15" s="1218"/>
      <c r="AY15" s="1219">
        <f>AV15</f>
        <v>0</v>
      </c>
      <c r="AZ15" s="2337">
        <f>AY15*AZ14</f>
        <v>0</v>
      </c>
      <c r="BA15" s="2337"/>
      <c r="BB15" s="1197">
        <f>AZ15-AW15</f>
        <v>0</v>
      </c>
      <c r="BC15" s="1198" t="e">
        <f>BB15/AW15</f>
        <v>#DIV/0!</v>
      </c>
      <c r="BD15" s="1198"/>
      <c r="BE15" s="1199"/>
      <c r="BV15" s="1188"/>
    </row>
    <row r="16" spans="1:81" x14ac:dyDescent="0.25">
      <c r="A16" s="1174" t="s">
        <v>1399</v>
      </c>
      <c r="I16" s="1175" t="s">
        <v>1400</v>
      </c>
      <c r="T16" s="1177"/>
      <c r="W16" s="1174" t="s">
        <v>1401</v>
      </c>
      <c r="Z16" s="1178" t="s">
        <v>1402</v>
      </c>
      <c r="AA16" s="1178" t="s">
        <v>1403</v>
      </c>
      <c r="AL16" s="1180" t="s">
        <v>451</v>
      </c>
      <c r="AM16" s="1180" t="s">
        <v>449</v>
      </c>
      <c r="AO16" s="1181" t="s">
        <v>1399</v>
      </c>
      <c r="AP16" s="1174" t="s">
        <v>115</v>
      </c>
      <c r="AT16" s="1217" t="s">
        <v>1369</v>
      </c>
      <c r="AU16" s="1220"/>
      <c r="AV16" s="1220"/>
      <c r="AW16" s="1197">
        <f>AW15+AW14</f>
        <v>0</v>
      </c>
      <c r="AX16" s="1220"/>
      <c r="AY16" s="1220"/>
      <c r="AZ16" s="2337">
        <f>AZ15+AZ14</f>
        <v>0</v>
      </c>
      <c r="BA16" s="2337"/>
      <c r="BB16" s="1197">
        <f>AZ16-AW16</f>
        <v>0</v>
      </c>
      <c r="BC16" s="1198" t="e">
        <f>BB16/AW16</f>
        <v>#DIV/0!</v>
      </c>
      <c r="BD16" s="1198"/>
      <c r="BE16" s="1199"/>
      <c r="BV16" s="1188"/>
    </row>
    <row r="17" spans="1:74" x14ac:dyDescent="0.25">
      <c r="A17" s="1174" t="s">
        <v>1404</v>
      </c>
      <c r="I17" s="1175" t="s">
        <v>1405</v>
      </c>
      <c r="T17" s="1177"/>
      <c r="W17" s="1174" t="s">
        <v>1406</v>
      </c>
      <c r="Z17" s="1178" t="s">
        <v>1407</v>
      </c>
      <c r="AA17" s="1178" t="s">
        <v>1408</v>
      </c>
      <c r="AL17" s="1231" t="s">
        <v>452</v>
      </c>
      <c r="AM17" s="1180" t="s">
        <v>450</v>
      </c>
      <c r="AO17" s="1181" t="s">
        <v>1404</v>
      </c>
      <c r="AP17" s="1174" t="s">
        <v>115</v>
      </c>
      <c r="AT17" s="1217" t="s">
        <v>1376</v>
      </c>
      <c r="AU17" s="1215"/>
      <c r="AV17" s="1221"/>
      <c r="AW17" s="1222">
        <f>-0.1*AW16</f>
        <v>0</v>
      </c>
      <c r="AX17" s="1216"/>
      <c r="AY17" s="1223">
        <f>AV17</f>
        <v>0</v>
      </c>
      <c r="AZ17" s="2338">
        <f>-0.1*AZ16</f>
        <v>0</v>
      </c>
      <c r="BA17" s="2338"/>
      <c r="BB17" s="1197">
        <f>AZ17-AW17</f>
        <v>0</v>
      </c>
      <c r="BC17" s="1198" t="e">
        <f>BB17/AW17</f>
        <v>#DIV/0!</v>
      </c>
      <c r="BD17" s="1198"/>
      <c r="BE17" s="1199"/>
      <c r="BU17" s="1187"/>
      <c r="BV17" s="1188"/>
    </row>
    <row r="18" spans="1:74" ht="15.75" thickBot="1" x14ac:dyDescent="0.3">
      <c r="A18" s="1174" t="s">
        <v>1409</v>
      </c>
      <c r="I18" s="1175" t="s">
        <v>1410</v>
      </c>
      <c r="T18" s="1177"/>
      <c r="W18" s="1174" t="s">
        <v>1411</v>
      </c>
      <c r="Z18" s="1178" t="s">
        <v>1412</v>
      </c>
      <c r="AA18" s="1178" t="s">
        <v>1413</v>
      </c>
      <c r="AL18" s="1180" t="s">
        <v>453</v>
      </c>
      <c r="AM18" s="1180" t="s">
        <v>451</v>
      </c>
      <c r="AO18" s="1181" t="s">
        <v>1409</v>
      </c>
      <c r="AP18" s="1174" t="s">
        <v>115</v>
      </c>
      <c r="AT18" s="1224" t="s">
        <v>686</v>
      </c>
      <c r="AU18" s="1225"/>
      <c r="AV18" s="1225"/>
      <c r="AW18" s="1226">
        <f>AW16+AW17</f>
        <v>0</v>
      </c>
      <c r="AX18" s="1225"/>
      <c r="AY18" s="1225"/>
      <c r="AZ18" s="2339">
        <f>AZ16+AZ17</f>
        <v>0</v>
      </c>
      <c r="BA18" s="2339"/>
      <c r="BB18" s="1227">
        <f>AZ18-AW18</f>
        <v>0</v>
      </c>
      <c r="BC18" s="1228" t="e">
        <f>BB18/AW18</f>
        <v>#DIV/0!</v>
      </c>
      <c r="BD18" s="1229"/>
      <c r="BE18" s="1230"/>
      <c r="BV18" s="1188"/>
    </row>
    <row r="19" spans="1:74" x14ac:dyDescent="0.25">
      <c r="A19" s="1174" t="s">
        <v>1414</v>
      </c>
      <c r="I19" s="1175" t="s">
        <v>1415</v>
      </c>
      <c r="T19" s="1177"/>
      <c r="W19" s="1174" t="s">
        <v>1416</v>
      </c>
      <c r="Z19" s="1178" t="s">
        <v>1417</v>
      </c>
      <c r="AA19" s="1178" t="s">
        <v>1418</v>
      </c>
      <c r="AL19" s="1180" t="s">
        <v>1419</v>
      </c>
      <c r="AM19" s="1231" t="s">
        <v>1420</v>
      </c>
      <c r="AO19" s="1181" t="s">
        <v>1414</v>
      </c>
      <c r="AP19" s="1174" t="s">
        <v>115</v>
      </c>
      <c r="BV19" s="1188"/>
    </row>
    <row r="20" spans="1:74" x14ac:dyDescent="0.25">
      <c r="A20" s="1174" t="s">
        <v>1421</v>
      </c>
      <c r="I20" s="1175" t="s">
        <v>1422</v>
      </c>
      <c r="T20" s="1177"/>
      <c r="W20" s="1174" t="s">
        <v>1423</v>
      </c>
      <c r="Z20" s="1232" t="s">
        <v>1424</v>
      </c>
      <c r="AA20" s="1178" t="s">
        <v>1425</v>
      </c>
      <c r="AL20" s="1180" t="s">
        <v>455</v>
      </c>
      <c r="AM20" s="1233" t="s">
        <v>1426</v>
      </c>
      <c r="AO20" s="1181" t="s">
        <v>1421</v>
      </c>
      <c r="AP20" s="1174" t="s">
        <v>115</v>
      </c>
      <c r="BV20" s="1188"/>
    </row>
    <row r="21" spans="1:74" x14ac:dyDescent="0.25">
      <c r="A21" s="1174" t="s">
        <v>1427</v>
      </c>
      <c r="I21" s="1175" t="s">
        <v>1428</v>
      </c>
      <c r="S21" s="1207"/>
      <c r="T21" s="1177"/>
      <c r="W21" s="1174" t="s">
        <v>1429</v>
      </c>
      <c r="Z21" s="1178" t="s">
        <v>1430</v>
      </c>
      <c r="AA21" s="1178" t="s">
        <v>1431</v>
      </c>
      <c r="AL21" s="1180" t="s">
        <v>456</v>
      </c>
      <c r="AM21" s="1233" t="s">
        <v>1432</v>
      </c>
      <c r="AO21" s="1181" t="s">
        <v>1427</v>
      </c>
      <c r="AP21" s="1174" t="s">
        <v>115</v>
      </c>
      <c r="BU21" s="1187"/>
      <c r="BV21" s="1188"/>
    </row>
    <row r="22" spans="1:74" x14ac:dyDescent="0.25">
      <c r="A22" s="1174" t="s">
        <v>1433</v>
      </c>
      <c r="I22" s="1175" t="s">
        <v>1434</v>
      </c>
      <c r="T22" s="1177"/>
      <c r="W22" s="1174" t="s">
        <v>1435</v>
      </c>
      <c r="Z22" s="1178" t="s">
        <v>1436</v>
      </c>
      <c r="AA22" s="1178" t="s">
        <v>1437</v>
      </c>
      <c r="AL22" s="1180" t="s">
        <v>457</v>
      </c>
      <c r="AM22" s="1231" t="s">
        <v>1438</v>
      </c>
      <c r="AO22" s="1181" t="s">
        <v>1433</v>
      </c>
      <c r="AP22" s="1174" t="s">
        <v>115</v>
      </c>
      <c r="BV22" s="1188"/>
    </row>
    <row r="23" spans="1:74" x14ac:dyDescent="0.25">
      <c r="A23" s="1174" t="s">
        <v>1439</v>
      </c>
      <c r="I23" s="1175" t="s">
        <v>1440</v>
      </c>
      <c r="T23" s="1177"/>
      <c r="W23" s="1174" t="s">
        <v>1441</v>
      </c>
      <c r="Z23" s="1178" t="s">
        <v>1442</v>
      </c>
      <c r="AA23" s="1178" t="s">
        <v>1443</v>
      </c>
      <c r="AL23" s="1180" t="s">
        <v>458</v>
      </c>
      <c r="AM23" s="1180" t="s">
        <v>453</v>
      </c>
      <c r="AO23" s="1181" t="s">
        <v>1439</v>
      </c>
      <c r="AP23" s="1174" t="s">
        <v>115</v>
      </c>
      <c r="BV23" s="1188"/>
    </row>
    <row r="24" spans="1:74" x14ac:dyDescent="0.25">
      <c r="A24" s="1174" t="s">
        <v>1444</v>
      </c>
      <c r="I24" s="1175" t="s">
        <v>1445</v>
      </c>
      <c r="T24" s="1177"/>
      <c r="W24" s="1174" t="s">
        <v>1446</v>
      </c>
      <c r="Z24" s="1178" t="s">
        <v>1447</v>
      </c>
      <c r="AA24" s="1178" t="s">
        <v>1448</v>
      </c>
      <c r="AL24" s="1180" t="s">
        <v>459</v>
      </c>
      <c r="AM24" s="1180" t="s">
        <v>1419</v>
      </c>
      <c r="AO24" s="1181" t="s">
        <v>1444</v>
      </c>
      <c r="AP24" s="1174" t="s">
        <v>115</v>
      </c>
      <c r="BV24" s="1188"/>
    </row>
    <row r="25" spans="1:74" x14ac:dyDescent="0.25">
      <c r="A25" s="1174" t="s">
        <v>1449</v>
      </c>
      <c r="I25" s="1175" t="s">
        <v>1450</v>
      </c>
      <c r="T25" s="1177"/>
      <c r="W25" s="1174" t="s">
        <v>1451</v>
      </c>
      <c r="Z25" s="1178" t="s">
        <v>1452</v>
      </c>
      <c r="AA25" s="1178" t="s">
        <v>1453</v>
      </c>
      <c r="AL25" s="1180" t="s">
        <v>460</v>
      </c>
      <c r="AM25" s="1180" t="s">
        <v>455</v>
      </c>
      <c r="AO25" s="1181" t="s">
        <v>1449</v>
      </c>
      <c r="AP25" s="1174" t="s">
        <v>115</v>
      </c>
      <c r="BU25" s="1187"/>
      <c r="BV25" s="1188"/>
    </row>
    <row r="26" spans="1:74" x14ac:dyDescent="0.25">
      <c r="A26" s="1174" t="s">
        <v>1454</v>
      </c>
      <c r="B26" s="1174" t="s">
        <v>1455</v>
      </c>
      <c r="I26" s="1175" t="s">
        <v>1456</v>
      </c>
      <c r="T26" s="1177"/>
      <c r="W26" s="1174" t="s">
        <v>1457</v>
      </c>
      <c r="Z26" s="1232" t="s">
        <v>1458</v>
      </c>
      <c r="AA26" s="1178" t="s">
        <v>1459</v>
      </c>
      <c r="AL26" s="1180" t="s">
        <v>461</v>
      </c>
      <c r="AM26" s="1180" t="s">
        <v>456</v>
      </c>
      <c r="AO26" s="1181" t="s">
        <v>1454</v>
      </c>
      <c r="AP26" s="1174" t="s">
        <v>115</v>
      </c>
      <c r="BV26" s="1188"/>
    </row>
    <row r="27" spans="1:74" x14ac:dyDescent="0.25">
      <c r="A27" s="1174" t="s">
        <v>1460</v>
      </c>
      <c r="B27" s="1174" t="s">
        <v>1461</v>
      </c>
      <c r="I27" s="1175" t="s">
        <v>1462</v>
      </c>
      <c r="T27" s="1177"/>
      <c r="W27" s="1174" t="s">
        <v>1463</v>
      </c>
      <c r="Z27" s="1178" t="s">
        <v>1464</v>
      </c>
      <c r="AA27" s="1178" t="s">
        <v>1465</v>
      </c>
      <c r="AL27" s="1180" t="s">
        <v>462</v>
      </c>
      <c r="AM27" s="1180" t="s">
        <v>457</v>
      </c>
      <c r="AO27" s="1181" t="s">
        <v>1460</v>
      </c>
      <c r="AP27" s="1174" t="s">
        <v>115</v>
      </c>
      <c r="BV27" s="1188"/>
    </row>
    <row r="28" spans="1:74" x14ac:dyDescent="0.25">
      <c r="A28" s="1174" t="s">
        <v>1466</v>
      </c>
      <c r="B28" s="1174" t="s">
        <v>1467</v>
      </c>
      <c r="I28" s="1175" t="s">
        <v>1468</v>
      </c>
      <c r="T28" s="1177"/>
      <c r="W28" s="1174" t="s">
        <v>1469</v>
      </c>
      <c r="Z28" s="1178" t="s">
        <v>1470</v>
      </c>
      <c r="AA28" s="1178" t="s">
        <v>1471</v>
      </c>
      <c r="AL28" s="1180" t="s">
        <v>463</v>
      </c>
      <c r="AM28" s="1180" t="s">
        <v>1472</v>
      </c>
      <c r="AO28" s="1181" t="s">
        <v>1466</v>
      </c>
      <c r="AP28" s="1174" t="s">
        <v>115</v>
      </c>
      <c r="BV28" s="1188"/>
    </row>
    <row r="29" spans="1:74" x14ac:dyDescent="0.25">
      <c r="A29" s="1174" t="s">
        <v>1473</v>
      </c>
      <c r="B29" s="1174" t="s">
        <v>1474</v>
      </c>
      <c r="I29" s="1175" t="s">
        <v>1475</v>
      </c>
      <c r="T29" s="1177"/>
      <c r="W29" s="1174" t="s">
        <v>1476</v>
      </c>
      <c r="Z29" s="1178" t="s">
        <v>1477</v>
      </c>
      <c r="AA29" s="1178" t="s">
        <v>1478</v>
      </c>
      <c r="AL29" s="1180" t="s">
        <v>464</v>
      </c>
      <c r="AM29" s="1180" t="s">
        <v>458</v>
      </c>
      <c r="AO29" s="1181" t="s">
        <v>1473</v>
      </c>
      <c r="AP29" s="1174" t="s">
        <v>115</v>
      </c>
      <c r="BU29" s="1187"/>
      <c r="BV29" s="1188"/>
    </row>
    <row r="30" spans="1:74" x14ac:dyDescent="0.25">
      <c r="A30" s="1174" t="s">
        <v>1479</v>
      </c>
      <c r="B30" s="1174" t="s">
        <v>1480</v>
      </c>
      <c r="I30" s="1175" t="s">
        <v>1481</v>
      </c>
      <c r="T30" s="1177"/>
      <c r="W30" s="1174" t="s">
        <v>1482</v>
      </c>
      <c r="Z30" s="1178" t="s">
        <v>1483</v>
      </c>
      <c r="AA30" s="1178" t="s">
        <v>1407</v>
      </c>
      <c r="AL30" s="1180" t="s">
        <v>1484</v>
      </c>
      <c r="AM30" s="1180" t="s">
        <v>459</v>
      </c>
      <c r="AO30" s="1181" t="s">
        <v>1479</v>
      </c>
      <c r="AP30" s="1174" t="s">
        <v>115</v>
      </c>
      <c r="BV30" s="1188"/>
    </row>
    <row r="31" spans="1:74" x14ac:dyDescent="0.25">
      <c r="A31" s="1174" t="s">
        <v>1485</v>
      </c>
      <c r="B31" s="1174" t="s">
        <v>1486</v>
      </c>
      <c r="I31" s="1175" t="s">
        <v>1487</v>
      </c>
      <c r="T31" s="1177"/>
      <c r="W31" s="1174" t="s">
        <v>1488</v>
      </c>
      <c r="Z31" s="1232" t="s">
        <v>1489</v>
      </c>
      <c r="AA31" s="1178" t="s">
        <v>1490</v>
      </c>
      <c r="AL31" s="1180" t="s">
        <v>466</v>
      </c>
      <c r="AM31" s="1180" t="s">
        <v>460</v>
      </c>
      <c r="AO31" s="1181" t="s">
        <v>1485</v>
      </c>
      <c r="AP31" s="1174" t="s">
        <v>115</v>
      </c>
      <c r="BV31" s="1188"/>
    </row>
    <row r="32" spans="1:74" x14ac:dyDescent="0.25">
      <c r="A32" s="1174" t="s">
        <v>1491</v>
      </c>
      <c r="B32" s="1174" t="s">
        <v>1492</v>
      </c>
      <c r="I32" s="1175" t="s">
        <v>1493</v>
      </c>
      <c r="T32" s="1177"/>
      <c r="W32" s="1174" t="s">
        <v>1494</v>
      </c>
      <c r="Z32" s="1178" t="s">
        <v>1495</v>
      </c>
      <c r="AA32" s="1178" t="s">
        <v>1496</v>
      </c>
      <c r="AL32" s="1180" t="s">
        <v>467</v>
      </c>
      <c r="AM32" s="1180" t="s">
        <v>461</v>
      </c>
      <c r="AO32" s="1181" t="s">
        <v>1491</v>
      </c>
      <c r="AP32" s="1174" t="s">
        <v>115</v>
      </c>
      <c r="BV32" s="1188"/>
    </row>
    <row r="33" spans="1:74" x14ac:dyDescent="0.25">
      <c r="A33" s="1174" t="s">
        <v>1497</v>
      </c>
      <c r="B33" s="1174" t="s">
        <v>1498</v>
      </c>
      <c r="I33" s="1175" t="s">
        <v>1499</v>
      </c>
      <c r="T33" s="1177"/>
      <c r="W33" s="1174" t="s">
        <v>1500</v>
      </c>
      <c r="Z33" s="1178" t="s">
        <v>1501</v>
      </c>
      <c r="AA33" s="1178" t="s">
        <v>1436</v>
      </c>
      <c r="AL33" s="1180" t="s">
        <v>468</v>
      </c>
      <c r="AM33" s="1180" t="s">
        <v>462</v>
      </c>
      <c r="AO33" s="1181" t="s">
        <v>1497</v>
      </c>
      <c r="AP33" s="1174" t="s">
        <v>115</v>
      </c>
      <c r="BU33" s="1187"/>
      <c r="BV33" s="1188"/>
    </row>
    <row r="34" spans="1:74" x14ac:dyDescent="0.25">
      <c r="A34" s="1174" t="s">
        <v>1502</v>
      </c>
      <c r="B34" s="1174" t="s">
        <v>1503</v>
      </c>
      <c r="I34" s="1175" t="s">
        <v>1504</v>
      </c>
      <c r="T34" s="1177"/>
      <c r="W34" s="1174" t="s">
        <v>1505</v>
      </c>
      <c r="Z34" s="1178" t="s">
        <v>1506</v>
      </c>
      <c r="AA34" s="1178" t="s">
        <v>1507</v>
      </c>
      <c r="AL34" s="1180" t="s">
        <v>469</v>
      </c>
      <c r="AM34" s="1180" t="s">
        <v>463</v>
      </c>
      <c r="AO34" s="1181" t="s">
        <v>1502</v>
      </c>
      <c r="AP34" s="1174" t="s">
        <v>115</v>
      </c>
      <c r="BV34" s="1188"/>
    </row>
    <row r="35" spans="1:74" x14ac:dyDescent="0.25">
      <c r="A35" s="1174" t="s">
        <v>1508</v>
      </c>
      <c r="B35" s="1174" t="s">
        <v>1509</v>
      </c>
      <c r="I35" s="1175" t="s">
        <v>1510</v>
      </c>
      <c r="T35" s="1177"/>
      <c r="Z35" s="1178" t="s">
        <v>1511</v>
      </c>
      <c r="AA35" s="1178" t="s">
        <v>1442</v>
      </c>
      <c r="AL35" s="1234" t="s">
        <v>470</v>
      </c>
      <c r="AM35" s="1180" t="s">
        <v>464</v>
      </c>
      <c r="AO35" s="1181" t="s">
        <v>1508</v>
      </c>
      <c r="AP35" s="1174" t="s">
        <v>115</v>
      </c>
      <c r="BV35" s="1188"/>
    </row>
    <row r="36" spans="1:74" x14ac:dyDescent="0.25">
      <c r="A36" s="1174" t="s">
        <v>1512</v>
      </c>
      <c r="B36" s="1174" t="s">
        <v>1513</v>
      </c>
      <c r="I36" s="1175" t="s">
        <v>1514</v>
      </c>
      <c r="T36" s="1177"/>
      <c r="Z36" s="1178" t="s">
        <v>1515</v>
      </c>
      <c r="AA36" s="1178" t="s">
        <v>1516</v>
      </c>
      <c r="AL36" s="1180" t="s">
        <v>472</v>
      </c>
      <c r="AM36" s="1180" t="s">
        <v>1484</v>
      </c>
      <c r="AO36" s="1181" t="s">
        <v>1512</v>
      </c>
      <c r="AP36" s="1174" t="s">
        <v>115</v>
      </c>
      <c r="BV36" s="1188"/>
    </row>
    <row r="37" spans="1:74" x14ac:dyDescent="0.25">
      <c r="A37" s="1174" t="s">
        <v>1517</v>
      </c>
      <c r="B37" s="1174" t="s">
        <v>1518</v>
      </c>
      <c r="I37" s="1175" t="s">
        <v>1519</v>
      </c>
      <c r="T37" s="1177"/>
      <c r="Z37" s="1178"/>
      <c r="AA37" s="1178" t="s">
        <v>1520</v>
      </c>
      <c r="AL37" s="1180" t="s">
        <v>1521</v>
      </c>
      <c r="AM37" s="1180" t="s">
        <v>466</v>
      </c>
      <c r="AO37" s="1181" t="s">
        <v>1517</v>
      </c>
      <c r="AP37" s="1174" t="s">
        <v>115</v>
      </c>
      <c r="BU37" s="1187"/>
      <c r="BV37" s="1188"/>
    </row>
    <row r="38" spans="1:74" x14ac:dyDescent="0.25">
      <c r="A38" s="1174" t="s">
        <v>1522</v>
      </c>
      <c r="I38" s="1175" t="s">
        <v>1523</v>
      </c>
      <c r="T38" s="1177"/>
      <c r="Z38" s="1178"/>
      <c r="AA38" s="1178" t="s">
        <v>1524</v>
      </c>
      <c r="AL38" s="1180" t="s">
        <v>474</v>
      </c>
      <c r="AM38" s="1180" t="s">
        <v>467</v>
      </c>
      <c r="AO38" s="1181" t="s">
        <v>1522</v>
      </c>
      <c r="AP38" s="1174" t="s">
        <v>115</v>
      </c>
      <c r="BV38" s="1188"/>
    </row>
    <row r="39" spans="1:74" x14ac:dyDescent="0.25">
      <c r="A39" s="1174" t="s">
        <v>1525</v>
      </c>
      <c r="I39" s="1175" t="s">
        <v>1526</v>
      </c>
      <c r="T39" s="1177"/>
      <c r="Z39" s="1178"/>
      <c r="AA39" s="1178" t="s">
        <v>1458</v>
      </c>
      <c r="AL39" s="1180" t="s">
        <v>475</v>
      </c>
      <c r="AM39" s="1180" t="s">
        <v>468</v>
      </c>
      <c r="AO39" s="1181" t="s">
        <v>1525</v>
      </c>
      <c r="AP39" s="1174" t="s">
        <v>114</v>
      </c>
      <c r="BV39" s="1188"/>
    </row>
    <row r="40" spans="1:74" x14ac:dyDescent="0.25">
      <c r="A40" s="1174" t="s">
        <v>1527</v>
      </c>
      <c r="I40" s="1175" t="s">
        <v>1528</v>
      </c>
      <c r="T40" s="1177"/>
      <c r="Z40" s="1178"/>
      <c r="AA40" s="1178" t="s">
        <v>1529</v>
      </c>
      <c r="AL40" s="1180" t="s">
        <v>476</v>
      </c>
      <c r="AM40" s="1180" t="s">
        <v>469</v>
      </c>
      <c r="AO40" s="1181" t="s">
        <v>1527</v>
      </c>
      <c r="AP40" s="1174" t="s">
        <v>114</v>
      </c>
      <c r="BV40" s="1188"/>
    </row>
    <row r="41" spans="1:74" x14ac:dyDescent="0.25">
      <c r="A41" s="1174" t="s">
        <v>1530</v>
      </c>
      <c r="I41" s="1175" t="s">
        <v>1531</v>
      </c>
      <c r="T41" s="1177"/>
      <c r="Z41" s="1178"/>
      <c r="AA41" s="1178" t="s">
        <v>1532</v>
      </c>
      <c r="AL41" s="1180" t="s">
        <v>477</v>
      </c>
      <c r="AM41" s="1234" t="s">
        <v>470</v>
      </c>
      <c r="AO41" s="1181" t="s">
        <v>1530</v>
      </c>
      <c r="AP41" s="1174" t="s">
        <v>115</v>
      </c>
      <c r="BU41" s="1187"/>
      <c r="BV41" s="1188"/>
    </row>
    <row r="42" spans="1:74" x14ac:dyDescent="0.25">
      <c r="A42" s="1174" t="s">
        <v>1533</v>
      </c>
      <c r="I42" s="1175" t="s">
        <v>1534</v>
      </c>
      <c r="T42" s="1177"/>
      <c r="Z42" s="1178"/>
      <c r="AA42" s="1178" t="s">
        <v>1535</v>
      </c>
      <c r="AL42" s="1180" t="s">
        <v>478</v>
      </c>
      <c r="AM42" s="1180" t="s">
        <v>472</v>
      </c>
      <c r="AO42" s="1181" t="s">
        <v>1533</v>
      </c>
      <c r="AP42" s="1174" t="s">
        <v>115</v>
      </c>
      <c r="BV42" s="1188"/>
    </row>
    <row r="43" spans="1:74" x14ac:dyDescent="0.25">
      <c r="A43" s="1174" t="s">
        <v>1536</v>
      </c>
      <c r="I43" s="1175" t="s">
        <v>1537</v>
      </c>
      <c r="T43" s="1177"/>
      <c r="Z43" s="1178"/>
      <c r="AA43" s="1178" t="s">
        <v>1538</v>
      </c>
      <c r="AL43" s="1180" t="s">
        <v>479</v>
      </c>
      <c r="AM43" s="1180" t="s">
        <v>1521</v>
      </c>
      <c r="AO43" s="1181" t="s">
        <v>1536</v>
      </c>
      <c r="AP43" s="1174" t="s">
        <v>115</v>
      </c>
      <c r="BV43" s="1188"/>
    </row>
    <row r="44" spans="1:74" x14ac:dyDescent="0.25">
      <c r="A44" s="1174" t="s">
        <v>1539</v>
      </c>
      <c r="I44" s="1175" t="s">
        <v>1540</v>
      </c>
      <c r="T44" s="1177"/>
      <c r="Z44" s="1178"/>
      <c r="AA44" s="1178" t="s">
        <v>1541</v>
      </c>
      <c r="AL44" s="1180" t="s">
        <v>480</v>
      </c>
      <c r="AM44" s="1180" t="s">
        <v>474</v>
      </c>
      <c r="AO44" s="1181" t="s">
        <v>1539</v>
      </c>
      <c r="AP44" s="1174" t="s">
        <v>115</v>
      </c>
      <c r="BV44" s="1188"/>
    </row>
    <row r="45" spans="1:74" x14ac:dyDescent="0.25">
      <c r="A45" s="1174" t="s">
        <v>1542</v>
      </c>
      <c r="I45" s="1175" t="s">
        <v>1543</v>
      </c>
      <c r="T45" s="1177"/>
      <c r="Z45" s="1178"/>
      <c r="AA45" s="1178" t="s">
        <v>1544</v>
      </c>
      <c r="AL45" s="1180" t="s">
        <v>481</v>
      </c>
      <c r="AM45" s="1180" t="s">
        <v>475</v>
      </c>
      <c r="AO45" s="1181" t="s">
        <v>1542</v>
      </c>
      <c r="AP45" s="1174" t="s">
        <v>115</v>
      </c>
      <c r="BU45" s="1187"/>
      <c r="BV45" s="1188"/>
    </row>
    <row r="46" spans="1:74" x14ac:dyDescent="0.25">
      <c r="A46" s="1174" t="s">
        <v>1545</v>
      </c>
      <c r="I46" s="1175" t="s">
        <v>1546</v>
      </c>
      <c r="T46" s="1177"/>
      <c r="Z46" s="1178"/>
      <c r="AA46" s="1178" t="s">
        <v>1547</v>
      </c>
      <c r="AL46" s="1180" t="s">
        <v>1548</v>
      </c>
      <c r="AM46" s="1180" t="s">
        <v>476</v>
      </c>
      <c r="AO46" s="1181" t="s">
        <v>1545</v>
      </c>
      <c r="AP46" s="1174" t="s">
        <v>115</v>
      </c>
      <c r="BV46" s="1188"/>
    </row>
    <row r="47" spans="1:74" x14ac:dyDescent="0.25">
      <c r="A47" s="1174" t="s">
        <v>1549</v>
      </c>
      <c r="I47" s="1175" t="s">
        <v>1550</v>
      </c>
      <c r="T47" s="1177"/>
      <c r="Z47" s="1178"/>
      <c r="AA47" s="1178" t="s">
        <v>1483</v>
      </c>
      <c r="AL47" s="1180" t="s">
        <v>1551</v>
      </c>
      <c r="AM47" s="1180" t="s">
        <v>477</v>
      </c>
      <c r="AO47" s="1181" t="s">
        <v>1549</v>
      </c>
      <c r="AP47" s="1174" t="s">
        <v>114</v>
      </c>
      <c r="BV47" s="1188"/>
    </row>
    <row r="48" spans="1:74" x14ac:dyDescent="0.25">
      <c r="A48" s="1174" t="s">
        <v>1552</v>
      </c>
      <c r="I48" s="1175" t="s">
        <v>1553</v>
      </c>
      <c r="T48" s="1177"/>
      <c r="Z48" s="1178"/>
      <c r="AA48" s="1178" t="s">
        <v>1554</v>
      </c>
      <c r="AL48" s="1180" t="s">
        <v>484</v>
      </c>
      <c r="AM48" s="1180" t="s">
        <v>478</v>
      </c>
      <c r="AO48" s="1181" t="s">
        <v>1552</v>
      </c>
      <c r="AP48" s="1174" t="s">
        <v>114</v>
      </c>
      <c r="BV48" s="1188"/>
    </row>
    <row r="49" spans="1:74" x14ac:dyDescent="0.25">
      <c r="A49" s="1174" t="s">
        <v>1555</v>
      </c>
      <c r="I49" s="1175" t="s">
        <v>1556</v>
      </c>
      <c r="T49" s="1177"/>
      <c r="Z49" s="1178"/>
      <c r="AA49" s="1178" t="s">
        <v>1557</v>
      </c>
      <c r="AL49" s="1180" t="s">
        <v>485</v>
      </c>
      <c r="AM49" s="1180" t="s">
        <v>479</v>
      </c>
      <c r="AO49" s="1181" t="s">
        <v>1555</v>
      </c>
      <c r="AP49" s="1174" t="s">
        <v>114</v>
      </c>
      <c r="BU49" s="1187"/>
      <c r="BV49" s="1188"/>
    </row>
    <row r="50" spans="1:74" x14ac:dyDescent="0.25">
      <c r="A50" s="1174" t="s">
        <v>1558</v>
      </c>
      <c r="I50" s="1175" t="s">
        <v>1559</v>
      </c>
      <c r="T50" s="1177"/>
      <c r="Z50" s="1178"/>
      <c r="AA50" s="1178" t="s">
        <v>1560</v>
      </c>
      <c r="AL50" s="1180" t="s">
        <v>1561</v>
      </c>
      <c r="AM50" s="1180" t="s">
        <v>480</v>
      </c>
      <c r="AO50" s="1181" t="s">
        <v>1558</v>
      </c>
      <c r="AP50" s="1174" t="s">
        <v>114</v>
      </c>
      <c r="BU50" s="1187"/>
      <c r="BV50" s="1188"/>
    </row>
    <row r="51" spans="1:74" x14ac:dyDescent="0.25">
      <c r="A51" s="1174" t="s">
        <v>1562</v>
      </c>
      <c r="I51" s="1175" t="s">
        <v>1563</v>
      </c>
      <c r="T51" s="1177"/>
      <c r="Z51" s="1178"/>
      <c r="AA51" s="1178" t="s">
        <v>1564</v>
      </c>
      <c r="AL51" s="1180" t="s">
        <v>487</v>
      </c>
      <c r="AM51" s="1180" t="s">
        <v>481</v>
      </c>
      <c r="AO51" s="1181" t="s">
        <v>1562</v>
      </c>
      <c r="AP51" s="1174" t="s">
        <v>114</v>
      </c>
      <c r="BV51" s="1188"/>
    </row>
    <row r="52" spans="1:74" x14ac:dyDescent="0.25">
      <c r="A52" s="1174" t="s">
        <v>1565</v>
      </c>
      <c r="I52" s="1175" t="s">
        <v>1566</v>
      </c>
      <c r="T52" s="1177"/>
      <c r="Z52" s="1178"/>
      <c r="AA52" s="1178" t="s">
        <v>1567</v>
      </c>
      <c r="AL52" s="1180" t="s">
        <v>488</v>
      </c>
      <c r="AM52" s="1180" t="s">
        <v>1548</v>
      </c>
      <c r="AO52" s="1181" t="s">
        <v>1565</v>
      </c>
      <c r="AP52" s="1174" t="s">
        <v>115</v>
      </c>
      <c r="BV52" s="1188"/>
    </row>
    <row r="53" spans="1:74" x14ac:dyDescent="0.25">
      <c r="A53" s="1174" t="s">
        <v>1568</v>
      </c>
      <c r="I53" s="1175" t="s">
        <v>1569</v>
      </c>
      <c r="T53" s="1177"/>
      <c r="Z53" s="1178"/>
      <c r="AA53" s="1178" t="s">
        <v>1570</v>
      </c>
      <c r="AL53" s="1180" t="s">
        <v>1571</v>
      </c>
      <c r="AM53" s="1180" t="s">
        <v>1572</v>
      </c>
      <c r="AO53" s="1181" t="s">
        <v>1568</v>
      </c>
      <c r="AP53" s="1174" t="s">
        <v>115</v>
      </c>
      <c r="BU53" s="1187"/>
      <c r="BV53" s="1188"/>
    </row>
    <row r="54" spans="1:74" x14ac:dyDescent="0.25">
      <c r="A54" s="1174" t="s">
        <v>1573</v>
      </c>
      <c r="I54" s="1175" t="s">
        <v>1574</v>
      </c>
      <c r="T54" s="1177"/>
      <c r="Z54" s="1178"/>
      <c r="AA54" s="1178" t="s">
        <v>1575</v>
      </c>
      <c r="AL54" s="1180" t="s">
        <v>490</v>
      </c>
      <c r="AM54" s="1180" t="s">
        <v>1576</v>
      </c>
      <c r="AO54" s="1181" t="s">
        <v>1573</v>
      </c>
      <c r="AP54" s="1174" t="s">
        <v>115</v>
      </c>
      <c r="BV54" s="1188"/>
    </row>
    <row r="55" spans="1:74" x14ac:dyDescent="0.25">
      <c r="A55" s="1174" t="s">
        <v>1577</v>
      </c>
      <c r="I55" s="1175" t="s">
        <v>1578</v>
      </c>
      <c r="T55" s="1177"/>
      <c r="Z55" s="1178"/>
      <c r="AA55" s="1178" t="s">
        <v>1579</v>
      </c>
      <c r="AL55" s="1180" t="s">
        <v>1580</v>
      </c>
      <c r="AM55" s="1180" t="s">
        <v>1581</v>
      </c>
      <c r="AO55" s="1181" t="s">
        <v>1577</v>
      </c>
      <c r="AP55" s="1174" t="s">
        <v>115</v>
      </c>
      <c r="BV55" s="1235"/>
    </row>
    <row r="56" spans="1:74" x14ac:dyDescent="0.25">
      <c r="A56" s="1174" t="s">
        <v>1582</v>
      </c>
      <c r="I56" s="1175" t="s">
        <v>1583</v>
      </c>
      <c r="T56" s="1177"/>
      <c r="Z56" s="1178"/>
      <c r="AA56" s="1178" t="s">
        <v>1584</v>
      </c>
      <c r="AL56" s="1180" t="s">
        <v>492</v>
      </c>
      <c r="AM56" s="1180" t="s">
        <v>1585</v>
      </c>
      <c r="AO56" s="1181" t="s">
        <v>1582</v>
      </c>
      <c r="AP56" s="1174" t="s">
        <v>115</v>
      </c>
      <c r="BU56" s="1187"/>
      <c r="BV56" s="1188"/>
    </row>
    <row r="57" spans="1:74" x14ac:dyDescent="0.25">
      <c r="A57" s="1174" t="s">
        <v>1586</v>
      </c>
      <c r="I57" s="1175" t="s">
        <v>1587</v>
      </c>
      <c r="T57" s="1177"/>
      <c r="Z57" s="1178"/>
      <c r="AA57" s="1178" t="s">
        <v>1588</v>
      </c>
      <c r="AL57" s="1180" t="s">
        <v>493</v>
      </c>
      <c r="AM57" s="1180" t="s">
        <v>485</v>
      </c>
      <c r="AO57" s="1181" t="s">
        <v>1586</v>
      </c>
      <c r="AP57" s="1174" t="s">
        <v>115</v>
      </c>
      <c r="BV57" s="1188"/>
    </row>
    <row r="58" spans="1:74" x14ac:dyDescent="0.25">
      <c r="A58" s="1174" t="s">
        <v>1589</v>
      </c>
      <c r="I58" s="1175" t="s">
        <v>1590</v>
      </c>
      <c r="T58" s="1177"/>
      <c r="Z58" s="1178"/>
      <c r="AA58" s="1178" t="s">
        <v>1501</v>
      </c>
      <c r="AL58" s="1180" t="s">
        <v>494</v>
      </c>
      <c r="AM58" s="1180" t="s">
        <v>1561</v>
      </c>
      <c r="AO58" s="1181" t="s">
        <v>1589</v>
      </c>
      <c r="AP58" s="1174" t="s">
        <v>115</v>
      </c>
      <c r="BU58" s="1187"/>
      <c r="BV58" s="1188"/>
    </row>
    <row r="59" spans="1:74" x14ac:dyDescent="0.25">
      <c r="A59" s="1174" t="s">
        <v>1591</v>
      </c>
      <c r="I59" s="1175" t="s">
        <v>1592</v>
      </c>
      <c r="T59" s="1177"/>
      <c r="Z59" s="1178"/>
      <c r="AA59" s="1178" t="s">
        <v>1506</v>
      </c>
      <c r="AL59" s="1180" t="s">
        <v>1593</v>
      </c>
      <c r="AM59" s="1180" t="s">
        <v>487</v>
      </c>
      <c r="AO59" s="1181" t="s">
        <v>1591</v>
      </c>
      <c r="AP59" s="1174" t="s">
        <v>115</v>
      </c>
      <c r="BV59" s="1188"/>
    </row>
    <row r="60" spans="1:74" x14ac:dyDescent="0.25">
      <c r="A60" s="1174" t="s">
        <v>1594</v>
      </c>
      <c r="I60" s="1175" t="s">
        <v>1595</v>
      </c>
      <c r="T60" s="1177"/>
      <c r="Z60" s="1178"/>
      <c r="AA60" s="1178" t="s">
        <v>1596</v>
      </c>
      <c r="AL60" s="1180" t="s">
        <v>496</v>
      </c>
      <c r="AM60" s="1180" t="s">
        <v>488</v>
      </c>
      <c r="AO60" s="1181" t="s">
        <v>1594</v>
      </c>
      <c r="AP60" s="1174" t="s">
        <v>115</v>
      </c>
      <c r="BV60" s="1188"/>
    </row>
    <row r="61" spans="1:74" x14ac:dyDescent="0.25">
      <c r="A61" s="1174" t="s">
        <v>1597</v>
      </c>
      <c r="I61" s="1175" t="s">
        <v>1598</v>
      </c>
      <c r="T61" s="1177"/>
      <c r="Z61" s="1178"/>
      <c r="AA61" s="1178" t="s">
        <v>1599</v>
      </c>
      <c r="AL61" s="1180" t="s">
        <v>497</v>
      </c>
      <c r="AM61" s="1180" t="s">
        <v>1571</v>
      </c>
      <c r="AO61" s="1181" t="s">
        <v>1597</v>
      </c>
      <c r="AP61" s="1174" t="s">
        <v>229</v>
      </c>
      <c r="BU61" s="1187"/>
      <c r="BV61" s="1188"/>
    </row>
    <row r="62" spans="1:74" x14ac:dyDescent="0.25">
      <c r="A62" s="1174" t="s">
        <v>1600</v>
      </c>
      <c r="I62" s="1175" t="s">
        <v>1601</v>
      </c>
      <c r="T62" s="1177"/>
      <c r="Z62" s="1178"/>
      <c r="AA62" s="1178" t="s">
        <v>1602</v>
      </c>
      <c r="AL62" s="1180" t="s">
        <v>498</v>
      </c>
      <c r="AM62" s="1180" t="s">
        <v>490</v>
      </c>
      <c r="AO62" s="1181" t="s">
        <v>1600</v>
      </c>
      <c r="AP62" s="1174" t="s">
        <v>114</v>
      </c>
      <c r="BV62" s="1188"/>
    </row>
    <row r="63" spans="1:74" x14ac:dyDescent="0.25">
      <c r="A63" s="1174" t="s">
        <v>1603</v>
      </c>
      <c r="I63" s="1175" t="s">
        <v>1604</v>
      </c>
      <c r="T63" s="1236"/>
      <c r="Z63" s="1178"/>
      <c r="AA63" s="1178" t="s">
        <v>1605</v>
      </c>
      <c r="AL63" s="1180" t="s">
        <v>499</v>
      </c>
      <c r="AM63" s="1180" t="s">
        <v>1580</v>
      </c>
      <c r="AO63" s="1181" t="s">
        <v>1603</v>
      </c>
      <c r="AP63" s="1174" t="s">
        <v>114</v>
      </c>
      <c r="BU63" s="1187"/>
    </row>
    <row r="64" spans="1:74" x14ac:dyDescent="0.25">
      <c r="A64" s="1174" t="s">
        <v>1606</v>
      </c>
      <c r="I64" s="1175" t="s">
        <v>1607</v>
      </c>
      <c r="T64" s="1236"/>
      <c r="Z64" s="1178"/>
      <c r="AA64" s="1178" t="s">
        <v>1608</v>
      </c>
      <c r="AL64" s="1180" t="s">
        <v>501</v>
      </c>
      <c r="AM64" s="1180" t="s">
        <v>492</v>
      </c>
      <c r="AO64" s="1181" t="s">
        <v>1606</v>
      </c>
      <c r="AP64" s="1174" t="s">
        <v>114</v>
      </c>
      <c r="BU64" s="1187"/>
    </row>
    <row r="65" spans="1:74" x14ac:dyDescent="0.25">
      <c r="A65" s="1174" t="s">
        <v>1609</v>
      </c>
      <c r="I65" s="1175" t="s">
        <v>1610</v>
      </c>
      <c r="T65" s="1236"/>
      <c r="Z65" s="1178"/>
      <c r="AA65" s="1178" t="s">
        <v>1611</v>
      </c>
      <c r="AL65" s="1180" t="s">
        <v>500</v>
      </c>
      <c r="AM65" s="1180" t="s">
        <v>493</v>
      </c>
      <c r="AO65" s="1181" t="s">
        <v>1609</v>
      </c>
      <c r="AP65" s="1174" t="s">
        <v>114</v>
      </c>
      <c r="BV65" s="1188"/>
    </row>
    <row r="66" spans="1:74" x14ac:dyDescent="0.25">
      <c r="A66" s="1174" t="s">
        <v>1612</v>
      </c>
      <c r="I66" s="1175" t="s">
        <v>1613</v>
      </c>
      <c r="T66" s="1177"/>
      <c r="Z66" s="1178"/>
      <c r="AA66" s="1178" t="s">
        <v>1614</v>
      </c>
      <c r="AL66" s="1180" t="s">
        <v>1615</v>
      </c>
      <c r="AM66" s="1180" t="s">
        <v>494</v>
      </c>
      <c r="AO66" s="1181" t="s">
        <v>1612</v>
      </c>
      <c r="AP66" s="1174" t="s">
        <v>114</v>
      </c>
      <c r="BU66" s="1187"/>
      <c r="BV66" s="1188"/>
    </row>
    <row r="67" spans="1:74" x14ac:dyDescent="0.25">
      <c r="A67" s="1174" t="s">
        <v>1616</v>
      </c>
      <c r="I67" s="1175" t="s">
        <v>1617</v>
      </c>
      <c r="T67" s="1236"/>
      <c r="Z67" s="1178"/>
      <c r="AA67" s="1178" t="s">
        <v>1618</v>
      </c>
      <c r="AL67" s="1180" t="s">
        <v>503</v>
      </c>
      <c r="AM67" s="1180" t="s">
        <v>1593</v>
      </c>
      <c r="AO67" s="1181" t="s">
        <v>1616</v>
      </c>
      <c r="AP67" s="1174" t="s">
        <v>114</v>
      </c>
      <c r="BU67" s="1187"/>
      <c r="BV67" s="1188"/>
    </row>
    <row r="68" spans="1:74" x14ac:dyDescent="0.25">
      <c r="A68" s="1174" t="s">
        <v>1619</v>
      </c>
      <c r="I68" s="1175" t="s">
        <v>1620</v>
      </c>
      <c r="T68" s="1236"/>
      <c r="Z68" s="1178"/>
      <c r="AA68" s="1178" t="s">
        <v>1621</v>
      </c>
      <c r="AL68" s="1180" t="s">
        <v>504</v>
      </c>
      <c r="AM68" s="1180" t="s">
        <v>1622</v>
      </c>
      <c r="AO68" s="1181" t="s">
        <v>1619</v>
      </c>
      <c r="AP68" s="1174" t="s">
        <v>114</v>
      </c>
      <c r="BV68" s="1188"/>
    </row>
    <row r="69" spans="1:74" x14ac:dyDescent="0.25">
      <c r="A69" s="1174" t="s">
        <v>1623</v>
      </c>
      <c r="I69" s="1175" t="s">
        <v>1624</v>
      </c>
      <c r="T69" s="1177"/>
      <c r="Z69" s="1178"/>
      <c r="AA69" s="1178" t="s">
        <v>1625</v>
      </c>
      <c r="AL69" s="1180" t="s">
        <v>505</v>
      </c>
      <c r="AM69" s="1180" t="s">
        <v>1626</v>
      </c>
      <c r="AO69" s="1181" t="s">
        <v>1623</v>
      </c>
      <c r="AP69" s="1174" t="s">
        <v>114</v>
      </c>
      <c r="BU69" s="1187"/>
      <c r="BV69" s="1188"/>
    </row>
    <row r="70" spans="1:74" x14ac:dyDescent="0.25">
      <c r="A70" s="1174" t="s">
        <v>1627</v>
      </c>
      <c r="I70" s="1175" t="s">
        <v>1628</v>
      </c>
      <c r="T70" s="1177"/>
      <c r="Z70" s="1178"/>
      <c r="AA70" s="1178" t="s">
        <v>1629</v>
      </c>
      <c r="AL70" s="1180" t="s">
        <v>506</v>
      </c>
      <c r="AM70" s="1180" t="s">
        <v>497</v>
      </c>
      <c r="AO70" s="1181" t="s">
        <v>1627</v>
      </c>
      <c r="AP70" s="1174" t="s">
        <v>114</v>
      </c>
      <c r="BU70" s="1187"/>
      <c r="BV70" s="1188"/>
    </row>
    <row r="71" spans="1:74" x14ac:dyDescent="0.25">
      <c r="A71" s="1174" t="s">
        <v>1630</v>
      </c>
      <c r="I71" s="1175" t="s">
        <v>1631</v>
      </c>
      <c r="T71" s="1177"/>
      <c r="Z71" s="1178"/>
      <c r="AA71" s="1178" t="s">
        <v>1632</v>
      </c>
      <c r="AL71" s="1180" t="s">
        <v>507</v>
      </c>
      <c r="AM71" s="1180" t="s">
        <v>498</v>
      </c>
      <c r="AO71" s="1181" t="s">
        <v>1630</v>
      </c>
      <c r="AP71" s="1174" t="s">
        <v>114</v>
      </c>
      <c r="BV71" s="1188"/>
    </row>
    <row r="72" spans="1:74" x14ac:dyDescent="0.25">
      <c r="A72" s="1174" t="s">
        <v>1633</v>
      </c>
      <c r="I72" s="1175" t="s">
        <v>1634</v>
      </c>
      <c r="T72" s="1177"/>
      <c r="AL72" s="1180" t="s">
        <v>1635</v>
      </c>
      <c r="AM72" s="1180" t="s">
        <v>499</v>
      </c>
      <c r="AO72" s="1181" t="s">
        <v>1633</v>
      </c>
      <c r="AP72" s="1174" t="s">
        <v>114</v>
      </c>
      <c r="BU72" s="1187"/>
      <c r="BV72" s="1188"/>
    </row>
    <row r="73" spans="1:74" x14ac:dyDescent="0.25">
      <c r="A73" s="1174" t="s">
        <v>1636</v>
      </c>
      <c r="I73" s="1175" t="s">
        <v>1637</v>
      </c>
      <c r="T73" s="1177"/>
      <c r="AL73" s="1180" t="s">
        <v>509</v>
      </c>
      <c r="AM73" s="1180" t="s">
        <v>501</v>
      </c>
      <c r="AO73" s="1181" t="s">
        <v>1636</v>
      </c>
      <c r="AP73" s="1174" t="s">
        <v>114</v>
      </c>
      <c r="BU73" s="1187"/>
      <c r="BV73" s="1188"/>
    </row>
    <row r="74" spans="1:74" x14ac:dyDescent="0.25">
      <c r="A74" s="1174" t="s">
        <v>1638</v>
      </c>
      <c r="I74" s="1175" t="s">
        <v>1639</v>
      </c>
      <c r="T74" s="1177"/>
      <c r="AL74" s="1180" t="s">
        <v>510</v>
      </c>
      <c r="AM74" s="1180" t="s">
        <v>500</v>
      </c>
      <c r="AO74" s="1181" t="s">
        <v>1638</v>
      </c>
      <c r="AP74" s="1174" t="s">
        <v>114</v>
      </c>
      <c r="BV74" s="1188"/>
    </row>
    <row r="75" spans="1:74" x14ac:dyDescent="0.25">
      <c r="A75" s="1174" t="s">
        <v>1640</v>
      </c>
      <c r="I75" s="1175" t="s">
        <v>1641</v>
      </c>
      <c r="T75" s="1177"/>
      <c r="AL75" s="1180" t="s">
        <v>1642</v>
      </c>
      <c r="AM75" s="1180" t="s">
        <v>1615</v>
      </c>
      <c r="AO75" s="1181" t="s">
        <v>1640</v>
      </c>
      <c r="AP75" s="1174" t="s">
        <v>114</v>
      </c>
      <c r="BU75" s="1187"/>
      <c r="BV75" s="1188"/>
    </row>
    <row r="76" spans="1:74" x14ac:dyDescent="0.25">
      <c r="A76" s="1174" t="s">
        <v>1643</v>
      </c>
      <c r="I76" s="1175" t="s">
        <v>1644</v>
      </c>
      <c r="T76" s="1177"/>
      <c r="AL76" s="1180" t="s">
        <v>511</v>
      </c>
      <c r="AM76" s="1180" t="s">
        <v>503</v>
      </c>
      <c r="AO76" s="1181" t="s">
        <v>1643</v>
      </c>
      <c r="AP76" s="1174" t="s">
        <v>114</v>
      </c>
      <c r="BU76" s="1187"/>
    </row>
    <row r="77" spans="1:74" x14ac:dyDescent="0.25">
      <c r="A77" s="1174" t="s">
        <v>1645</v>
      </c>
      <c r="I77" s="1175" t="s">
        <v>1646</v>
      </c>
      <c r="T77" s="1237"/>
      <c r="AL77" s="1180" t="s">
        <v>512</v>
      </c>
      <c r="AM77" s="1180" t="s">
        <v>504</v>
      </c>
      <c r="AO77" s="1181" t="s">
        <v>1645</v>
      </c>
      <c r="AP77" s="1174" t="s">
        <v>114</v>
      </c>
      <c r="BV77" s="1188"/>
    </row>
    <row r="78" spans="1:74" x14ac:dyDescent="0.25">
      <c r="A78" s="1174" t="s">
        <v>1647</v>
      </c>
      <c r="I78" s="1175" t="s">
        <v>1648</v>
      </c>
      <c r="T78" s="1177"/>
      <c r="AL78" s="1180" t="s">
        <v>513</v>
      </c>
      <c r="AM78" s="1180" t="s">
        <v>505</v>
      </c>
      <c r="AO78" s="1181" t="s">
        <v>1647</v>
      </c>
      <c r="AP78" s="1174" t="s">
        <v>114</v>
      </c>
      <c r="BU78" s="1187"/>
      <c r="BV78" s="1188"/>
    </row>
    <row r="79" spans="1:74" x14ac:dyDescent="0.25">
      <c r="A79" s="1174" t="s">
        <v>1649</v>
      </c>
      <c r="I79" s="1175" t="s">
        <v>1650</v>
      </c>
      <c r="T79" s="1177"/>
      <c r="AL79" s="1180"/>
      <c r="AM79" s="1180" t="s">
        <v>1651</v>
      </c>
      <c r="AO79" s="1181" t="s">
        <v>1649</v>
      </c>
      <c r="AP79" s="1174" t="s">
        <v>115</v>
      </c>
      <c r="BU79" s="1187"/>
    </row>
    <row r="80" spans="1:74" x14ac:dyDescent="0.25">
      <c r="A80" s="1174" t="s">
        <v>1652</v>
      </c>
      <c r="I80" s="1175" t="s">
        <v>1653</v>
      </c>
      <c r="T80" s="1177"/>
      <c r="AL80" s="1180"/>
      <c r="AM80" s="1180" t="s">
        <v>506</v>
      </c>
      <c r="AO80" s="1181" t="s">
        <v>1652</v>
      </c>
      <c r="AP80" s="1174" t="s">
        <v>115</v>
      </c>
    </row>
    <row r="81" spans="1:74" x14ac:dyDescent="0.25">
      <c r="A81" s="1174" t="s">
        <v>1654</v>
      </c>
      <c r="I81" s="1175" t="s">
        <v>1655</v>
      </c>
      <c r="T81" s="1177"/>
      <c r="AL81" s="1233"/>
      <c r="AM81" s="1180" t="s">
        <v>507</v>
      </c>
      <c r="AO81" s="1181" t="s">
        <v>1654</v>
      </c>
      <c r="AP81" s="1174" t="s">
        <v>115</v>
      </c>
      <c r="BU81" s="1187"/>
    </row>
    <row r="82" spans="1:74" x14ac:dyDescent="0.25">
      <c r="A82" s="1174" t="s">
        <v>1656</v>
      </c>
      <c r="I82" s="1175" t="s">
        <v>1657</v>
      </c>
      <c r="T82" s="1177"/>
      <c r="AL82" s="1233"/>
      <c r="AM82" s="1180" t="s">
        <v>1635</v>
      </c>
      <c r="AO82" s="1181" t="s">
        <v>1656</v>
      </c>
      <c r="AP82" s="1174" t="s">
        <v>115</v>
      </c>
      <c r="BU82" s="1187"/>
    </row>
    <row r="83" spans="1:74" x14ac:dyDescent="0.25">
      <c r="A83" s="1174" t="s">
        <v>1658</v>
      </c>
      <c r="I83" s="1175" t="s">
        <v>1659</v>
      </c>
      <c r="T83" s="1177"/>
      <c r="AL83" s="1231"/>
      <c r="AM83" s="1180" t="s">
        <v>509</v>
      </c>
      <c r="AO83" s="1181" t="s">
        <v>1658</v>
      </c>
      <c r="AP83" s="1174" t="s">
        <v>115</v>
      </c>
      <c r="BV83" s="1188"/>
    </row>
    <row r="84" spans="1:74" x14ac:dyDescent="0.25">
      <c r="A84" s="1174" t="s">
        <v>1660</v>
      </c>
      <c r="I84" s="1175" t="s">
        <v>1661</v>
      </c>
      <c r="T84" s="1177"/>
      <c r="AL84" s="1180"/>
      <c r="AM84" s="1180" t="s">
        <v>510</v>
      </c>
      <c r="AO84" s="1181" t="s">
        <v>1660</v>
      </c>
      <c r="AP84" s="1174" t="s">
        <v>115</v>
      </c>
      <c r="BU84" s="1187"/>
      <c r="BV84" s="1188"/>
    </row>
    <row r="85" spans="1:74" x14ac:dyDescent="0.25">
      <c r="A85" s="1174" t="s">
        <v>1662</v>
      </c>
      <c r="I85" s="1175" t="s">
        <v>1663</v>
      </c>
      <c r="T85" s="1177"/>
      <c r="AL85" s="1180"/>
      <c r="AM85" s="1180" t="s">
        <v>1642</v>
      </c>
      <c r="AO85" s="1181" t="s">
        <v>1662</v>
      </c>
      <c r="AP85" s="1174" t="s">
        <v>115</v>
      </c>
      <c r="BU85" s="1187"/>
      <c r="BV85" s="1188"/>
    </row>
    <row r="86" spans="1:74" x14ac:dyDescent="0.25">
      <c r="A86" s="1174" t="s">
        <v>1664</v>
      </c>
      <c r="I86" s="1175" t="s">
        <v>1665</v>
      </c>
      <c r="T86" s="1177"/>
      <c r="AL86" s="1180"/>
      <c r="AM86" s="1180" t="s">
        <v>511</v>
      </c>
      <c r="AO86" s="1181" t="s">
        <v>1664</v>
      </c>
      <c r="AP86" s="1174" t="s">
        <v>115</v>
      </c>
      <c r="BV86" s="1188"/>
    </row>
    <row r="87" spans="1:74" x14ac:dyDescent="0.25">
      <c r="A87" s="1174" t="s">
        <v>1666</v>
      </c>
      <c r="I87" s="1175" t="s">
        <v>1667</v>
      </c>
      <c r="T87" s="1177"/>
      <c r="AL87" s="1180"/>
      <c r="AM87" s="1180" t="s">
        <v>512</v>
      </c>
      <c r="AO87" s="1181" t="s">
        <v>1666</v>
      </c>
      <c r="AP87" s="1174" t="s">
        <v>115</v>
      </c>
      <c r="BU87" s="1187"/>
      <c r="BV87" s="1188"/>
    </row>
    <row r="88" spans="1:74" x14ac:dyDescent="0.25">
      <c r="A88" s="1174" t="s">
        <v>1668</v>
      </c>
      <c r="I88" s="1175" t="s">
        <v>1669</v>
      </c>
      <c r="T88" s="1177"/>
      <c r="AL88" s="1180"/>
      <c r="AM88" s="1180" t="s">
        <v>513</v>
      </c>
      <c r="AO88" s="1181" t="s">
        <v>1668</v>
      </c>
      <c r="AP88" s="1174" t="s">
        <v>115</v>
      </c>
      <c r="BU88" s="1187"/>
      <c r="BV88" s="1188"/>
    </row>
    <row r="89" spans="1:74" x14ac:dyDescent="0.25">
      <c r="A89" s="1174" t="s">
        <v>1670</v>
      </c>
      <c r="I89" s="1175" t="s">
        <v>1671</v>
      </c>
      <c r="T89" s="1177"/>
      <c r="AO89" s="1181" t="s">
        <v>1670</v>
      </c>
      <c r="AP89" s="1174" t="s">
        <v>115</v>
      </c>
      <c r="BV89" s="1188"/>
    </row>
    <row r="90" spans="1:74" x14ac:dyDescent="0.25">
      <c r="A90" s="1174" t="s">
        <v>1672</v>
      </c>
      <c r="I90" s="1175" t="s">
        <v>1673</v>
      </c>
      <c r="T90" s="1177"/>
      <c r="AO90" s="1181" t="s">
        <v>1672</v>
      </c>
      <c r="AP90" s="1174" t="s">
        <v>115</v>
      </c>
      <c r="BU90" s="1187"/>
      <c r="BV90" s="1188"/>
    </row>
    <row r="91" spans="1:74" x14ac:dyDescent="0.25">
      <c r="A91" s="1174" t="s">
        <v>1674</v>
      </c>
      <c r="I91" s="1175" t="s">
        <v>1675</v>
      </c>
      <c r="T91" s="1177"/>
      <c r="AO91" s="1181" t="s">
        <v>1674</v>
      </c>
      <c r="AP91" s="1174" t="s">
        <v>115</v>
      </c>
      <c r="BU91" s="1187"/>
      <c r="BV91" s="1188"/>
    </row>
    <row r="92" spans="1:74" x14ac:dyDescent="0.25">
      <c r="A92" s="1174" t="s">
        <v>1676</v>
      </c>
      <c r="I92" s="1175" t="s">
        <v>1677</v>
      </c>
      <c r="T92" s="1177"/>
      <c r="AO92" s="1181" t="s">
        <v>1676</v>
      </c>
      <c r="AP92" s="1174" t="s">
        <v>115</v>
      </c>
      <c r="BV92" s="1188"/>
    </row>
    <row r="93" spans="1:74" x14ac:dyDescent="0.25">
      <c r="A93" s="1174" t="s">
        <v>1678</v>
      </c>
      <c r="I93" s="1175" t="s">
        <v>1679</v>
      </c>
      <c r="T93" s="1238"/>
      <c r="AO93" s="1181" t="s">
        <v>1678</v>
      </c>
      <c r="AP93" s="1174" t="s">
        <v>115</v>
      </c>
      <c r="BU93" s="1187"/>
      <c r="BV93" s="1188"/>
    </row>
    <row r="94" spans="1:74" x14ac:dyDescent="0.25">
      <c r="A94" s="1174" t="s">
        <v>1680</v>
      </c>
      <c r="I94" s="1175" t="s">
        <v>1681</v>
      </c>
      <c r="T94" s="1177"/>
      <c r="AO94" s="1181" t="s">
        <v>1680</v>
      </c>
      <c r="AP94" s="1174" t="s">
        <v>115</v>
      </c>
      <c r="BU94" s="1187"/>
    </row>
    <row r="95" spans="1:74" x14ac:dyDescent="0.25">
      <c r="A95" s="1174" t="s">
        <v>1682</v>
      </c>
      <c r="I95" s="1175" t="s">
        <v>1683</v>
      </c>
      <c r="T95" s="1177"/>
      <c r="AO95" s="1181" t="s">
        <v>1682</v>
      </c>
      <c r="AP95" s="1174" t="s">
        <v>114</v>
      </c>
    </row>
    <row r="96" spans="1:74" x14ac:dyDescent="0.25">
      <c r="A96" s="1174" t="s">
        <v>1684</v>
      </c>
      <c r="I96" s="1175" t="s">
        <v>1685</v>
      </c>
      <c r="T96" s="1177"/>
      <c r="AO96" s="1181" t="s">
        <v>1684</v>
      </c>
      <c r="AP96" s="1174" t="s">
        <v>115</v>
      </c>
    </row>
    <row r="97" spans="1:42" x14ac:dyDescent="0.25">
      <c r="A97" s="1174" t="s">
        <v>1686</v>
      </c>
      <c r="I97" s="1175" t="s">
        <v>1687</v>
      </c>
      <c r="T97" s="1237"/>
      <c r="AO97" s="1181" t="s">
        <v>1686</v>
      </c>
      <c r="AP97" s="1174" t="s">
        <v>114</v>
      </c>
    </row>
    <row r="98" spans="1:42" x14ac:dyDescent="0.25">
      <c r="A98" s="1174" t="s">
        <v>1688</v>
      </c>
      <c r="I98" s="1175" t="s">
        <v>1689</v>
      </c>
      <c r="T98" s="1177"/>
      <c r="AO98" s="1181" t="s">
        <v>1688</v>
      </c>
      <c r="AP98" s="1174" t="s">
        <v>115</v>
      </c>
    </row>
    <row r="99" spans="1:42" x14ac:dyDescent="0.25">
      <c r="A99" s="1174" t="s">
        <v>1690</v>
      </c>
      <c r="I99" s="1175" t="s">
        <v>1691</v>
      </c>
      <c r="T99" s="1177"/>
      <c r="AO99" s="1181" t="s">
        <v>1690</v>
      </c>
      <c r="AP99" s="1174" t="s">
        <v>114</v>
      </c>
    </row>
    <row r="100" spans="1:42" x14ac:dyDescent="0.25">
      <c r="A100" s="1174" t="s">
        <v>1692</v>
      </c>
      <c r="I100" s="1175" t="s">
        <v>1693</v>
      </c>
      <c r="T100" s="1177"/>
      <c r="AO100" s="1181" t="s">
        <v>1692</v>
      </c>
      <c r="AP100" s="1174" t="s">
        <v>115</v>
      </c>
    </row>
    <row r="101" spans="1:42" x14ac:dyDescent="0.25">
      <c r="A101" s="1174" t="s">
        <v>1694</v>
      </c>
      <c r="I101" s="1175" t="s">
        <v>1695</v>
      </c>
      <c r="T101" s="1177"/>
      <c r="AO101" s="1181" t="s">
        <v>1694</v>
      </c>
      <c r="AP101" s="1174" t="s">
        <v>114</v>
      </c>
    </row>
    <row r="102" spans="1:42" x14ac:dyDescent="0.25">
      <c r="I102" s="1175" t="s">
        <v>1696</v>
      </c>
      <c r="T102" s="1177"/>
    </row>
    <row r="103" spans="1:42" x14ac:dyDescent="0.25">
      <c r="I103" s="1239" t="s">
        <v>1697</v>
      </c>
      <c r="T103" s="1177"/>
    </row>
    <row r="104" spans="1:42" x14ac:dyDescent="0.25">
      <c r="I104" s="1175" t="s">
        <v>1698</v>
      </c>
      <c r="T104" s="1177"/>
    </row>
    <row r="105" spans="1:42" x14ac:dyDescent="0.25">
      <c r="I105" s="1175" t="s">
        <v>1699</v>
      </c>
      <c r="T105" s="1177"/>
    </row>
    <row r="106" spans="1:42" x14ac:dyDescent="0.25">
      <c r="I106" s="1175" t="s">
        <v>1700</v>
      </c>
      <c r="T106" s="1177"/>
    </row>
    <row r="107" spans="1:42" x14ac:dyDescent="0.25">
      <c r="I107" s="1175" t="s">
        <v>1701</v>
      </c>
      <c r="T107" s="1177"/>
    </row>
    <row r="108" spans="1:42" x14ac:dyDescent="0.25">
      <c r="I108" s="1175" t="s">
        <v>1702</v>
      </c>
      <c r="T108" s="1177"/>
    </row>
    <row r="109" spans="1:42" x14ac:dyDescent="0.25">
      <c r="I109" s="1175" t="s">
        <v>1703</v>
      </c>
      <c r="T109" s="1177"/>
    </row>
    <row r="110" spans="1:42" x14ac:dyDescent="0.25">
      <c r="I110" s="1175" t="s">
        <v>1704</v>
      </c>
      <c r="T110" s="1177"/>
    </row>
    <row r="111" spans="1:42" x14ac:dyDescent="0.25">
      <c r="I111" s="1175" t="s">
        <v>1705</v>
      </c>
      <c r="T111" s="1177"/>
    </row>
    <row r="112" spans="1:42" x14ac:dyDescent="0.25">
      <c r="I112" s="1175" t="s">
        <v>1706</v>
      </c>
      <c r="T112" s="1177"/>
    </row>
    <row r="113" spans="9:20" x14ac:dyDescent="0.25">
      <c r="I113" s="1175" t="s">
        <v>1707</v>
      </c>
      <c r="T113" s="1238"/>
    </row>
    <row r="114" spans="9:20" x14ac:dyDescent="0.25">
      <c r="I114" s="1175" t="s">
        <v>1708</v>
      </c>
      <c r="T114" s="1177"/>
    </row>
    <row r="115" spans="9:20" x14ac:dyDescent="0.25">
      <c r="I115" s="1175" t="s">
        <v>1709</v>
      </c>
      <c r="T115" s="1177"/>
    </row>
    <row r="116" spans="9:20" x14ac:dyDescent="0.25">
      <c r="I116" s="1175" t="s">
        <v>1710</v>
      </c>
      <c r="T116" s="1177"/>
    </row>
    <row r="117" spans="9:20" x14ac:dyDescent="0.25">
      <c r="I117" s="1175" t="s">
        <v>1711</v>
      </c>
      <c r="T117" s="1237"/>
    </row>
    <row r="118" spans="9:20" x14ac:dyDescent="0.25">
      <c r="I118" s="1175" t="s">
        <v>1712</v>
      </c>
      <c r="T118" s="1177"/>
    </row>
    <row r="119" spans="9:20" x14ac:dyDescent="0.25">
      <c r="I119" s="1175" t="s">
        <v>1713</v>
      </c>
      <c r="T119" s="1177"/>
    </row>
    <row r="120" spans="9:20" x14ac:dyDescent="0.25">
      <c r="I120" s="1175" t="s">
        <v>1714</v>
      </c>
      <c r="T120" s="1177"/>
    </row>
    <row r="121" spans="9:20" x14ac:dyDescent="0.25">
      <c r="I121" s="1175" t="s">
        <v>1715</v>
      </c>
      <c r="T121" s="1177"/>
    </row>
    <row r="122" spans="9:20" x14ac:dyDescent="0.25">
      <c r="I122" s="1175" t="s">
        <v>1716</v>
      </c>
      <c r="T122" s="1177"/>
    </row>
    <row r="123" spans="9:20" x14ac:dyDescent="0.25">
      <c r="I123" s="1175" t="s">
        <v>1717</v>
      </c>
      <c r="T123" s="1177"/>
    </row>
    <row r="124" spans="9:20" x14ac:dyDescent="0.25">
      <c r="I124" s="1175" t="s">
        <v>1718</v>
      </c>
      <c r="T124" s="1177"/>
    </row>
    <row r="125" spans="9:20" x14ac:dyDescent="0.25">
      <c r="I125" s="1175" t="s">
        <v>1719</v>
      </c>
      <c r="T125" s="1177"/>
    </row>
    <row r="126" spans="9:20" x14ac:dyDescent="0.25">
      <c r="I126" s="1175" t="s">
        <v>1720</v>
      </c>
      <c r="T126" s="1177"/>
    </row>
    <row r="127" spans="9:20" x14ac:dyDescent="0.25">
      <c r="I127" s="1175" t="s">
        <v>1721</v>
      </c>
      <c r="T127" s="1177"/>
    </row>
    <row r="128" spans="9:20" x14ac:dyDescent="0.25">
      <c r="I128" s="1175" t="s">
        <v>1722</v>
      </c>
      <c r="T128" s="1177"/>
    </row>
    <row r="129" spans="9:20" x14ac:dyDescent="0.25">
      <c r="I129" s="1175" t="s">
        <v>1723</v>
      </c>
      <c r="T129" s="1177"/>
    </row>
    <row r="130" spans="9:20" x14ac:dyDescent="0.25">
      <c r="I130" s="1175" t="s">
        <v>1724</v>
      </c>
      <c r="T130" s="1177"/>
    </row>
    <row r="131" spans="9:20" x14ac:dyDescent="0.25">
      <c r="I131" s="1175" t="s">
        <v>1725</v>
      </c>
      <c r="T131" s="1177"/>
    </row>
    <row r="132" spans="9:20" x14ac:dyDescent="0.25">
      <c r="I132" s="1175" t="s">
        <v>1726</v>
      </c>
      <c r="T132" s="1177"/>
    </row>
    <row r="133" spans="9:20" x14ac:dyDescent="0.25">
      <c r="I133" s="1175" t="s">
        <v>1727</v>
      </c>
      <c r="T133" s="1238"/>
    </row>
    <row r="134" spans="9:20" x14ac:dyDescent="0.25">
      <c r="I134" s="1175" t="s">
        <v>1728</v>
      </c>
      <c r="T134" s="1177"/>
    </row>
    <row r="135" spans="9:20" x14ac:dyDescent="0.25">
      <c r="I135" s="1175" t="s">
        <v>1729</v>
      </c>
      <c r="T135" s="1177"/>
    </row>
    <row r="136" spans="9:20" x14ac:dyDescent="0.25">
      <c r="I136" s="1175" t="s">
        <v>1730</v>
      </c>
      <c r="T136" s="1177"/>
    </row>
    <row r="137" spans="9:20" x14ac:dyDescent="0.25">
      <c r="I137" s="1175" t="s">
        <v>1731</v>
      </c>
      <c r="T137" s="1236"/>
    </row>
    <row r="138" spans="9:20" x14ac:dyDescent="0.25">
      <c r="I138" s="1175" t="s">
        <v>1732</v>
      </c>
      <c r="T138" s="1237"/>
    </row>
    <row r="139" spans="9:20" x14ac:dyDescent="0.25">
      <c r="I139" s="1175" t="s">
        <v>1733</v>
      </c>
      <c r="T139" s="1177"/>
    </row>
    <row r="140" spans="9:20" x14ac:dyDescent="0.25">
      <c r="I140" s="1175" t="s">
        <v>1734</v>
      </c>
      <c r="T140" s="1177"/>
    </row>
    <row r="141" spans="9:20" x14ac:dyDescent="0.25">
      <c r="I141" s="1175" t="s">
        <v>1735</v>
      </c>
      <c r="T141" s="1177"/>
    </row>
    <row r="142" spans="9:20" x14ac:dyDescent="0.25">
      <c r="I142" s="1175" t="s">
        <v>1736</v>
      </c>
      <c r="T142" s="1177"/>
    </row>
    <row r="143" spans="9:20" x14ac:dyDescent="0.25">
      <c r="I143" s="1175" t="s">
        <v>1737</v>
      </c>
      <c r="T143" s="1177"/>
    </row>
    <row r="144" spans="9:20" x14ac:dyDescent="0.25">
      <c r="I144" s="1175" t="s">
        <v>1738</v>
      </c>
      <c r="T144" s="1177"/>
    </row>
    <row r="145" spans="9:20" x14ac:dyDescent="0.25">
      <c r="I145" s="1175" t="s">
        <v>1739</v>
      </c>
      <c r="T145" s="1177"/>
    </row>
    <row r="146" spans="9:20" x14ac:dyDescent="0.25">
      <c r="I146" s="1175" t="s">
        <v>1740</v>
      </c>
      <c r="T146" s="1177"/>
    </row>
    <row r="147" spans="9:20" x14ac:dyDescent="0.25">
      <c r="I147" s="1175" t="s">
        <v>1741</v>
      </c>
      <c r="T147" s="1177"/>
    </row>
    <row r="148" spans="9:20" x14ac:dyDescent="0.25">
      <c r="I148" s="1175" t="s">
        <v>1742</v>
      </c>
      <c r="T148" s="1177"/>
    </row>
    <row r="149" spans="9:20" x14ac:dyDescent="0.25">
      <c r="I149" s="1175" t="s">
        <v>1743</v>
      </c>
      <c r="T149" s="1177"/>
    </row>
    <row r="150" spans="9:20" x14ac:dyDescent="0.25">
      <c r="I150" s="1175" t="s">
        <v>1744</v>
      </c>
      <c r="T150" s="1177"/>
    </row>
    <row r="151" spans="9:20" x14ac:dyDescent="0.25">
      <c r="I151" s="1175" t="s">
        <v>1745</v>
      </c>
      <c r="T151" s="1177"/>
    </row>
    <row r="152" spans="9:20" x14ac:dyDescent="0.25">
      <c r="I152" s="1175" t="s">
        <v>1746</v>
      </c>
      <c r="T152" s="1177"/>
    </row>
    <row r="153" spans="9:20" x14ac:dyDescent="0.25">
      <c r="I153" s="1175" t="s">
        <v>1747</v>
      </c>
      <c r="T153" s="1177"/>
    </row>
    <row r="154" spans="9:20" x14ac:dyDescent="0.25">
      <c r="I154" s="1175" t="s">
        <v>1748</v>
      </c>
      <c r="T154" s="1238"/>
    </row>
    <row r="155" spans="9:20" x14ac:dyDescent="0.25">
      <c r="I155" s="1175" t="s">
        <v>1749</v>
      </c>
      <c r="T155" s="1177"/>
    </row>
    <row r="156" spans="9:20" x14ac:dyDescent="0.25">
      <c r="I156" s="1175" t="s">
        <v>1750</v>
      </c>
      <c r="T156" s="1177"/>
    </row>
    <row r="157" spans="9:20" x14ac:dyDescent="0.25">
      <c r="I157" s="1175" t="s">
        <v>1751</v>
      </c>
      <c r="T157" s="1177"/>
    </row>
    <row r="158" spans="9:20" x14ac:dyDescent="0.25">
      <c r="I158" s="1175" t="s">
        <v>1752</v>
      </c>
      <c r="T158" s="1237"/>
    </row>
    <row r="159" spans="9:20" x14ac:dyDescent="0.25">
      <c r="I159" s="1175" t="s">
        <v>1753</v>
      </c>
      <c r="T159" s="1177"/>
    </row>
    <row r="160" spans="9:20" x14ac:dyDescent="0.25">
      <c r="I160" s="1175" t="s">
        <v>1754</v>
      </c>
      <c r="T160" s="1177"/>
    </row>
    <row r="161" spans="9:20" x14ac:dyDescent="0.25">
      <c r="I161" s="1175" t="s">
        <v>1755</v>
      </c>
      <c r="T161" s="1177"/>
    </row>
    <row r="162" spans="9:20" x14ac:dyDescent="0.25">
      <c r="I162" s="1175" t="s">
        <v>1756</v>
      </c>
      <c r="T162" s="1177"/>
    </row>
    <row r="163" spans="9:20" x14ac:dyDescent="0.25">
      <c r="I163" s="1175" t="s">
        <v>1757</v>
      </c>
      <c r="T163" s="1177"/>
    </row>
    <row r="164" spans="9:20" x14ac:dyDescent="0.25">
      <c r="I164" s="1175" t="s">
        <v>1758</v>
      </c>
      <c r="T164" s="1177"/>
    </row>
    <row r="165" spans="9:20" x14ac:dyDescent="0.25">
      <c r="I165" s="1175" t="s">
        <v>1759</v>
      </c>
      <c r="T165" s="1177"/>
    </row>
    <row r="166" spans="9:20" x14ac:dyDescent="0.25">
      <c r="I166" s="1175" t="s">
        <v>1760</v>
      </c>
      <c r="T166" s="1177"/>
    </row>
    <row r="167" spans="9:20" x14ac:dyDescent="0.25">
      <c r="I167" s="1175" t="s">
        <v>1761</v>
      </c>
      <c r="T167" s="1177"/>
    </row>
    <row r="168" spans="9:20" x14ac:dyDescent="0.25">
      <c r="I168" s="1175" t="s">
        <v>1762</v>
      </c>
      <c r="T168" s="1177"/>
    </row>
    <row r="169" spans="9:20" x14ac:dyDescent="0.25">
      <c r="I169" s="1175" t="s">
        <v>1763</v>
      </c>
      <c r="T169" s="1177"/>
    </row>
    <row r="170" spans="9:20" x14ac:dyDescent="0.25">
      <c r="I170" s="1175" t="s">
        <v>1764</v>
      </c>
      <c r="T170" s="1177"/>
    </row>
    <row r="171" spans="9:20" x14ac:dyDescent="0.25">
      <c r="I171" s="1175" t="s">
        <v>1765</v>
      </c>
      <c r="T171" s="1177"/>
    </row>
    <row r="172" spans="9:20" x14ac:dyDescent="0.25">
      <c r="I172" s="1175" t="s">
        <v>1766</v>
      </c>
      <c r="T172" s="1177"/>
    </row>
    <row r="173" spans="9:20" x14ac:dyDescent="0.25">
      <c r="I173" s="1175" t="s">
        <v>1767</v>
      </c>
      <c r="T173" s="1177"/>
    </row>
    <row r="174" spans="9:20" x14ac:dyDescent="0.25">
      <c r="I174" s="1175" t="s">
        <v>1768</v>
      </c>
      <c r="T174" s="1238"/>
    </row>
    <row r="175" spans="9:20" x14ac:dyDescent="0.25">
      <c r="I175" s="1175" t="s">
        <v>1769</v>
      </c>
      <c r="T175" s="1177"/>
    </row>
    <row r="176" spans="9:20" x14ac:dyDescent="0.25">
      <c r="I176" s="1175" t="s">
        <v>1770</v>
      </c>
      <c r="T176" s="1177"/>
    </row>
    <row r="177" spans="9:20" x14ac:dyDescent="0.25">
      <c r="I177" s="1175" t="s">
        <v>1263</v>
      </c>
      <c r="T177" s="1177"/>
    </row>
    <row r="178" spans="9:20" x14ac:dyDescent="0.25">
      <c r="I178" s="1175" t="s">
        <v>1771</v>
      </c>
      <c r="T178" s="1237"/>
    </row>
    <row r="179" spans="9:20" x14ac:dyDescent="0.25">
      <c r="I179" s="1175" t="s">
        <v>1772</v>
      </c>
      <c r="T179" s="1177"/>
    </row>
    <row r="180" spans="9:20" x14ac:dyDescent="0.25">
      <c r="I180" s="1175" t="s">
        <v>1773</v>
      </c>
      <c r="T180" s="1177"/>
    </row>
    <row r="181" spans="9:20" x14ac:dyDescent="0.25">
      <c r="I181" s="1175" t="s">
        <v>1774</v>
      </c>
      <c r="T181" s="1177"/>
    </row>
    <row r="182" spans="9:20" x14ac:dyDescent="0.25">
      <c r="I182" s="1175" t="s">
        <v>1264</v>
      </c>
      <c r="T182" s="1177"/>
    </row>
    <row r="183" spans="9:20" x14ac:dyDescent="0.25">
      <c r="I183" s="1175" t="s">
        <v>1775</v>
      </c>
      <c r="T183" s="1177"/>
    </row>
    <row r="184" spans="9:20" x14ac:dyDescent="0.25">
      <c r="I184" s="1175" t="s">
        <v>1776</v>
      </c>
      <c r="T184" s="1177"/>
    </row>
    <row r="185" spans="9:20" x14ac:dyDescent="0.25">
      <c r="I185" s="1175" t="s">
        <v>1262</v>
      </c>
      <c r="T185" s="1177"/>
    </row>
    <row r="186" spans="9:20" x14ac:dyDescent="0.25">
      <c r="I186" s="1240"/>
      <c r="T186" s="1177"/>
    </row>
    <row r="187" spans="9:20" x14ac:dyDescent="0.25">
      <c r="I187" s="1240"/>
      <c r="T187" s="1177"/>
    </row>
    <row r="188" spans="9:20" x14ac:dyDescent="0.25">
      <c r="I188" s="1240"/>
      <c r="T188" s="1177"/>
    </row>
    <row r="189" spans="9:20" x14ac:dyDescent="0.25">
      <c r="I189" s="1240"/>
      <c r="T189" s="1177"/>
    </row>
    <row r="190" spans="9:20" x14ac:dyDescent="0.25">
      <c r="I190" s="1241"/>
      <c r="T190" s="1177"/>
    </row>
    <row r="191" spans="9:20" x14ac:dyDescent="0.25">
      <c r="I191" s="1241"/>
      <c r="T191" s="1177"/>
    </row>
    <row r="192" spans="9:20" x14ac:dyDescent="0.25">
      <c r="I192" s="1240"/>
      <c r="T192" s="1177"/>
    </row>
    <row r="193" spans="9:20" x14ac:dyDescent="0.25">
      <c r="I193" s="1241"/>
      <c r="T193" s="1177"/>
    </row>
    <row r="194" spans="9:20" x14ac:dyDescent="0.25">
      <c r="I194" s="1241"/>
      <c r="T194" s="1238"/>
    </row>
    <row r="195" spans="9:20" x14ac:dyDescent="0.25">
      <c r="I195" s="1240"/>
      <c r="T195" s="1177"/>
    </row>
    <row r="196" spans="9:20" x14ac:dyDescent="0.25">
      <c r="I196" s="1242"/>
    </row>
    <row r="197" spans="9:20" x14ac:dyDescent="0.25">
      <c r="I197" s="1244"/>
    </row>
    <row r="199" spans="9:20" x14ac:dyDescent="0.25">
      <c r="I199" s="1244"/>
    </row>
    <row r="200" spans="9:20" x14ac:dyDescent="0.25">
      <c r="I200" s="1244"/>
    </row>
    <row r="201" spans="9:20" x14ac:dyDescent="0.25">
      <c r="I201" s="1244"/>
    </row>
    <row r="202" spans="9:20" x14ac:dyDescent="0.25">
      <c r="I202" s="1242"/>
    </row>
    <row r="203" spans="9:20" x14ac:dyDescent="0.25">
      <c r="I203" s="1242"/>
    </row>
    <row r="204" spans="9:20" x14ac:dyDescent="0.25">
      <c r="I204" s="1244"/>
    </row>
    <row r="205" spans="9:20" x14ac:dyDescent="0.25">
      <c r="I205" s="1244"/>
    </row>
    <row r="206" spans="9:20" x14ac:dyDescent="0.25">
      <c r="I206" s="1244"/>
    </row>
    <row r="207" spans="9:20" x14ac:dyDescent="0.25">
      <c r="I207" s="1244"/>
    </row>
    <row r="208" spans="9:20" x14ac:dyDescent="0.25">
      <c r="I208" s="1242"/>
    </row>
    <row r="209" spans="9:9" x14ac:dyDescent="0.25">
      <c r="I209" s="1244"/>
    </row>
    <row r="210" spans="9:9" x14ac:dyDescent="0.25">
      <c r="I210" s="1242"/>
    </row>
    <row r="211" spans="9:9" x14ac:dyDescent="0.25">
      <c r="I211" s="1244"/>
    </row>
    <row r="212" spans="9:9" x14ac:dyDescent="0.25">
      <c r="I212" s="1244"/>
    </row>
    <row r="213" spans="9:9" x14ac:dyDescent="0.25">
      <c r="I213" s="1245"/>
    </row>
    <row r="214" spans="9:9" x14ac:dyDescent="0.25">
      <c r="I214" s="1242"/>
    </row>
    <row r="215" spans="9:9" x14ac:dyDescent="0.25">
      <c r="I215" s="1244"/>
    </row>
    <row r="216" spans="9:9" x14ac:dyDescent="0.25">
      <c r="I216" s="1244"/>
    </row>
    <row r="217" spans="9:9" x14ac:dyDescent="0.25">
      <c r="I217" s="1244"/>
    </row>
    <row r="218" spans="9:9" x14ac:dyDescent="0.25">
      <c r="I218" s="1244"/>
    </row>
    <row r="219" spans="9:9" x14ac:dyDescent="0.25">
      <c r="I219" s="1242"/>
    </row>
    <row r="220" spans="9:9" x14ac:dyDescent="0.25">
      <c r="I220" s="1242"/>
    </row>
    <row r="221" spans="9:9" x14ac:dyDescent="0.25">
      <c r="I221" s="1244"/>
    </row>
    <row r="222" spans="9:9" x14ac:dyDescent="0.25">
      <c r="I222" s="1242"/>
    </row>
    <row r="223" spans="9:9" x14ac:dyDescent="0.25">
      <c r="I223" s="1207"/>
    </row>
    <row r="224" spans="9:9" x14ac:dyDescent="0.25">
      <c r="I224" s="1207"/>
    </row>
    <row r="225" spans="9:9" x14ac:dyDescent="0.25">
      <c r="I225" s="1207"/>
    </row>
    <row r="226" spans="9:9" x14ac:dyDescent="0.25">
      <c r="I226" s="1207"/>
    </row>
    <row r="227" spans="9:9" x14ac:dyDescent="0.25">
      <c r="I227" s="1207"/>
    </row>
    <row r="228" spans="9:9" x14ac:dyDescent="0.25">
      <c r="I228" s="1207"/>
    </row>
    <row r="229" spans="9:9" x14ac:dyDescent="0.25">
      <c r="I229" s="1207"/>
    </row>
    <row r="230" spans="9:9" x14ac:dyDescent="0.25">
      <c r="I230" s="1207"/>
    </row>
    <row r="231" spans="9:9" x14ac:dyDescent="0.25">
      <c r="I231" s="1207"/>
    </row>
    <row r="232" spans="9:9" x14ac:dyDescent="0.25">
      <c r="I232" s="1207"/>
    </row>
    <row r="233" spans="9:9" x14ac:dyDescent="0.25">
      <c r="I233" s="1207"/>
    </row>
    <row r="234" spans="9:9" x14ac:dyDescent="0.25">
      <c r="I234" s="1207"/>
    </row>
    <row r="235" spans="9:9" x14ac:dyDescent="0.25">
      <c r="I235" s="1207"/>
    </row>
    <row r="236" spans="9:9" x14ac:dyDescent="0.25">
      <c r="I236" s="1207"/>
    </row>
    <row r="237" spans="9:9" x14ac:dyDescent="0.25">
      <c r="I237" s="1207"/>
    </row>
    <row r="238" spans="9:9" x14ac:dyDescent="0.25">
      <c r="I238" s="1207"/>
    </row>
    <row r="239" spans="9:9" x14ac:dyDescent="0.25">
      <c r="I239" s="1207"/>
    </row>
    <row r="240" spans="9:9" x14ac:dyDescent="0.25">
      <c r="I240" s="1207"/>
    </row>
    <row r="300" spans="1:11" customFormat="1" x14ac:dyDescent="0.25">
      <c r="A300" s="1174"/>
      <c r="B300" s="1174"/>
      <c r="C300" s="1174"/>
      <c r="D300" s="1174"/>
      <c r="E300" s="1174"/>
      <c r="F300" s="1174"/>
      <c r="G300" s="1174"/>
      <c r="H300" s="1174"/>
      <c r="K300" s="120"/>
    </row>
    <row r="301" spans="1:11" customFormat="1" x14ac:dyDescent="0.25">
      <c r="A301" s="1174"/>
      <c r="B301" s="1174"/>
      <c r="C301" s="1174"/>
      <c r="D301" s="1174"/>
      <c r="E301" s="1174"/>
      <c r="F301" s="1174"/>
      <c r="G301" s="1174"/>
      <c r="H301" s="1174"/>
    </row>
    <row r="302" spans="1:11" customFormat="1" ht="84" customHeight="1" x14ac:dyDescent="0.25">
      <c r="A302" s="1174"/>
      <c r="B302" s="1174"/>
      <c r="C302" s="1174"/>
      <c r="D302" s="1174"/>
      <c r="E302" s="1174"/>
      <c r="F302" s="1174"/>
      <c r="G302" s="1174"/>
      <c r="H302" s="1174"/>
    </row>
    <row r="303" spans="1:11" customFormat="1" x14ac:dyDescent="0.25">
      <c r="A303" s="1174"/>
      <c r="B303" s="1174"/>
      <c r="C303" s="1174"/>
      <c r="D303" s="1174"/>
      <c r="E303" s="1174"/>
      <c r="F303" s="1174"/>
      <c r="G303" s="1174"/>
      <c r="H303" s="1174"/>
    </row>
    <row r="304" spans="1:11" customFormat="1" x14ac:dyDescent="0.25">
      <c r="A304" s="1174"/>
      <c r="B304" s="1174"/>
      <c r="C304" s="1174"/>
      <c r="D304" s="1174"/>
      <c r="E304" s="1174"/>
      <c r="F304" s="1174"/>
      <c r="G304" s="1174"/>
      <c r="H304" s="1174"/>
    </row>
    <row r="305" spans="1:8" customFormat="1" ht="84.75" customHeight="1" x14ac:dyDescent="0.25">
      <c r="A305" s="1174"/>
      <c r="B305" s="1174"/>
      <c r="C305" s="1174"/>
      <c r="D305" s="1174"/>
      <c r="E305" s="1174"/>
      <c r="F305" s="1174"/>
      <c r="G305" s="1174"/>
      <c r="H305" s="1174"/>
    </row>
    <row r="306" spans="1:8" customFormat="1" ht="84.75" customHeight="1" x14ac:dyDescent="0.25">
      <c r="A306" s="1174"/>
      <c r="B306" s="1174"/>
      <c r="C306" s="1174"/>
      <c r="D306" s="1174"/>
      <c r="E306" s="1174"/>
      <c r="F306" s="1174"/>
      <c r="G306" s="1174"/>
      <c r="H306" s="1174"/>
    </row>
    <row r="307" spans="1:8" customFormat="1" ht="84.75" customHeight="1" x14ac:dyDescent="0.25">
      <c r="A307" s="1174"/>
      <c r="B307" s="1174"/>
      <c r="C307" s="1174"/>
      <c r="D307" s="1174"/>
      <c r="E307" s="1174"/>
      <c r="F307" s="1174"/>
      <c r="G307" s="1174"/>
      <c r="H307" s="1174"/>
    </row>
    <row r="308" spans="1:8" customFormat="1" ht="84.75" customHeight="1" x14ac:dyDescent="0.25">
      <c r="A308" s="1174"/>
      <c r="B308" s="1174"/>
      <c r="C308" s="1174"/>
      <c r="D308" s="1174"/>
      <c r="E308" s="1174"/>
      <c r="F308" s="1174"/>
      <c r="G308" s="1174"/>
      <c r="H308" s="1174"/>
    </row>
    <row r="309" spans="1:8" customFormat="1" x14ac:dyDescent="0.25">
      <c r="A309" s="1174"/>
      <c r="B309" s="1174"/>
      <c r="C309" s="1174"/>
      <c r="D309" s="1174"/>
      <c r="E309" s="1174"/>
      <c r="F309" s="1174"/>
      <c r="G309" s="1174"/>
      <c r="H309" s="1174"/>
    </row>
    <row r="310" spans="1:8" customFormat="1" x14ac:dyDescent="0.25">
      <c r="A310" s="1174"/>
      <c r="B310" s="1174"/>
      <c r="C310" s="1174"/>
      <c r="D310" s="1174"/>
      <c r="E310" s="1174"/>
      <c r="F310" s="1174"/>
      <c r="G310" s="1174"/>
      <c r="H310" s="1174"/>
    </row>
    <row r="311" spans="1:8" customFormat="1" x14ac:dyDescent="0.25">
      <c r="A311" s="1174"/>
      <c r="B311" s="1174"/>
      <c r="C311" s="1174"/>
      <c r="D311" s="1174"/>
      <c r="E311" s="1174"/>
      <c r="F311" s="1174"/>
      <c r="G311" s="1174"/>
      <c r="H311" s="1174"/>
    </row>
    <row r="312" spans="1:8" customFormat="1" x14ac:dyDescent="0.25">
      <c r="A312" s="1174"/>
      <c r="B312" s="1174"/>
      <c r="C312" s="1174"/>
      <c r="D312" s="1174"/>
      <c r="E312" s="1174"/>
      <c r="F312" s="1174"/>
      <c r="G312" s="1174"/>
      <c r="H312" s="1174"/>
    </row>
    <row r="313" spans="1:8" customFormat="1" x14ac:dyDescent="0.25">
      <c r="A313" s="1174"/>
      <c r="B313" s="1174"/>
      <c r="C313" s="1174"/>
      <c r="D313" s="1174"/>
      <c r="E313" s="1174"/>
      <c r="F313" s="1174"/>
      <c r="G313" s="1174"/>
      <c r="H313" s="1174"/>
    </row>
    <row r="314" spans="1:8" customFormat="1" x14ac:dyDescent="0.25">
      <c r="A314" s="1174"/>
      <c r="B314" s="1174"/>
      <c r="C314" s="1174"/>
      <c r="D314" s="1174"/>
      <c r="E314" s="1174"/>
      <c r="F314" s="1174"/>
      <c r="G314" s="1174"/>
      <c r="H314" s="1174"/>
    </row>
    <row r="315" spans="1:8" customFormat="1" x14ac:dyDescent="0.25">
      <c r="A315" s="1174"/>
      <c r="B315" s="1174"/>
      <c r="C315" s="1174"/>
      <c r="D315" s="1174"/>
      <c r="E315" s="1174"/>
      <c r="F315" s="1174"/>
      <c r="G315" s="1174"/>
      <c r="H315" s="1174"/>
    </row>
    <row r="316" spans="1:8" customFormat="1" x14ac:dyDescent="0.25">
      <c r="A316" s="1174"/>
      <c r="B316" s="1174"/>
      <c r="C316" s="1174"/>
      <c r="D316" s="1174"/>
      <c r="E316" s="1174"/>
      <c r="F316" s="1174"/>
      <c r="G316" s="1174"/>
      <c r="H316" s="1174"/>
    </row>
    <row r="317" spans="1:8" customFormat="1" x14ac:dyDescent="0.25">
      <c r="A317" s="1174"/>
      <c r="B317" s="1174"/>
      <c r="C317" s="1174"/>
      <c r="D317" s="1174"/>
      <c r="E317" s="1174"/>
      <c r="F317" s="1174"/>
      <c r="G317" s="1174"/>
      <c r="H317" s="1174"/>
    </row>
    <row r="318" spans="1:8" customFormat="1" x14ac:dyDescent="0.25">
      <c r="A318" s="1174"/>
      <c r="B318" s="1174"/>
      <c r="C318" s="1174"/>
      <c r="D318" s="1174"/>
      <c r="E318" s="1174"/>
      <c r="F318" s="1174"/>
      <c r="G318" s="1174"/>
      <c r="H318" s="1174"/>
    </row>
    <row r="319" spans="1:8" customFormat="1" x14ac:dyDescent="0.25">
      <c r="A319" s="1174"/>
      <c r="B319" s="1174"/>
      <c r="C319" s="1174"/>
      <c r="D319" s="1174"/>
      <c r="E319" s="1174"/>
      <c r="F319" s="1174"/>
      <c r="G319" s="1174"/>
      <c r="H319" s="1174"/>
    </row>
    <row r="320" spans="1:8" customFormat="1" x14ac:dyDescent="0.25">
      <c r="A320" s="1174"/>
      <c r="B320" s="1174"/>
      <c r="C320" s="1174"/>
      <c r="D320" s="1174"/>
      <c r="E320" s="1174"/>
      <c r="F320" s="1174"/>
      <c r="G320" s="1174"/>
      <c r="H320" s="1174"/>
    </row>
    <row r="321" spans="1:8" customFormat="1" x14ac:dyDescent="0.25">
      <c r="A321" s="1174"/>
      <c r="B321" s="1174"/>
      <c r="C321" s="1174"/>
      <c r="D321" s="1174"/>
      <c r="E321" s="1174"/>
      <c r="F321" s="1174"/>
      <c r="G321" s="1174"/>
      <c r="H321" s="1174"/>
    </row>
    <row r="322" spans="1:8" customFormat="1" x14ac:dyDescent="0.25">
      <c r="A322" s="1174"/>
      <c r="B322" s="1174"/>
      <c r="C322" s="1174"/>
      <c r="D322" s="1174"/>
      <c r="E322" s="1174"/>
      <c r="F322" s="1174"/>
      <c r="G322" s="1174"/>
      <c r="H322" s="1174"/>
    </row>
    <row r="323" spans="1:8" customFormat="1" x14ac:dyDescent="0.25">
      <c r="A323" s="1174"/>
      <c r="B323" s="1174"/>
      <c r="C323" s="1174"/>
      <c r="D323" s="1174"/>
      <c r="E323" s="1174"/>
      <c r="F323" s="1174"/>
      <c r="G323" s="1174"/>
      <c r="H323" s="1174"/>
    </row>
    <row r="324" spans="1:8" customFormat="1" x14ac:dyDescent="0.25">
      <c r="A324" s="1174"/>
      <c r="B324" s="1174"/>
      <c r="C324" s="1174"/>
      <c r="D324" s="1174"/>
      <c r="E324" s="1174"/>
      <c r="F324" s="1174"/>
      <c r="G324" s="1174"/>
      <c r="H324" s="1174"/>
    </row>
    <row r="325" spans="1:8" customFormat="1" x14ac:dyDescent="0.25">
      <c r="A325" s="1174"/>
      <c r="B325" s="1174"/>
      <c r="C325" s="1174"/>
      <c r="D325" s="1174"/>
      <c r="E325" s="1174"/>
      <c r="F325" s="1174"/>
      <c r="G325" s="1174"/>
      <c r="H325" s="1174"/>
    </row>
    <row r="326" spans="1:8" customFormat="1" x14ac:dyDescent="0.25">
      <c r="A326" s="1174"/>
      <c r="B326" s="1174"/>
      <c r="C326" s="1174"/>
      <c r="D326" s="1174"/>
      <c r="E326" s="1174"/>
      <c r="F326" s="1174"/>
      <c r="G326" s="1174"/>
      <c r="H326" s="1174"/>
    </row>
    <row r="327" spans="1:8" customFormat="1" x14ac:dyDescent="0.25">
      <c r="A327" s="1174"/>
      <c r="B327" s="1174"/>
      <c r="C327" s="1174"/>
      <c r="D327" s="1174"/>
      <c r="E327" s="1174"/>
      <c r="F327" s="1174"/>
      <c r="G327" s="1174"/>
      <c r="H327" s="1174"/>
    </row>
    <row r="328" spans="1:8" customFormat="1" x14ac:dyDescent="0.25">
      <c r="A328" s="1174"/>
      <c r="B328" s="1174"/>
      <c r="C328" s="1174"/>
      <c r="D328" s="1174"/>
      <c r="E328" s="1174"/>
      <c r="F328" s="1174"/>
      <c r="G328" s="1174"/>
      <c r="H328" s="1174"/>
    </row>
    <row r="329" spans="1:8" customFormat="1" x14ac:dyDescent="0.25">
      <c r="A329" s="1174"/>
      <c r="B329" s="1174"/>
      <c r="C329" s="1174"/>
      <c r="D329" s="1174"/>
      <c r="E329" s="1174"/>
      <c r="F329" s="1174"/>
      <c r="G329" s="1174"/>
      <c r="H329" s="1174"/>
    </row>
    <row r="330" spans="1:8" customFormat="1" x14ac:dyDescent="0.25">
      <c r="A330" s="1174"/>
      <c r="B330" s="1174"/>
      <c r="C330" s="1174"/>
      <c r="D330" s="1174"/>
      <c r="E330" s="1174"/>
      <c r="F330" s="1174"/>
      <c r="G330" s="1174"/>
      <c r="H330" s="1174"/>
    </row>
    <row r="331" spans="1:8" customFormat="1" x14ac:dyDescent="0.25">
      <c r="A331" s="1174"/>
      <c r="B331" s="1174"/>
      <c r="C331" s="1174"/>
      <c r="D331" s="1174"/>
      <c r="E331" s="1174"/>
      <c r="F331" s="1174"/>
      <c r="G331" s="1174"/>
      <c r="H331" s="1174"/>
    </row>
    <row r="332" spans="1:8" customFormat="1" x14ac:dyDescent="0.25">
      <c r="A332" s="1174"/>
      <c r="B332" s="1174"/>
      <c r="C332" s="1174"/>
      <c r="D332" s="1174"/>
      <c r="E332" s="1174"/>
      <c r="F332" s="1174"/>
      <c r="G332" s="1174"/>
      <c r="H332" s="1174"/>
    </row>
    <row r="333" spans="1:8" customFormat="1" x14ac:dyDescent="0.25">
      <c r="A333" s="1174"/>
      <c r="B333" s="1174"/>
      <c r="C333" s="1174"/>
      <c r="D333" s="1174"/>
      <c r="E333" s="1174"/>
      <c r="F333" s="1174"/>
      <c r="G333" s="1174"/>
      <c r="H333" s="1174"/>
    </row>
    <row r="334" spans="1:8" customFormat="1" x14ac:dyDescent="0.25">
      <c r="A334" s="1174"/>
      <c r="B334" s="1174"/>
      <c r="C334" s="1174"/>
      <c r="D334" s="1174"/>
      <c r="E334" s="1174"/>
      <c r="F334" s="1174"/>
      <c r="G334" s="1174"/>
      <c r="H334" s="1174"/>
    </row>
    <row r="335" spans="1:8" customFormat="1" x14ac:dyDescent="0.25">
      <c r="A335" s="1174"/>
      <c r="B335" s="1174"/>
      <c r="C335" s="1174"/>
      <c r="D335" s="1174"/>
      <c r="E335" s="1174"/>
      <c r="F335" s="1174"/>
      <c r="G335" s="1174"/>
      <c r="H335" s="1174"/>
    </row>
    <row r="336" spans="1:8" customFormat="1" x14ac:dyDescent="0.25">
      <c r="A336" s="1174"/>
      <c r="B336" s="1174"/>
      <c r="C336" s="1174"/>
      <c r="D336" s="1174"/>
      <c r="E336" s="1174"/>
      <c r="F336" s="1174"/>
      <c r="G336" s="1174"/>
      <c r="H336" s="1174"/>
    </row>
    <row r="337" spans="1:8" customFormat="1" x14ac:dyDescent="0.25">
      <c r="A337" s="1174"/>
      <c r="B337" s="1174"/>
      <c r="C337" s="1174"/>
      <c r="D337" s="1174"/>
      <c r="E337" s="1174"/>
      <c r="F337" s="1174"/>
      <c r="G337" s="1174"/>
      <c r="H337" s="1174"/>
    </row>
    <row r="338" spans="1:8" customFormat="1" x14ac:dyDescent="0.25">
      <c r="A338" s="1174"/>
      <c r="B338" s="1174"/>
      <c r="C338" s="1174"/>
      <c r="D338" s="1174"/>
      <c r="E338" s="1174"/>
      <c r="F338" s="1174"/>
      <c r="G338" s="1174"/>
      <c r="H338" s="1174"/>
    </row>
    <row r="339" spans="1:8" customFormat="1" x14ac:dyDescent="0.25">
      <c r="A339" s="1174"/>
      <c r="B339" s="1174"/>
      <c r="C339" s="1174"/>
      <c r="D339" s="1174"/>
      <c r="E339" s="1174"/>
      <c r="F339" s="1174"/>
      <c r="G339" s="1174"/>
      <c r="H339" s="1174"/>
    </row>
    <row r="340" spans="1:8" customFormat="1" x14ac:dyDescent="0.25">
      <c r="A340" s="1174"/>
      <c r="B340" s="1174"/>
      <c r="C340" s="1174"/>
      <c r="D340" s="1174"/>
      <c r="E340" s="1174"/>
      <c r="F340" s="1174"/>
      <c r="G340" s="1174"/>
      <c r="H340" s="1174"/>
    </row>
    <row r="341" spans="1:8" customFormat="1" x14ac:dyDescent="0.25">
      <c r="A341" s="1174"/>
      <c r="B341" s="1174"/>
      <c r="C341" s="1174"/>
      <c r="D341" s="1174"/>
      <c r="E341" s="1174"/>
      <c r="F341" s="1174"/>
      <c r="G341" s="1174"/>
      <c r="H341" s="1174"/>
    </row>
    <row r="342" spans="1:8" customFormat="1" x14ac:dyDescent="0.25">
      <c r="A342" s="1174"/>
      <c r="B342" s="1174"/>
      <c r="C342" s="1174"/>
      <c r="D342" s="1174"/>
      <c r="E342" s="1174"/>
      <c r="F342" s="1174"/>
      <c r="G342" s="1174"/>
      <c r="H342" s="1174"/>
    </row>
    <row r="343" spans="1:8" customFormat="1" x14ac:dyDescent="0.25">
      <c r="A343" s="1174"/>
      <c r="B343" s="1174"/>
      <c r="C343" s="1174"/>
      <c r="D343" s="1174"/>
      <c r="E343" s="1174"/>
      <c r="F343" s="1174"/>
      <c r="G343" s="1174"/>
      <c r="H343" s="1174"/>
    </row>
    <row r="344" spans="1:8" customFormat="1" x14ac:dyDescent="0.25">
      <c r="A344" s="1174"/>
      <c r="B344" s="1174"/>
      <c r="C344" s="1174"/>
      <c r="D344" s="1174"/>
      <c r="E344" s="1174"/>
      <c r="F344" s="1174"/>
      <c r="G344" s="1174"/>
      <c r="H344" s="1174"/>
    </row>
    <row r="345" spans="1:8" customFormat="1" x14ac:dyDescent="0.25">
      <c r="A345" s="1174"/>
      <c r="B345" s="1174"/>
      <c r="C345" s="1174"/>
      <c r="D345" s="1174"/>
      <c r="E345" s="1174"/>
      <c r="F345" s="1174"/>
      <c r="G345" s="1174"/>
      <c r="H345" s="1174"/>
    </row>
    <row r="346" spans="1:8" customFormat="1" x14ac:dyDescent="0.25">
      <c r="A346" s="1174"/>
      <c r="B346" s="1174"/>
      <c r="C346" s="1174"/>
      <c r="D346" s="1174"/>
      <c r="E346" s="1174"/>
      <c r="F346" s="1174"/>
      <c r="G346" s="1174"/>
      <c r="H346" s="1174"/>
    </row>
    <row r="347" spans="1:8" customFormat="1" x14ac:dyDescent="0.25">
      <c r="A347" s="1174"/>
      <c r="B347" s="1174"/>
      <c r="C347" s="1174"/>
      <c r="D347" s="1174"/>
      <c r="E347" s="1174"/>
      <c r="F347" s="1174"/>
      <c r="G347" s="1174"/>
      <c r="H347" s="1174"/>
    </row>
    <row r="349" spans="1:8" s="4" customFormat="1" ht="12.75" x14ac:dyDescent="0.2"/>
    <row r="350" spans="1:8" s="4" customFormat="1" ht="12.75" x14ac:dyDescent="0.2"/>
    <row r="351" spans="1:8" s="4" customFormat="1" ht="12.75" x14ac:dyDescent="0.2"/>
    <row r="352" spans="1:8" s="4" customFormat="1" ht="12.75" x14ac:dyDescent="0.2"/>
    <row r="353" s="4" customFormat="1" ht="12.75" x14ac:dyDescent="0.2"/>
    <row r="354" s="4" customFormat="1" ht="12.75" x14ac:dyDescent="0.2"/>
    <row r="355" s="4" customFormat="1" ht="12.75" x14ac:dyDescent="0.2"/>
    <row r="356" s="4" customFormat="1" ht="12.75" x14ac:dyDescent="0.2"/>
    <row r="357" s="4" customFormat="1" ht="12.75" x14ac:dyDescent="0.2"/>
    <row r="358" s="4" customFormat="1" ht="12.75" x14ac:dyDescent="0.2"/>
    <row r="359" s="4" customFormat="1" ht="12.75" x14ac:dyDescent="0.2"/>
    <row r="360" s="4" customFormat="1" ht="24" customHeight="1" x14ac:dyDescent="0.2"/>
    <row r="361" s="4" customFormat="1" ht="12.75" x14ac:dyDescent="0.2"/>
    <row r="362" s="4" customFormat="1" ht="28.5" customHeight="1" x14ac:dyDescent="0.2"/>
    <row r="363" s="4" customFormat="1" ht="12.75" x14ac:dyDescent="0.2"/>
    <row r="364" s="4" customFormat="1" ht="27" customHeight="1" x14ac:dyDescent="0.2"/>
    <row r="365" s="4" customFormat="1" ht="12.75" x14ac:dyDescent="0.2"/>
    <row r="366" s="4" customFormat="1" ht="12.75" x14ac:dyDescent="0.2"/>
    <row r="367" s="4" customFormat="1" ht="12.75" x14ac:dyDescent="0.2"/>
    <row r="368" s="4" customFormat="1" ht="15" customHeight="1" x14ac:dyDescent="0.2"/>
    <row r="369" s="4" customFormat="1" ht="15" customHeight="1" x14ac:dyDescent="0.2"/>
    <row r="370" s="4" customFormat="1" ht="15" customHeight="1" x14ac:dyDescent="0.2"/>
    <row r="371" s="4" customFormat="1" ht="15" customHeight="1" x14ac:dyDescent="0.2"/>
    <row r="372" s="4" customFormat="1" ht="15" customHeight="1" x14ac:dyDescent="0.2"/>
    <row r="373" s="4" customFormat="1" ht="15" customHeight="1" x14ac:dyDescent="0.2"/>
    <row r="374" s="4" customFormat="1" ht="15" customHeight="1" x14ac:dyDescent="0.2"/>
    <row r="375" s="4" customFormat="1" ht="15" customHeight="1" x14ac:dyDescent="0.2"/>
    <row r="376" s="4" customFormat="1" ht="15" customHeight="1" x14ac:dyDescent="0.2"/>
    <row r="377" s="4" customFormat="1" ht="15" customHeight="1" x14ac:dyDescent="0.2"/>
    <row r="378" s="4" customFormat="1" ht="15" customHeight="1" x14ac:dyDescent="0.2"/>
    <row r="379" s="4" customFormat="1" ht="15" customHeight="1" x14ac:dyDescent="0.2"/>
    <row r="380" s="4" customFormat="1" ht="15" customHeight="1" x14ac:dyDescent="0.2"/>
    <row r="381" s="4" customFormat="1" ht="15" customHeight="1" x14ac:dyDescent="0.2"/>
    <row r="382" s="4" customFormat="1" ht="15" customHeight="1" x14ac:dyDescent="0.2"/>
    <row r="383" s="4" customFormat="1" ht="15" customHeight="1" x14ac:dyDescent="0.2"/>
    <row r="384" s="4" customFormat="1" ht="15" customHeight="1" x14ac:dyDescent="0.2"/>
    <row r="385" s="4" customFormat="1" ht="15" customHeight="1" x14ac:dyDescent="0.2"/>
    <row r="386" s="4" customFormat="1" ht="15" customHeight="1" x14ac:dyDescent="0.2"/>
    <row r="387" s="4" customFormat="1" ht="15" customHeight="1" x14ac:dyDescent="0.2"/>
    <row r="388" s="4" customFormat="1" ht="15" customHeight="1" x14ac:dyDescent="0.2"/>
    <row r="389" s="4" customFormat="1" ht="15" customHeight="1" x14ac:dyDescent="0.2"/>
    <row r="390" s="4" customFormat="1" ht="15" customHeight="1" x14ac:dyDescent="0.2"/>
    <row r="391" s="4" customFormat="1" ht="15" customHeight="1" x14ac:dyDescent="0.2"/>
    <row r="392" s="4" customFormat="1" ht="15" customHeight="1" x14ac:dyDescent="0.2"/>
    <row r="393" s="4" customFormat="1" ht="15" customHeight="1" x14ac:dyDescent="0.2"/>
    <row r="394" s="4" customFormat="1" ht="15" customHeight="1" x14ac:dyDescent="0.2"/>
    <row r="395" s="4" customFormat="1" ht="15" customHeight="1" x14ac:dyDescent="0.2"/>
    <row r="396" s="4" customFormat="1" ht="15" customHeight="1" x14ac:dyDescent="0.2"/>
    <row r="397" s="4" customFormat="1" ht="15" customHeight="1" x14ac:dyDescent="0.2"/>
    <row r="398" s="4" customFormat="1" ht="12.75" x14ac:dyDescent="0.2"/>
    <row r="399" s="4" customFormat="1" ht="15" customHeight="1" x14ac:dyDescent="0.2"/>
    <row r="400" s="4" customFormat="1" ht="15" customHeight="1" x14ac:dyDescent="0.2"/>
    <row r="401" s="4" customFormat="1" ht="15" customHeight="1" x14ac:dyDescent="0.2"/>
    <row r="402" s="4" customFormat="1" ht="12.75" x14ac:dyDescent="0.2"/>
    <row r="403" s="4" customFormat="1" ht="12.75" x14ac:dyDescent="0.2"/>
    <row r="404" s="4" customFormat="1" ht="12.75" x14ac:dyDescent="0.2"/>
    <row r="405" s="4" customFormat="1" ht="12.75" x14ac:dyDescent="0.2"/>
    <row r="406" s="4" customFormat="1" ht="15" customHeight="1" x14ac:dyDescent="0.2"/>
    <row r="407" s="4" customFormat="1" ht="15" customHeight="1" x14ac:dyDescent="0.2"/>
    <row r="408" s="4" customFormat="1" ht="15" customHeight="1" x14ac:dyDescent="0.2"/>
    <row r="409" s="4" customFormat="1" ht="15" customHeight="1" x14ac:dyDescent="0.2"/>
    <row r="410" s="4" customFormat="1" ht="15" customHeight="1" x14ac:dyDescent="0.2"/>
    <row r="411" s="4" customFormat="1" ht="15" customHeight="1" x14ac:dyDescent="0.2"/>
    <row r="412" s="4" customFormat="1" ht="15" customHeight="1" x14ac:dyDescent="0.2"/>
    <row r="413" s="4" customFormat="1" ht="15" customHeight="1" x14ac:dyDescent="0.2"/>
    <row r="414" s="4" customFormat="1" ht="15" customHeight="1" x14ac:dyDescent="0.2"/>
    <row r="415" s="4" customFormat="1" ht="15" customHeight="1" x14ac:dyDescent="0.2"/>
    <row r="416" s="4" customFormat="1" ht="15" customHeight="1" x14ac:dyDescent="0.2"/>
    <row r="417" s="4" customFormat="1" ht="15" customHeight="1" x14ac:dyDescent="0.2"/>
    <row r="418" s="4" customFormat="1" ht="12.75" x14ac:dyDescent="0.2"/>
    <row r="419" s="4" customFormat="1" ht="12.75" x14ac:dyDescent="0.2"/>
    <row r="420" s="4" customFormat="1" ht="12.75" x14ac:dyDescent="0.2"/>
    <row r="421" s="4" customFormat="1" ht="12.75" x14ac:dyDescent="0.2"/>
    <row r="422" s="4" customFormat="1" ht="12.75" x14ac:dyDescent="0.2"/>
    <row r="423" s="4" customFormat="1" ht="15" customHeight="1" x14ac:dyDescent="0.2"/>
    <row r="424" s="4" customFormat="1" ht="12.75" x14ac:dyDescent="0.2"/>
    <row r="425" s="4" customFormat="1" ht="12.75" x14ac:dyDescent="0.2"/>
    <row r="426" s="4" customFormat="1" ht="12.75" x14ac:dyDescent="0.2"/>
    <row r="427" s="4" customFormat="1" ht="12.75" x14ac:dyDescent="0.2"/>
    <row r="428" s="4" customFormat="1" ht="12.75" x14ac:dyDescent="0.2"/>
    <row r="429" s="4" customFormat="1" ht="12.75" x14ac:dyDescent="0.2"/>
    <row r="430" s="4" customFormat="1" ht="12.75" x14ac:dyDescent="0.2"/>
    <row r="431" s="4" customFormat="1" ht="12.75" x14ac:dyDescent="0.2"/>
    <row r="432" s="4" customFormat="1" ht="12.75" x14ac:dyDescent="0.2"/>
    <row r="433" s="4" customFormat="1" ht="15" customHeight="1" x14ac:dyDescent="0.2"/>
    <row r="434" s="4" customFormat="1" ht="15" customHeight="1" x14ac:dyDescent="0.2"/>
    <row r="435" s="4" customFormat="1" ht="15" customHeight="1" x14ac:dyDescent="0.2"/>
    <row r="436" s="4" customFormat="1" ht="15" customHeight="1" x14ac:dyDescent="0.2"/>
    <row r="437" s="4" customFormat="1" ht="15" customHeight="1" x14ac:dyDescent="0.2"/>
    <row r="438" s="4" customFormat="1" ht="15" customHeight="1" x14ac:dyDescent="0.2"/>
    <row r="439" s="4" customFormat="1" ht="15" customHeight="1" x14ac:dyDescent="0.2"/>
    <row r="440" s="4" customFormat="1" ht="15" customHeight="1" x14ac:dyDescent="0.2"/>
    <row r="441" s="4" customFormat="1" ht="12.75" x14ac:dyDescent="0.2"/>
    <row r="442" s="4" customFormat="1" ht="12.75" x14ac:dyDescent="0.2"/>
    <row r="443" s="4" customFormat="1" ht="12.75" x14ac:dyDescent="0.2"/>
    <row r="444" s="4" customFormat="1" ht="12.75" x14ac:dyDescent="0.2"/>
    <row r="445" s="4" customFormat="1" ht="12.75" x14ac:dyDescent="0.2"/>
    <row r="446" s="4" customFormat="1" ht="15" customHeight="1" x14ac:dyDescent="0.2"/>
    <row r="447" s="4" customFormat="1" ht="12.75" x14ac:dyDescent="0.2"/>
    <row r="448" s="4" customFormat="1" ht="15" customHeight="1" x14ac:dyDescent="0.2"/>
    <row r="449" s="4" customFormat="1" ht="12.75" x14ac:dyDescent="0.2"/>
    <row r="450" s="4" customFormat="1" ht="12.75" x14ac:dyDescent="0.2"/>
    <row r="451" s="4" customFormat="1" ht="12.75" x14ac:dyDescent="0.2"/>
    <row r="452" s="4" customFormat="1" ht="12.75" x14ac:dyDescent="0.2"/>
    <row r="453" s="4" customFormat="1" ht="12.75" x14ac:dyDescent="0.2"/>
    <row r="454" s="4" customFormat="1" ht="12.75" x14ac:dyDescent="0.2"/>
    <row r="455" s="4" customFormat="1" ht="12.75" x14ac:dyDescent="0.2"/>
    <row r="456" s="4" customFormat="1" ht="12.75" x14ac:dyDescent="0.2"/>
    <row r="457" s="4" customFormat="1" ht="24.75" customHeight="1" x14ac:dyDescent="0.2"/>
    <row r="458" s="4" customFormat="1" ht="12.75" x14ac:dyDescent="0.2"/>
    <row r="459" s="4" customFormat="1" ht="24" customHeight="1" x14ac:dyDescent="0.2"/>
    <row r="460" s="4" customFormat="1" ht="12.75" x14ac:dyDescent="0.2"/>
    <row r="461" s="4" customFormat="1" ht="24.75" customHeight="1" x14ac:dyDescent="0.2"/>
    <row r="462" s="4" customFormat="1" ht="12.75" x14ac:dyDescent="0.2"/>
    <row r="463" s="4" customFormat="1" ht="25.5" customHeight="1" x14ac:dyDescent="0.2"/>
    <row r="464" s="4" customFormat="1" ht="12.75" x14ac:dyDescent="0.2"/>
    <row r="465" s="4" customFormat="1" ht="12.75" customHeight="1" x14ac:dyDescent="0.2"/>
    <row r="466" s="4" customFormat="1" ht="12.75" x14ac:dyDescent="0.2"/>
    <row r="467" s="4" customFormat="1" ht="12.75" x14ac:dyDescent="0.2"/>
    <row r="468" s="4" customFormat="1" ht="12.75" x14ac:dyDescent="0.2"/>
    <row r="469" s="4" customFormat="1" ht="12.75" x14ac:dyDescent="0.2"/>
    <row r="470" s="4" customFormat="1" ht="12.75" x14ac:dyDescent="0.2"/>
    <row r="471" s="4" customFormat="1" ht="12.75" x14ac:dyDescent="0.2"/>
    <row r="472" s="4" customFormat="1" ht="12.75" x14ac:dyDescent="0.2"/>
    <row r="473" s="4" customFormat="1" ht="12.75" x14ac:dyDescent="0.2"/>
    <row r="474" s="4" customFormat="1" ht="12.75" x14ac:dyDescent="0.2"/>
    <row r="475" s="4" customFormat="1" ht="12.75" x14ac:dyDescent="0.2"/>
    <row r="476" s="4" customFormat="1" ht="12.75" x14ac:dyDescent="0.2"/>
    <row r="477" s="4" customFormat="1" ht="12.75" x14ac:dyDescent="0.2"/>
    <row r="478" s="4" customFormat="1" ht="12.75" x14ac:dyDescent="0.2"/>
    <row r="479" s="4" customFormat="1" ht="12.75" x14ac:dyDescent="0.2"/>
    <row r="480" s="4" customFormat="1" ht="12.75" x14ac:dyDescent="0.2"/>
    <row r="481" s="4" customFormat="1" ht="12.75" x14ac:dyDescent="0.2"/>
    <row r="482" s="4" customFormat="1" ht="12.75" x14ac:dyDescent="0.2"/>
    <row r="483" s="4" customFormat="1" ht="15" customHeight="1" x14ac:dyDescent="0.2"/>
    <row r="484" s="4" customFormat="1" ht="12.75" x14ac:dyDescent="0.2"/>
    <row r="485" s="4" customFormat="1" ht="12.75" x14ac:dyDescent="0.2"/>
    <row r="486" s="4" customFormat="1" ht="12.75" x14ac:dyDescent="0.2"/>
    <row r="487" s="4" customFormat="1" ht="12.75" x14ac:dyDescent="0.2"/>
    <row r="488" s="4" customFormat="1" ht="12.75" x14ac:dyDescent="0.2"/>
    <row r="489" s="4" customFormat="1" ht="12.75" x14ac:dyDescent="0.2"/>
    <row r="490" s="4" customFormat="1" ht="12.75" x14ac:dyDescent="0.2"/>
    <row r="491" s="4" customFormat="1" ht="12.75" x14ac:dyDescent="0.2"/>
  </sheetData>
  <mergeCells count="18">
    <mergeCell ref="AZ13:BA13"/>
    <mergeCell ref="AZ12:BA12"/>
    <mergeCell ref="AZ1:BA1"/>
    <mergeCell ref="AZ2:BA2"/>
    <mergeCell ref="AZ3:BA3"/>
    <mergeCell ref="AZ4:BA4"/>
    <mergeCell ref="AZ5:BA5"/>
    <mergeCell ref="AZ6:BA6"/>
    <mergeCell ref="AZ7:BA7"/>
    <mergeCell ref="AZ8:BA8"/>
    <mergeCell ref="AZ9:BA9"/>
    <mergeCell ref="AZ10:BA10"/>
    <mergeCell ref="AZ11:BA11"/>
    <mergeCell ref="AZ14:BA14"/>
    <mergeCell ref="AZ15:BA15"/>
    <mergeCell ref="AZ16:BA16"/>
    <mergeCell ref="AZ17:BA17"/>
    <mergeCell ref="AZ18:BA18"/>
  </mergeCells>
  <dataValidations count="1">
    <dataValidation allowBlank="1" showInputMessage="1" showErrorMessage="1" sqref="I67"/>
  </dataValidation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494"/>
  <sheetViews>
    <sheetView topLeftCell="A10" workbookViewId="0">
      <selection activeCell="A53" sqref="A53:XFD195"/>
    </sheetView>
  </sheetViews>
  <sheetFormatPr defaultRowHeight="15" x14ac:dyDescent="0.25"/>
  <cols>
    <col min="1" max="1" width="58.28515625" style="1174" customWidth="1"/>
    <col min="2" max="2" width="16.42578125" style="1174" customWidth="1"/>
    <col min="3" max="3" width="5.7109375" style="1174" customWidth="1"/>
    <col min="4" max="4" width="8" style="1174" customWidth="1"/>
    <col min="5" max="6" width="14.5703125" style="1174" customWidth="1"/>
    <col min="7" max="10" width="9.140625" style="1174"/>
  </cols>
  <sheetData>
    <row r="1" spans="1:10" ht="18" x14ac:dyDescent="0.25">
      <c r="A1" s="2304" t="s">
        <v>1259</v>
      </c>
      <c r="B1" s="2304"/>
      <c r="C1" s="2304"/>
      <c r="D1" s="2304"/>
      <c r="E1" s="1331"/>
      <c r="F1" s="1331"/>
      <c r="G1" s="1331"/>
      <c r="H1" s="1331"/>
      <c r="I1" s="1331"/>
    </row>
    <row r="2" spans="1:10" x14ac:dyDescent="0.25">
      <c r="A2" s="1268"/>
      <c r="B2" s="1268"/>
      <c r="C2" s="1268"/>
      <c r="D2" s="1268"/>
      <c r="E2" s="1268"/>
      <c r="F2" s="1268"/>
      <c r="G2" s="1268"/>
      <c r="H2" s="1268"/>
      <c r="I2" s="1268"/>
      <c r="J2" s="1189"/>
    </row>
    <row r="3" spans="1:10" ht="87" customHeight="1" x14ac:dyDescent="0.25">
      <c r="A3" s="2292"/>
      <c r="B3" s="2292"/>
      <c r="C3" s="2292"/>
      <c r="D3" s="2292"/>
    </row>
    <row r="4" spans="1:10" x14ac:dyDescent="0.25">
      <c r="A4" s="1144" t="s">
        <v>1260</v>
      </c>
      <c r="B4" s="1143"/>
      <c r="C4" s="1143"/>
      <c r="D4" s="1143"/>
      <c r="E4" s="1143"/>
      <c r="F4" s="1143"/>
      <c r="G4" s="1143"/>
      <c r="H4" s="1143"/>
      <c r="I4" s="1143"/>
    </row>
    <row r="5" spans="1:10" x14ac:dyDescent="0.25">
      <c r="A5" s="1143"/>
      <c r="B5" s="1143"/>
      <c r="C5" s="1143"/>
      <c r="D5" s="1143"/>
      <c r="E5" s="1143"/>
      <c r="F5" s="1143"/>
      <c r="G5" s="1143"/>
      <c r="H5" s="1143"/>
      <c r="I5" s="1143"/>
    </row>
    <row r="6" spans="1:10" ht="87" customHeight="1" x14ac:dyDescent="0.25">
      <c r="A6" s="2292"/>
      <c r="B6" s="2292"/>
      <c r="C6" s="2292"/>
      <c r="D6" s="2292"/>
    </row>
    <row r="7" spans="1:10" ht="87" customHeight="1" x14ac:dyDescent="0.25">
      <c r="A7" s="2292"/>
      <c r="B7" s="2292"/>
      <c r="C7" s="2292"/>
      <c r="D7" s="2292"/>
    </row>
    <row r="8" spans="1:10" ht="87" customHeight="1" x14ac:dyDescent="0.25">
      <c r="A8" s="2292"/>
      <c r="B8" s="2292"/>
      <c r="C8" s="2292"/>
      <c r="D8" s="2292"/>
      <c r="H8" s="1143"/>
      <c r="I8" s="1275"/>
    </row>
    <row r="9" spans="1:10" ht="87" customHeight="1" x14ac:dyDescent="0.25">
      <c r="A9" s="2292"/>
      <c r="B9" s="2292"/>
      <c r="C9" s="2292"/>
      <c r="D9" s="2292"/>
      <c r="H9" s="1143"/>
      <c r="I9" s="1275"/>
    </row>
    <row r="10" spans="1:10" x14ac:dyDescent="0.25">
      <c r="G10" s="1189"/>
      <c r="H10" s="1143"/>
      <c r="I10" s="1275"/>
    </row>
    <row r="11" spans="1:10" x14ac:dyDescent="0.25">
      <c r="A11" s="1144" t="s">
        <v>1795</v>
      </c>
      <c r="B11" s="1143"/>
      <c r="C11" s="1143"/>
      <c r="D11" s="1143"/>
      <c r="G11" s="1143"/>
      <c r="H11" s="1143"/>
      <c r="I11" s="1275"/>
    </row>
    <row r="12" spans="1:10" x14ac:dyDescent="0.25">
      <c r="A12" s="1144"/>
      <c r="B12" s="1143"/>
      <c r="C12" s="1143"/>
      <c r="D12" s="1143"/>
      <c r="G12" s="1143"/>
      <c r="H12" s="1143"/>
      <c r="I12" s="1275"/>
    </row>
    <row r="13" spans="1:10" ht="15.75" thickBot="1" x14ac:dyDescent="0.3">
      <c r="A13" s="2289"/>
      <c r="B13" s="2289"/>
      <c r="C13" s="1324"/>
      <c r="D13" s="1325"/>
      <c r="G13" s="1269"/>
      <c r="H13" s="1143"/>
      <c r="I13" s="1275"/>
    </row>
    <row r="14" spans="1:10" ht="16.5" thickTop="1" thickBot="1" x14ac:dyDescent="0.3">
      <c r="A14" s="2289"/>
      <c r="B14" s="2289"/>
      <c r="C14" s="1324"/>
      <c r="D14" s="1325"/>
      <c r="G14" s="1270"/>
      <c r="H14" s="1143"/>
      <c r="I14" s="1275"/>
    </row>
    <row r="15" spans="1:10" ht="16.5" thickTop="1" thickBot="1" x14ac:dyDescent="0.3">
      <c r="A15" s="2289"/>
      <c r="B15" s="2289"/>
      <c r="C15" s="1324"/>
      <c r="D15" s="1325"/>
      <c r="G15" s="1270"/>
      <c r="H15" s="1143"/>
      <c r="I15" s="1275"/>
    </row>
    <row r="16" spans="1:10" ht="16.5" thickTop="1" thickBot="1" x14ac:dyDescent="0.3">
      <c r="A16" s="2289"/>
      <c r="B16" s="2289"/>
      <c r="C16" s="1324"/>
      <c r="D16" s="1325"/>
      <c r="G16" s="1270"/>
      <c r="H16" s="1143"/>
      <c r="I16" s="1275"/>
    </row>
    <row r="17" spans="1:9" ht="16.5" thickTop="1" thickBot="1" x14ac:dyDescent="0.3">
      <c r="A17" s="2289"/>
      <c r="B17" s="2289"/>
      <c r="C17" s="1324"/>
      <c r="D17" s="1325"/>
      <c r="G17" s="1270"/>
      <c r="H17" s="1143"/>
      <c r="I17" s="1275"/>
    </row>
    <row r="18" spans="1:9" ht="16.5" thickTop="1" thickBot="1" x14ac:dyDescent="0.3">
      <c r="A18" s="2289"/>
      <c r="B18" s="2289"/>
      <c r="C18" s="1324"/>
      <c r="D18" s="1325"/>
      <c r="G18" s="1270"/>
      <c r="H18" s="1143"/>
      <c r="I18" s="1275"/>
    </row>
    <row r="19" spans="1:9" ht="16.5" thickTop="1" thickBot="1" x14ac:dyDescent="0.3">
      <c r="A19" s="2289"/>
      <c r="B19" s="2289"/>
      <c r="C19" s="1324"/>
      <c r="D19" s="1325"/>
      <c r="G19" s="1270"/>
      <c r="H19" s="1143"/>
      <c r="I19" s="1275"/>
    </row>
    <row r="20" spans="1:9" ht="16.5" thickTop="1" thickBot="1" x14ac:dyDescent="0.3">
      <c r="A20" s="2289"/>
      <c r="B20" s="2289"/>
      <c r="C20" s="1324"/>
      <c r="D20" s="1325"/>
      <c r="G20" s="1270"/>
      <c r="H20" s="1143"/>
      <c r="I20" s="1275"/>
    </row>
    <row r="21" spans="1:9" ht="16.5" thickTop="1" thickBot="1" x14ac:dyDescent="0.3">
      <c r="A21" s="2289"/>
      <c r="B21" s="2289"/>
      <c r="C21" s="1324"/>
      <c r="D21" s="1325"/>
      <c r="G21" s="1270"/>
      <c r="H21" s="1143"/>
      <c r="I21" s="1275"/>
    </row>
    <row r="22" spans="1:9" ht="16.5" thickTop="1" thickBot="1" x14ac:dyDescent="0.3">
      <c r="A22" s="2289"/>
      <c r="B22" s="2289"/>
      <c r="C22" s="1324"/>
      <c r="D22" s="1325"/>
      <c r="G22" s="1270"/>
      <c r="H22" s="1143"/>
      <c r="I22" s="1275"/>
    </row>
    <row r="23" spans="1:9" ht="16.5" thickTop="1" thickBot="1" x14ac:dyDescent="0.3">
      <c r="A23" s="2289"/>
      <c r="B23" s="2289"/>
      <c r="C23" s="1324"/>
      <c r="D23" s="1325"/>
      <c r="G23" s="1270"/>
      <c r="H23" s="1143"/>
      <c r="I23" s="1275"/>
    </row>
    <row r="24" spans="1:9" ht="16.5" thickTop="1" thickBot="1" x14ac:dyDescent="0.3">
      <c r="A24" s="2289"/>
      <c r="B24" s="2289"/>
      <c r="C24" s="1324"/>
      <c r="D24" s="1325"/>
      <c r="G24" s="1270"/>
      <c r="H24" s="1143"/>
      <c r="I24" s="1275"/>
    </row>
    <row r="25" spans="1:9" ht="16.5" thickTop="1" thickBot="1" x14ac:dyDescent="0.3">
      <c r="A25" s="2289"/>
      <c r="B25" s="2289"/>
      <c r="C25" s="1324"/>
      <c r="D25" s="1325"/>
      <c r="G25" s="1270"/>
      <c r="H25" s="1143"/>
      <c r="I25" s="1275"/>
    </row>
    <row r="26" spans="1:9" ht="16.5" thickTop="1" thickBot="1" x14ac:dyDescent="0.3">
      <c r="A26" s="2289"/>
      <c r="B26" s="2289"/>
      <c r="C26" s="1324"/>
      <c r="D26" s="1325"/>
      <c r="G26" s="1270"/>
      <c r="H26" s="1143"/>
      <c r="I26" s="1275"/>
    </row>
    <row r="27" spans="1:9" ht="16.5" thickTop="1" thickBot="1" x14ac:dyDescent="0.3">
      <c r="A27" s="2289"/>
      <c r="B27" s="2289"/>
      <c r="C27" s="1324"/>
      <c r="D27" s="1325"/>
      <c r="G27" s="1270"/>
      <c r="H27" s="1143"/>
      <c r="I27" s="1275"/>
    </row>
    <row r="28" spans="1:9" ht="16.5" thickTop="1" thickBot="1" x14ac:dyDescent="0.3">
      <c r="A28" s="2289"/>
      <c r="B28" s="2289"/>
      <c r="C28" s="1324"/>
      <c r="D28" s="1325"/>
      <c r="G28" s="1270"/>
      <c r="H28" s="1143"/>
      <c r="I28" s="1275"/>
    </row>
    <row r="29" spans="1:9" ht="16.5" thickTop="1" thickBot="1" x14ac:dyDescent="0.3">
      <c r="A29" s="2289"/>
      <c r="B29" s="2289"/>
      <c r="C29" s="1324"/>
      <c r="D29" s="1325"/>
      <c r="G29" s="1270"/>
      <c r="H29" s="1143"/>
      <c r="I29" s="1275"/>
    </row>
    <row r="30" spans="1:9" ht="16.5" thickTop="1" thickBot="1" x14ac:dyDescent="0.3">
      <c r="A30" s="2289"/>
      <c r="B30" s="2289"/>
      <c r="C30" s="1324"/>
      <c r="D30" s="1325"/>
      <c r="G30" s="1270"/>
      <c r="H30" s="1143"/>
      <c r="I30" s="1275"/>
    </row>
    <row r="31" spans="1:9" ht="16.5" thickTop="1" thickBot="1" x14ac:dyDescent="0.3">
      <c r="A31" s="2289"/>
      <c r="B31" s="2289"/>
      <c r="C31" s="1324"/>
      <c r="D31" s="1325"/>
      <c r="G31" s="1270"/>
      <c r="H31" s="1143"/>
      <c r="I31" s="1275"/>
    </row>
    <row r="32" spans="1:9" ht="16.5" thickTop="1" thickBot="1" x14ac:dyDescent="0.3">
      <c r="A32" s="2289"/>
      <c r="B32" s="2289"/>
      <c r="C32" s="1324"/>
      <c r="D32" s="1325"/>
      <c r="G32" s="1270"/>
      <c r="H32" s="1143"/>
      <c r="I32" s="1275"/>
    </row>
    <row r="33" spans="1:9" ht="16.5" thickTop="1" thickBot="1" x14ac:dyDescent="0.3">
      <c r="A33" s="2289"/>
      <c r="B33" s="2289"/>
      <c r="C33" s="1324"/>
      <c r="D33" s="1325"/>
      <c r="G33" s="1270"/>
      <c r="H33" s="1143"/>
      <c r="I33" s="1275"/>
    </row>
    <row r="34" spans="1:9" ht="16.5" thickTop="1" thickBot="1" x14ac:dyDescent="0.3">
      <c r="A34" s="2289"/>
      <c r="B34" s="2289"/>
      <c r="C34" s="1324"/>
      <c r="D34" s="1325"/>
      <c r="G34" s="1270"/>
      <c r="H34" s="1143"/>
      <c r="I34" s="1275"/>
    </row>
    <row r="35" spans="1:9" ht="16.5" thickTop="1" thickBot="1" x14ac:dyDescent="0.3">
      <c r="A35" s="2289"/>
      <c r="B35" s="2289"/>
      <c r="C35" s="1324"/>
      <c r="D35" s="1325"/>
      <c r="G35" s="1270"/>
      <c r="H35" s="1143"/>
      <c r="I35" s="1275"/>
    </row>
    <row r="36" spans="1:9" ht="16.5" thickTop="1" thickBot="1" x14ac:dyDescent="0.3">
      <c r="A36" s="2289"/>
      <c r="B36" s="2289"/>
      <c r="C36" s="1324"/>
      <c r="D36" s="1325"/>
      <c r="G36" s="1270"/>
      <c r="H36" s="1143"/>
      <c r="I36" s="1275"/>
    </row>
    <row r="37" spans="1:9" ht="16.5" thickTop="1" thickBot="1" x14ac:dyDescent="0.3">
      <c r="A37" s="2290"/>
      <c r="B37" s="2290"/>
      <c r="C37" s="1324"/>
      <c r="D37" s="1325"/>
      <c r="G37" s="1270"/>
      <c r="H37" s="1143"/>
      <c r="I37" s="1275"/>
    </row>
    <row r="38" spans="1:9" ht="16.5" thickTop="1" thickBot="1" x14ac:dyDescent="0.3">
      <c r="A38" s="2290"/>
      <c r="B38" s="2290"/>
      <c r="C38" s="1324"/>
      <c r="D38" s="1325"/>
      <c r="G38" s="1270"/>
      <c r="H38" s="1143"/>
      <c r="I38" s="1275"/>
    </row>
    <row r="39" spans="1:9" ht="16.5" thickTop="1" thickBot="1" x14ac:dyDescent="0.3">
      <c r="A39" s="2290"/>
      <c r="B39" s="2290"/>
      <c r="C39" s="1324"/>
      <c r="D39" s="1325"/>
      <c r="G39" s="1270"/>
      <c r="H39" s="1143"/>
      <c r="I39" s="1275"/>
    </row>
    <row r="40" spans="1:9" ht="16.5" thickTop="1" thickBot="1" x14ac:dyDescent="0.3">
      <c r="A40" s="2290"/>
      <c r="B40" s="2290"/>
      <c r="C40" s="1324"/>
      <c r="D40" s="1325"/>
      <c r="G40" s="1270"/>
      <c r="H40" s="1143"/>
      <c r="I40" s="1275"/>
    </row>
    <row r="41" spans="1:9" ht="16.5" thickTop="1" thickBot="1" x14ac:dyDescent="0.3">
      <c r="A41" s="2290"/>
      <c r="B41" s="2290"/>
      <c r="C41" s="1324"/>
      <c r="D41" s="1325"/>
      <c r="G41" s="1270"/>
      <c r="H41" s="1143"/>
      <c r="I41" s="1275"/>
    </row>
    <row r="42" spans="1:9" ht="16.5" thickTop="1" thickBot="1" x14ac:dyDescent="0.3">
      <c r="A42" s="2290"/>
      <c r="B42" s="2290"/>
      <c r="C42" s="1324"/>
      <c r="D42" s="1325"/>
      <c r="G42" s="1271"/>
      <c r="H42" s="1143"/>
      <c r="I42" s="1275"/>
    </row>
    <row r="43" spans="1:9" ht="15.75" thickTop="1" x14ac:dyDescent="0.25">
      <c r="A43" s="1143"/>
      <c r="B43" s="1143"/>
      <c r="C43" s="1143"/>
      <c r="D43" s="1143"/>
      <c r="G43" s="1272"/>
      <c r="H43" s="1143"/>
      <c r="I43" s="1275"/>
    </row>
    <row r="44" spans="1:9" x14ac:dyDescent="0.25">
      <c r="A44" s="1144" t="s">
        <v>1261</v>
      </c>
      <c r="B44" s="1143"/>
      <c r="C44" s="1143"/>
      <c r="D44" s="1143"/>
      <c r="G44" s="1272"/>
      <c r="H44" s="1143"/>
      <c r="I44" s="1275"/>
    </row>
    <row r="45" spans="1:9" x14ac:dyDescent="0.25">
      <c r="A45" s="1143"/>
      <c r="B45" s="1143"/>
      <c r="C45" s="1143"/>
      <c r="D45" s="1143"/>
      <c r="G45" s="1272"/>
      <c r="H45" s="1143"/>
      <c r="I45" s="1275"/>
    </row>
    <row r="46" spans="1:9" ht="15.75" thickBot="1" x14ac:dyDescent="0.3">
      <c r="A46" s="2294" t="s">
        <v>1262</v>
      </c>
      <c r="B46" s="2295"/>
      <c r="C46" s="1287" t="s">
        <v>1311</v>
      </c>
      <c r="D46" s="1265">
        <v>4.4000000000000003E-3</v>
      </c>
      <c r="G46" s="1273"/>
    </row>
    <row r="47" spans="1:9" ht="16.5" thickTop="1" thickBot="1" x14ac:dyDescent="0.3">
      <c r="A47" s="2294" t="s">
        <v>1263</v>
      </c>
      <c r="B47" s="2295"/>
      <c r="C47" s="1288" t="s">
        <v>1311</v>
      </c>
      <c r="D47" s="1266">
        <v>1.1000000000000001E-3</v>
      </c>
      <c r="G47" s="1273"/>
    </row>
    <row r="48" spans="1:9" ht="16.5" thickTop="1" thickBot="1" x14ac:dyDescent="0.3">
      <c r="A48" s="2294" t="s">
        <v>1264</v>
      </c>
      <c r="B48" s="2295"/>
      <c r="C48" s="1289" t="s">
        <v>229</v>
      </c>
      <c r="D48" s="1267">
        <v>0.25</v>
      </c>
      <c r="G48" s="1273"/>
    </row>
    <row r="49" spans="1:9" ht="15.75" thickTop="1" x14ac:dyDescent="0.25">
      <c r="A49" s="2294"/>
      <c r="B49" s="2345"/>
      <c r="C49" s="2345"/>
      <c r="D49" s="2345"/>
      <c r="E49" s="2345"/>
      <c r="F49" s="2345"/>
      <c r="G49" s="1274"/>
      <c r="H49" s="1277"/>
      <c r="I49" s="1275"/>
    </row>
    <row r="50" spans="1:9" x14ac:dyDescent="0.25">
      <c r="A50" s="1143"/>
      <c r="B50" s="1143"/>
      <c r="C50" s="1143"/>
      <c r="D50" s="1143"/>
      <c r="E50" s="1143"/>
      <c r="F50" s="1143"/>
      <c r="G50" s="1272"/>
      <c r="H50" s="1277"/>
      <c r="I50" s="1275"/>
    </row>
    <row r="51" spans="1:9" x14ac:dyDescent="0.25">
      <c r="A51" s="1143"/>
      <c r="B51" s="1143"/>
      <c r="C51" s="1143"/>
      <c r="D51" s="1143"/>
      <c r="E51" s="1143"/>
      <c r="F51" s="1143"/>
      <c r="G51" s="1272"/>
      <c r="H51" s="1277"/>
      <c r="I51" s="1275"/>
    </row>
    <row r="52" spans="1:9" x14ac:dyDescent="0.25">
      <c r="G52" s="1189"/>
      <c r="H52" s="1278"/>
      <c r="I52" s="1276"/>
    </row>
    <row r="53" spans="1:9" ht="18" x14ac:dyDescent="0.25">
      <c r="A53" s="1146" t="s">
        <v>1265</v>
      </c>
      <c r="B53" s="1147"/>
      <c r="C53" s="1147"/>
      <c r="D53" s="1147"/>
      <c r="E53" s="4"/>
      <c r="F53" s="4"/>
      <c r="G53" s="17"/>
      <c r="H53" s="1256"/>
      <c r="I53" s="1264"/>
    </row>
    <row r="54" spans="1:9" x14ac:dyDescent="0.25">
      <c r="A54" s="1148"/>
      <c r="B54" s="1147"/>
      <c r="C54" s="1147"/>
      <c r="D54" s="1147"/>
      <c r="E54" s="4"/>
      <c r="F54" s="4"/>
      <c r="G54" s="17"/>
      <c r="H54" s="1256"/>
      <c r="I54" s="1264"/>
    </row>
    <row r="55" spans="1:9" x14ac:dyDescent="0.25">
      <c r="A55" s="2316" t="s">
        <v>1266</v>
      </c>
      <c r="B55" s="2317"/>
      <c r="C55" s="1326"/>
      <c r="D55" s="1292"/>
      <c r="G55" s="1291"/>
    </row>
    <row r="56" spans="1:9" x14ac:dyDescent="0.25">
      <c r="A56" s="2318"/>
      <c r="B56" s="2319"/>
      <c r="C56" s="1326"/>
      <c r="D56" s="1295"/>
      <c r="G56" s="1294"/>
    </row>
    <row r="57" spans="1:9" x14ac:dyDescent="0.25">
      <c r="A57" s="2320"/>
      <c r="B57" s="2321"/>
      <c r="C57" s="1326"/>
      <c r="D57" s="1295"/>
      <c r="G57" s="1294"/>
    </row>
    <row r="58" spans="1:9" x14ac:dyDescent="0.25">
      <c r="A58" s="2316" t="s">
        <v>1267</v>
      </c>
      <c r="B58" s="2317"/>
      <c r="C58" s="1327"/>
      <c r="D58" s="1296"/>
      <c r="G58" s="1291"/>
    </row>
    <row r="59" spans="1:9" x14ac:dyDescent="0.25">
      <c r="A59" s="1148"/>
      <c r="B59" s="1147"/>
      <c r="C59" s="1147"/>
      <c r="D59" s="1150"/>
      <c r="E59" s="4"/>
      <c r="F59" s="4"/>
      <c r="G59" s="4"/>
      <c r="H59" s="1290"/>
      <c r="I59" s="1253"/>
    </row>
    <row r="60" spans="1:9" ht="18" x14ac:dyDescent="0.25">
      <c r="A60" s="1146" t="s">
        <v>1268</v>
      </c>
      <c r="B60" s="1147"/>
      <c r="C60" s="1147"/>
      <c r="D60" s="1150"/>
      <c r="E60" s="4"/>
      <c r="F60" s="4"/>
      <c r="G60" s="4"/>
      <c r="H60" s="4"/>
      <c r="I60" s="1253"/>
    </row>
    <row r="61" spans="1:9" x14ac:dyDescent="0.25">
      <c r="A61" s="1148"/>
      <c r="B61" s="1147"/>
      <c r="C61" s="1147"/>
      <c r="D61" s="1150"/>
      <c r="E61" s="4"/>
      <c r="F61" s="4"/>
      <c r="G61" s="4"/>
      <c r="H61" s="4"/>
      <c r="I61" s="1253"/>
    </row>
    <row r="62" spans="1:9" x14ac:dyDescent="0.25">
      <c r="A62" s="1148" t="s">
        <v>1260</v>
      </c>
      <c r="B62" s="1147"/>
      <c r="C62" s="1147"/>
      <c r="D62" s="1150"/>
      <c r="E62" s="4"/>
      <c r="F62" s="4"/>
      <c r="G62" s="4"/>
      <c r="H62" s="4"/>
      <c r="I62" s="1253"/>
    </row>
    <row r="63" spans="1:9" x14ac:dyDescent="0.25">
      <c r="A63" s="1148"/>
      <c r="B63" s="1147"/>
      <c r="C63" s="1147"/>
      <c r="D63" s="1150"/>
      <c r="E63" s="4"/>
      <c r="F63" s="4"/>
      <c r="G63" s="4"/>
      <c r="H63" s="4"/>
      <c r="I63" s="1253"/>
    </row>
    <row r="64" spans="1:9" ht="38.25" customHeight="1" x14ac:dyDescent="0.25">
      <c r="A64" s="2322" t="s">
        <v>1778</v>
      </c>
      <c r="B64" s="2322"/>
      <c r="C64" s="2322"/>
      <c r="D64" s="2322"/>
      <c r="E64" s="1258"/>
      <c r="F64" s="1258"/>
      <c r="G64" s="1258"/>
      <c r="H64" s="1258"/>
      <c r="I64" s="1258"/>
    </row>
    <row r="65" spans="1:9" x14ac:dyDescent="0.25">
      <c r="A65" s="1258"/>
      <c r="B65" s="1254"/>
      <c r="C65" s="1254"/>
      <c r="D65" s="1254"/>
      <c r="E65" s="16"/>
      <c r="F65" s="16"/>
      <c r="G65" s="16"/>
      <c r="H65" s="16"/>
      <c r="I65" s="1259"/>
    </row>
    <row r="66" spans="1:9" ht="38.25" customHeight="1" x14ac:dyDescent="0.25">
      <c r="A66" s="2322" t="s">
        <v>1779</v>
      </c>
      <c r="B66" s="2322"/>
      <c r="C66" s="2322"/>
      <c r="D66" s="2322"/>
      <c r="E66" s="2322"/>
      <c r="F66" s="2322"/>
      <c r="G66" s="2322"/>
      <c r="H66" s="2322"/>
      <c r="I66" s="1257"/>
    </row>
    <row r="67" spans="1:9" x14ac:dyDescent="0.25">
      <c r="A67" s="1258"/>
      <c r="B67" s="1254"/>
      <c r="C67" s="1254"/>
      <c r="D67" s="1254"/>
      <c r="E67" s="16"/>
      <c r="F67" s="16"/>
      <c r="G67" s="16"/>
      <c r="H67" s="16"/>
      <c r="I67" s="1259"/>
    </row>
    <row r="68" spans="1:9" ht="39" customHeight="1" x14ac:dyDescent="0.25">
      <c r="A68" s="2322" t="s">
        <v>1780</v>
      </c>
      <c r="B68" s="2322"/>
      <c r="C68" s="2322"/>
      <c r="D68" s="2322"/>
      <c r="E68" s="2322"/>
      <c r="F68" s="2322"/>
      <c r="G68" s="2322"/>
      <c r="H68" s="2322"/>
      <c r="I68" s="1257"/>
    </row>
    <row r="69" spans="1:9" x14ac:dyDescent="0.25">
      <c r="A69" s="1260"/>
      <c r="B69" s="1261"/>
      <c r="C69" s="1261"/>
      <c r="D69" s="1262"/>
      <c r="E69" s="16"/>
      <c r="F69" s="16"/>
      <c r="G69" s="16"/>
      <c r="H69" s="16"/>
      <c r="I69" s="1259"/>
    </row>
    <row r="70" spans="1:9" x14ac:dyDescent="0.25">
      <c r="A70" s="1148" t="s">
        <v>1269</v>
      </c>
      <c r="B70" s="1147"/>
      <c r="C70" s="1147"/>
      <c r="D70" s="1150"/>
      <c r="E70" s="4"/>
      <c r="F70" s="4"/>
      <c r="G70" s="4"/>
      <c r="H70" s="4"/>
      <c r="I70" s="1253"/>
    </row>
    <row r="71" spans="1:9" x14ac:dyDescent="0.25">
      <c r="A71" s="1148"/>
      <c r="B71" s="1147"/>
      <c r="C71" s="1147"/>
      <c r="D71" s="1150"/>
      <c r="E71" s="4"/>
      <c r="F71" s="4"/>
      <c r="G71" s="4"/>
      <c r="H71" s="4"/>
      <c r="I71" s="1253"/>
    </row>
    <row r="72" spans="1:9" x14ac:dyDescent="0.25">
      <c r="A72" s="2324"/>
      <c r="B72" s="2324"/>
      <c r="C72" s="1329"/>
      <c r="D72" s="1298"/>
      <c r="E72" s="4"/>
      <c r="F72" s="4"/>
      <c r="G72" s="4"/>
    </row>
    <row r="73" spans="1:9" x14ac:dyDescent="0.25">
      <c r="A73" s="2324"/>
      <c r="B73" s="2324"/>
      <c r="C73" s="1329"/>
      <c r="D73" s="1298"/>
      <c r="E73" s="4"/>
      <c r="F73" s="4"/>
      <c r="G73" s="4"/>
    </row>
    <row r="74" spans="1:9" x14ac:dyDescent="0.25">
      <c r="A74" s="2324"/>
      <c r="B74" s="2324"/>
      <c r="C74" s="1329"/>
      <c r="D74" s="1298"/>
      <c r="E74" s="4"/>
      <c r="F74" s="4"/>
      <c r="G74" s="4"/>
    </row>
    <row r="75" spans="1:9" x14ac:dyDescent="0.25">
      <c r="A75" s="2324"/>
      <c r="B75" s="2324"/>
      <c r="C75" s="1329"/>
      <c r="D75" s="1298"/>
      <c r="E75" s="4"/>
      <c r="F75" s="4"/>
      <c r="G75" s="4"/>
    </row>
    <row r="76" spans="1:9" x14ac:dyDescent="0.25">
      <c r="A76" s="2324"/>
      <c r="B76" s="2324"/>
      <c r="C76" s="1329"/>
      <c r="D76" s="1298"/>
      <c r="E76" s="4"/>
      <c r="F76" s="4"/>
      <c r="G76" s="4"/>
    </row>
    <row r="77" spans="1:9" x14ac:dyDescent="0.25">
      <c r="A77" s="2324"/>
      <c r="B77" s="2324"/>
      <c r="C77" s="1329"/>
      <c r="D77" s="1298"/>
      <c r="E77" s="4"/>
      <c r="F77" s="4"/>
      <c r="G77" s="4"/>
    </row>
    <row r="78" spans="1:9" x14ac:dyDescent="0.25">
      <c r="A78" s="2324"/>
      <c r="B78" s="2324"/>
      <c r="C78" s="1329"/>
      <c r="D78" s="1298"/>
      <c r="E78" s="4"/>
      <c r="F78" s="4"/>
      <c r="G78" s="4"/>
    </row>
    <row r="79" spans="1:9" x14ac:dyDescent="0.25">
      <c r="A79" s="2324"/>
      <c r="B79" s="2324"/>
      <c r="C79" s="1329"/>
      <c r="D79" s="1298"/>
      <c r="E79" s="4"/>
      <c r="F79" s="4"/>
      <c r="G79" s="4"/>
    </row>
    <row r="80" spans="1:9" x14ac:dyDescent="0.25">
      <c r="A80" s="2324"/>
      <c r="B80" s="2324"/>
      <c r="C80" s="1329"/>
      <c r="D80" s="1298"/>
      <c r="E80" s="4"/>
      <c r="F80" s="4"/>
      <c r="G80" s="4"/>
    </row>
    <row r="81" spans="1:7" x14ac:dyDescent="0.25">
      <c r="A81" s="2324"/>
      <c r="B81" s="2324"/>
      <c r="C81" s="1329"/>
      <c r="D81" s="1298"/>
      <c r="E81" s="4"/>
      <c r="F81" s="4"/>
      <c r="G81" s="4"/>
    </row>
    <row r="82" spans="1:7" x14ac:dyDescent="0.25">
      <c r="A82" s="2324"/>
      <c r="B82" s="2324"/>
      <c r="C82" s="1329"/>
      <c r="D82" s="1298"/>
      <c r="E82" s="4"/>
      <c r="F82" s="4"/>
      <c r="G82" s="4"/>
    </row>
    <row r="83" spans="1:7" x14ac:dyDescent="0.25">
      <c r="A83" s="2324"/>
      <c r="B83" s="2324"/>
      <c r="C83" s="1329"/>
      <c r="D83" s="1298"/>
      <c r="E83" s="4"/>
      <c r="F83" s="4"/>
      <c r="G83" s="4"/>
    </row>
    <row r="84" spans="1:7" x14ac:dyDescent="0.25">
      <c r="A84" s="2324"/>
      <c r="B84" s="2324"/>
      <c r="C84" s="1329"/>
      <c r="D84" s="1298"/>
      <c r="E84" s="4"/>
      <c r="F84" s="4"/>
      <c r="G84" s="4"/>
    </row>
    <row r="85" spans="1:7" x14ac:dyDescent="0.25">
      <c r="A85" s="2324"/>
      <c r="B85" s="2324"/>
      <c r="C85" s="1329"/>
      <c r="D85" s="1298"/>
      <c r="E85" s="4"/>
      <c r="F85" s="4"/>
      <c r="G85" s="4"/>
    </row>
    <row r="86" spans="1:7" x14ac:dyDescent="0.25">
      <c r="A86" s="2324"/>
      <c r="B86" s="2324"/>
      <c r="C86" s="1329"/>
      <c r="D86" s="1298"/>
      <c r="E86" s="4"/>
      <c r="F86" s="4"/>
      <c r="G86" s="4"/>
    </row>
    <row r="87" spans="1:7" x14ac:dyDescent="0.25">
      <c r="A87" s="2324"/>
      <c r="B87" s="2324"/>
      <c r="C87" s="1329"/>
      <c r="D87" s="1298"/>
      <c r="E87" s="4"/>
      <c r="F87" s="4"/>
      <c r="G87" s="4"/>
    </row>
    <row r="88" spans="1:7" x14ac:dyDescent="0.25">
      <c r="A88" s="2324"/>
      <c r="B88" s="2324"/>
      <c r="C88" s="1329"/>
      <c r="D88" s="1298"/>
      <c r="E88" s="4"/>
      <c r="F88" s="4"/>
      <c r="G88" s="4"/>
    </row>
    <row r="89" spans="1:7" x14ac:dyDescent="0.25">
      <c r="A89" s="2324"/>
      <c r="B89" s="2324"/>
      <c r="C89" s="1329"/>
      <c r="D89" s="1298"/>
      <c r="E89" s="4"/>
      <c r="F89" s="4"/>
      <c r="G89" s="4"/>
    </row>
    <row r="90" spans="1:7" x14ac:dyDescent="0.25">
      <c r="A90" s="2324"/>
      <c r="B90" s="2324"/>
      <c r="C90" s="1329"/>
      <c r="D90" s="1298"/>
      <c r="E90" s="4"/>
      <c r="F90" s="4"/>
      <c r="G90" s="4"/>
    </row>
    <row r="91" spans="1:7" x14ac:dyDescent="0.25">
      <c r="A91" s="2324"/>
      <c r="B91" s="2324"/>
      <c r="C91" s="1329"/>
      <c r="D91" s="1298"/>
      <c r="E91" s="4"/>
      <c r="F91" s="4"/>
      <c r="G91" s="4"/>
    </row>
    <row r="92" spans="1:7" x14ac:dyDescent="0.25">
      <c r="A92" s="2324"/>
      <c r="B92" s="2324"/>
      <c r="C92" s="1329"/>
      <c r="D92" s="1298"/>
      <c r="E92" s="4"/>
      <c r="F92" s="4"/>
      <c r="G92" s="4"/>
    </row>
    <row r="93" spans="1:7" x14ac:dyDescent="0.25">
      <c r="A93" s="2324"/>
      <c r="B93" s="2324"/>
      <c r="C93" s="1329"/>
      <c r="D93" s="1298"/>
      <c r="E93" s="4"/>
      <c r="F93" s="4"/>
      <c r="G93" s="4"/>
    </row>
    <row r="94" spans="1:7" x14ac:dyDescent="0.25">
      <c r="A94" s="2324"/>
      <c r="B94" s="2324"/>
      <c r="C94" s="1329"/>
      <c r="D94" s="1298"/>
      <c r="E94" s="4"/>
      <c r="F94" s="4"/>
      <c r="G94" s="4"/>
    </row>
    <row r="95" spans="1:7" x14ac:dyDescent="0.25">
      <c r="A95" s="2324"/>
      <c r="B95" s="2324"/>
      <c r="C95" s="1329"/>
      <c r="D95" s="1298"/>
      <c r="E95" s="4"/>
      <c r="F95" s="4"/>
      <c r="G95" s="4"/>
    </row>
    <row r="96" spans="1:7" x14ac:dyDescent="0.25">
      <c r="A96" s="2324"/>
      <c r="B96" s="2324"/>
      <c r="C96" s="1329"/>
      <c r="D96" s="1298"/>
      <c r="E96" s="4"/>
      <c r="F96" s="4"/>
      <c r="G96" s="4"/>
    </row>
    <row r="97" spans="1:9" x14ac:dyDescent="0.25">
      <c r="A97" s="2324"/>
      <c r="B97" s="2324"/>
      <c r="C97" s="1329"/>
      <c r="D97" s="1298"/>
      <c r="E97" s="4"/>
      <c r="F97" s="4"/>
      <c r="G97" s="4"/>
    </row>
    <row r="98" spans="1:9" x14ac:dyDescent="0.25">
      <c r="A98" s="2324"/>
      <c r="B98" s="2324"/>
      <c r="C98" s="1329"/>
      <c r="D98" s="1298"/>
      <c r="E98" s="4"/>
      <c r="F98" s="4"/>
      <c r="G98" s="4"/>
    </row>
    <row r="99" spans="1:9" x14ac:dyDescent="0.25">
      <c r="A99" s="2324"/>
      <c r="B99" s="2324"/>
      <c r="C99" s="1329"/>
      <c r="D99" s="1298"/>
      <c r="E99" s="4"/>
      <c r="F99" s="4"/>
      <c r="G99" s="4"/>
    </row>
    <row r="100" spans="1:9" x14ac:dyDescent="0.25">
      <c r="A100" s="2324"/>
      <c r="B100" s="2324"/>
      <c r="C100" s="1329"/>
      <c r="D100" s="1298"/>
      <c r="E100" s="4"/>
      <c r="F100" s="4"/>
      <c r="G100" s="4"/>
    </row>
    <row r="101" spans="1:9" x14ac:dyDescent="0.25">
      <c r="A101" s="2325"/>
      <c r="B101" s="2326"/>
      <c r="C101" s="1329"/>
      <c r="D101" s="1298"/>
    </row>
    <row r="102" spans="1:9" x14ac:dyDescent="0.25">
      <c r="A102" s="2327"/>
      <c r="B102" s="2328"/>
      <c r="C102" s="1329"/>
      <c r="D102" s="1298"/>
    </row>
    <row r="103" spans="1:9" x14ac:dyDescent="0.25">
      <c r="A103" s="2327"/>
      <c r="B103" s="2328"/>
      <c r="C103" s="1329"/>
      <c r="D103" s="1298"/>
    </row>
    <row r="104" spans="1:9" x14ac:dyDescent="0.25">
      <c r="A104" s="2327"/>
      <c r="B104" s="2328"/>
      <c r="C104" s="1329"/>
      <c r="D104" s="1298"/>
    </row>
    <row r="105" spans="1:9" x14ac:dyDescent="0.25">
      <c r="A105" s="2327"/>
      <c r="B105" s="2328"/>
      <c r="C105" s="1329"/>
      <c r="D105" s="1298"/>
    </row>
    <row r="106" spans="1:9" ht="15.75" thickBot="1" x14ac:dyDescent="0.3">
      <c r="A106" s="2329"/>
      <c r="B106" s="2330"/>
      <c r="C106" s="1329"/>
      <c r="D106" s="1298"/>
    </row>
    <row r="107" spans="1:9" ht="15.75" thickTop="1" x14ac:dyDescent="0.25">
      <c r="A107" s="1151"/>
      <c r="B107" s="1149"/>
      <c r="C107" s="1149"/>
      <c r="D107" s="1152"/>
      <c r="E107" s="4"/>
      <c r="F107" s="4"/>
      <c r="G107" s="4"/>
      <c r="H107" s="1297"/>
      <c r="I107" s="1299"/>
    </row>
    <row r="108" spans="1:9" x14ac:dyDescent="0.25">
      <c r="A108" s="1148" t="s">
        <v>1270</v>
      </c>
      <c r="B108" s="1147"/>
      <c r="C108" s="1147"/>
      <c r="D108" s="1150"/>
      <c r="E108" s="4"/>
      <c r="F108" s="4"/>
      <c r="G108" s="4"/>
      <c r="H108" s="1297"/>
      <c r="I108" s="1299"/>
    </row>
    <row r="109" spans="1:9" x14ac:dyDescent="0.25">
      <c r="A109" s="1153"/>
      <c r="B109" s="1154"/>
      <c r="C109" s="1154"/>
      <c r="D109" s="1155"/>
      <c r="E109" s="4"/>
      <c r="F109" s="4"/>
      <c r="G109" s="4"/>
      <c r="H109" s="1297"/>
      <c r="I109" s="1299"/>
    </row>
    <row r="110" spans="1:9" x14ac:dyDescent="0.25">
      <c r="A110" s="2331"/>
      <c r="B110" s="2331"/>
      <c r="C110" s="1329"/>
      <c r="D110" s="1298"/>
      <c r="E110" s="4"/>
      <c r="F110" s="4"/>
      <c r="G110" s="4"/>
      <c r="H110" s="1297"/>
      <c r="I110" s="1299"/>
    </row>
    <row r="111" spans="1:9" x14ac:dyDescent="0.25">
      <c r="A111" s="2331"/>
      <c r="B111" s="2331"/>
      <c r="C111" s="1329"/>
      <c r="D111" s="1298"/>
      <c r="E111" s="4"/>
      <c r="F111" s="4"/>
      <c r="G111" s="4"/>
      <c r="H111" s="1297"/>
      <c r="I111" s="1299"/>
    </row>
    <row r="112" spans="1:9" x14ac:dyDescent="0.25">
      <c r="A112" s="2331"/>
      <c r="B112" s="2331"/>
      <c r="C112" s="1329"/>
      <c r="D112" s="1298"/>
      <c r="E112" s="4"/>
      <c r="F112" s="4"/>
      <c r="G112" s="4"/>
      <c r="H112" s="1297"/>
      <c r="I112" s="1299"/>
    </row>
    <row r="113" spans="1:9" x14ac:dyDescent="0.25">
      <c r="A113" s="2331"/>
      <c r="B113" s="2331"/>
      <c r="C113" s="1329"/>
      <c r="D113" s="1298"/>
      <c r="E113" s="4"/>
      <c r="F113" s="4"/>
      <c r="G113" s="4"/>
      <c r="H113" s="1297"/>
      <c r="I113" s="1299"/>
    </row>
    <row r="114" spans="1:9" x14ac:dyDescent="0.25">
      <c r="A114" s="2331"/>
      <c r="B114" s="2331"/>
      <c r="C114" s="1329"/>
      <c r="D114" s="1298"/>
      <c r="E114" s="4"/>
      <c r="F114" s="4"/>
      <c r="G114" s="4"/>
      <c r="H114" s="1297"/>
      <c r="I114" s="1299"/>
    </row>
    <row r="115" spans="1:9" x14ac:dyDescent="0.25">
      <c r="A115" s="2331"/>
      <c r="B115" s="2331"/>
      <c r="C115" s="1329"/>
      <c r="D115" s="1298"/>
      <c r="E115" s="4"/>
      <c r="F115" s="4"/>
      <c r="G115" s="4"/>
      <c r="H115" s="1297"/>
      <c r="I115" s="1299"/>
    </row>
    <row r="116" spans="1:9" x14ac:dyDescent="0.25">
      <c r="A116" s="2331"/>
      <c r="B116" s="2331"/>
      <c r="C116" s="1329"/>
      <c r="D116" s="1298"/>
      <c r="E116" s="4"/>
      <c r="F116" s="4"/>
      <c r="G116" s="4"/>
      <c r="H116" s="1297"/>
      <c r="I116" s="1299"/>
    </row>
    <row r="117" spans="1:9" x14ac:dyDescent="0.25">
      <c r="A117" s="2331"/>
      <c r="B117" s="2331"/>
      <c r="C117" s="1329"/>
      <c r="D117" s="1298"/>
      <c r="E117" s="4"/>
      <c r="F117" s="4"/>
      <c r="G117" s="4"/>
      <c r="H117" s="1297"/>
      <c r="I117" s="1299"/>
    </row>
    <row r="118" spans="1:9" x14ac:dyDescent="0.25">
      <c r="A118" s="2331"/>
      <c r="B118" s="2331"/>
      <c r="C118" s="1329"/>
      <c r="D118" s="1298"/>
      <c r="E118" s="4"/>
      <c r="F118" s="4"/>
      <c r="G118" s="4"/>
      <c r="H118" s="1297"/>
      <c r="I118" s="1299"/>
    </row>
    <row r="119" spans="1:9" x14ac:dyDescent="0.25">
      <c r="A119" s="2331"/>
      <c r="B119" s="2331"/>
      <c r="C119" s="1329"/>
      <c r="D119" s="1298"/>
      <c r="E119" s="4"/>
      <c r="F119" s="4"/>
      <c r="G119" s="4"/>
      <c r="H119" s="1297"/>
      <c r="I119" s="1299"/>
    </row>
    <row r="120" spans="1:9" x14ac:dyDescent="0.25">
      <c r="A120" s="2331"/>
      <c r="B120" s="2331"/>
      <c r="C120" s="1329"/>
      <c r="D120" s="1298"/>
      <c r="E120" s="4"/>
      <c r="F120" s="4"/>
      <c r="G120" s="4"/>
      <c r="H120" s="1297"/>
      <c r="I120" s="1299"/>
    </row>
    <row r="121" spans="1:9" x14ac:dyDescent="0.25">
      <c r="A121" s="2331"/>
      <c r="B121" s="2331"/>
      <c r="C121" s="1329"/>
      <c r="D121" s="1298"/>
      <c r="E121" s="4"/>
      <c r="F121" s="4"/>
      <c r="G121" s="4"/>
      <c r="H121" s="1297"/>
      <c r="I121" s="1299"/>
    </row>
    <row r="122" spans="1:9" x14ac:dyDescent="0.25">
      <c r="A122" s="2331"/>
      <c r="B122" s="2331"/>
      <c r="C122" s="1329"/>
      <c r="D122" s="1298"/>
      <c r="E122" s="4"/>
      <c r="F122" s="4"/>
      <c r="G122" s="4"/>
      <c r="H122" s="1297"/>
      <c r="I122" s="1299"/>
    </row>
    <row r="123" spans="1:9" x14ac:dyDescent="0.25">
      <c r="A123" s="2331"/>
      <c r="B123" s="2331"/>
      <c r="C123" s="1329"/>
      <c r="D123" s="1298"/>
      <c r="E123" s="4"/>
      <c r="F123" s="4"/>
      <c r="G123" s="4"/>
      <c r="H123" s="1297"/>
      <c r="I123" s="1299"/>
    </row>
    <row r="124" spans="1:9" x14ac:dyDescent="0.25">
      <c r="A124" s="2331"/>
      <c r="B124" s="2331"/>
      <c r="C124" s="1329"/>
      <c r="D124" s="1298"/>
      <c r="E124" s="4"/>
      <c r="F124" s="4"/>
      <c r="G124" s="4"/>
      <c r="H124" s="1297"/>
      <c r="I124" s="1299"/>
    </row>
    <row r="125" spans="1:9" x14ac:dyDescent="0.25">
      <c r="A125" s="2331"/>
      <c r="B125" s="2331"/>
      <c r="C125" s="1329"/>
      <c r="D125" s="1298"/>
      <c r="E125" s="4"/>
      <c r="F125" s="4"/>
      <c r="G125" s="4"/>
      <c r="H125" s="1297"/>
      <c r="I125" s="1299"/>
    </row>
    <row r="126" spans="1:9" x14ac:dyDescent="0.25">
      <c r="A126" s="2331"/>
      <c r="B126" s="2331"/>
      <c r="C126" s="1329"/>
      <c r="D126" s="1298"/>
      <c r="E126" s="4"/>
      <c r="F126" s="4"/>
      <c r="G126" s="4"/>
      <c r="H126" s="1297"/>
      <c r="I126" s="1299"/>
    </row>
    <row r="127" spans="1:9" x14ac:dyDescent="0.25">
      <c r="A127" s="2331"/>
      <c r="B127" s="2331"/>
      <c r="C127" s="1329"/>
      <c r="D127" s="1298"/>
      <c r="E127" s="4"/>
      <c r="F127" s="4"/>
      <c r="G127" s="4"/>
      <c r="H127" s="1297"/>
      <c r="I127" s="1299"/>
    </row>
    <row r="128" spans="1:9" x14ac:dyDescent="0.25">
      <c r="A128" s="2331"/>
      <c r="B128" s="2331"/>
      <c r="C128" s="1329"/>
      <c r="D128" s="1298"/>
      <c r="E128" s="4"/>
      <c r="F128" s="4"/>
      <c r="G128" s="4"/>
      <c r="H128" s="1297"/>
      <c r="I128" s="1299"/>
    </row>
    <row r="129" spans="1:9" x14ac:dyDescent="0.25">
      <c r="A129" s="2331"/>
      <c r="B129" s="2331"/>
      <c r="C129" s="1329"/>
      <c r="D129" s="1298"/>
      <c r="E129" s="4"/>
      <c r="F129" s="4"/>
      <c r="G129" s="4"/>
      <c r="H129" s="1297"/>
      <c r="I129" s="1299"/>
    </row>
    <row r="130" spans="1:9" x14ac:dyDescent="0.25">
      <c r="A130" s="2327"/>
      <c r="B130" s="2328"/>
      <c r="C130" s="1329"/>
      <c r="D130" s="1263"/>
      <c r="E130" s="4"/>
      <c r="F130" s="4"/>
      <c r="G130" s="4"/>
      <c r="H130" s="1297"/>
      <c r="I130" s="1299"/>
    </row>
    <row r="131" spans="1:9" x14ac:dyDescent="0.25">
      <c r="A131" s="2327"/>
      <c r="B131" s="2328"/>
      <c r="C131" s="1329"/>
      <c r="D131" s="1263"/>
      <c r="E131" s="4"/>
      <c r="F131" s="4"/>
      <c r="G131" s="4"/>
      <c r="H131" s="1297"/>
      <c r="I131" s="1299"/>
    </row>
    <row r="132" spans="1:9" x14ac:dyDescent="0.25">
      <c r="A132" s="2327"/>
      <c r="B132" s="2328"/>
      <c r="C132" s="1329"/>
      <c r="D132" s="1263"/>
      <c r="E132" s="4"/>
      <c r="F132" s="4"/>
      <c r="G132" s="4"/>
      <c r="H132" s="1297"/>
      <c r="I132" s="1299"/>
    </row>
    <row r="133" spans="1:9" x14ac:dyDescent="0.25">
      <c r="A133" s="2327"/>
      <c r="B133" s="2328"/>
      <c r="C133" s="1329"/>
      <c r="D133" s="1263"/>
      <c r="E133" s="4"/>
      <c r="F133" s="4"/>
      <c r="G133" s="4"/>
      <c r="H133" s="1297"/>
      <c r="I133" s="1299"/>
    </row>
    <row r="134" spans="1:9" x14ac:dyDescent="0.25">
      <c r="A134" s="2327"/>
      <c r="B134" s="2328"/>
      <c r="C134" s="1329"/>
      <c r="D134" s="1263"/>
      <c r="E134" s="4"/>
      <c r="F134" s="4"/>
      <c r="G134" s="4"/>
      <c r="H134" s="1297"/>
      <c r="I134" s="1299"/>
    </row>
    <row r="135" spans="1:9" x14ac:dyDescent="0.25">
      <c r="A135" s="1148"/>
      <c r="B135" s="1147"/>
      <c r="C135" s="1156"/>
      <c r="D135" s="1150"/>
      <c r="E135" s="4"/>
      <c r="F135" s="4"/>
      <c r="G135" s="4"/>
      <c r="H135" s="1297"/>
      <c r="I135" s="1299"/>
    </row>
    <row r="136" spans="1:9" x14ac:dyDescent="0.25">
      <c r="A136" s="1148"/>
      <c r="B136" s="1147"/>
      <c r="C136" s="1147"/>
      <c r="D136" s="1150"/>
      <c r="E136" s="4"/>
      <c r="F136" s="4"/>
      <c r="G136" s="4"/>
      <c r="H136" s="1297"/>
      <c r="I136" s="1299"/>
    </row>
    <row r="137" spans="1:9" x14ac:dyDescent="0.25">
      <c r="A137" s="2331"/>
      <c r="B137" s="2331"/>
      <c r="C137" s="1329"/>
      <c r="D137" s="1298"/>
      <c r="E137" s="4"/>
      <c r="F137" s="4"/>
      <c r="G137" s="4"/>
    </row>
    <row r="138" spans="1:9" x14ac:dyDescent="0.25">
      <c r="A138" s="2331"/>
      <c r="B138" s="2331"/>
      <c r="C138" s="1329"/>
      <c r="D138" s="1298"/>
      <c r="E138" s="4"/>
      <c r="F138" s="4"/>
      <c r="G138" s="4"/>
    </row>
    <row r="139" spans="1:9" x14ac:dyDescent="0.25">
      <c r="A139" s="2331"/>
      <c r="B139" s="2331"/>
      <c r="C139" s="1329"/>
      <c r="D139" s="1298"/>
      <c r="E139" s="4"/>
      <c r="F139" s="4"/>
      <c r="G139" s="4"/>
    </row>
    <row r="140" spans="1:9" x14ac:dyDescent="0.25">
      <c r="A140" s="2331"/>
      <c r="B140" s="2331"/>
      <c r="C140" s="1329"/>
      <c r="D140" s="1298"/>
      <c r="E140" s="4"/>
      <c r="F140" s="4"/>
      <c r="G140" s="4"/>
    </row>
    <row r="141" spans="1:9" x14ac:dyDescent="0.25">
      <c r="A141" s="2331"/>
      <c r="B141" s="2331"/>
      <c r="C141" s="1329"/>
      <c r="D141" s="1298"/>
      <c r="E141" s="4"/>
      <c r="F141" s="4"/>
      <c r="G141" s="4"/>
    </row>
    <row r="142" spans="1:9" x14ac:dyDescent="0.25">
      <c r="A142" s="2331"/>
      <c r="B142" s="2331"/>
      <c r="C142" s="1329"/>
      <c r="D142" s="1298"/>
      <c r="E142" s="4"/>
      <c r="F142" s="4"/>
      <c r="G142" s="4"/>
    </row>
    <row r="143" spans="1:9" x14ac:dyDescent="0.25">
      <c r="A143" s="2331"/>
      <c r="B143" s="2331"/>
      <c r="C143" s="1329"/>
      <c r="D143" s="1298"/>
      <c r="E143" s="4"/>
      <c r="F143" s="4"/>
      <c r="G143" s="4"/>
    </row>
    <row r="144" spans="1:9" x14ac:dyDescent="0.25">
      <c r="A144" s="2331"/>
      <c r="B144" s="2331"/>
      <c r="C144" s="1329"/>
      <c r="D144" s="1298"/>
      <c r="E144" s="4"/>
      <c r="F144" s="4"/>
      <c r="G144" s="4"/>
    </row>
    <row r="145" spans="1:9" x14ac:dyDescent="0.25">
      <c r="A145" s="2331"/>
      <c r="B145" s="2331"/>
      <c r="C145" s="1329"/>
      <c r="D145" s="1298"/>
      <c r="E145" s="4"/>
      <c r="F145" s="4"/>
      <c r="G145" s="4"/>
    </row>
    <row r="146" spans="1:9" x14ac:dyDescent="0.25">
      <c r="A146" s="2331"/>
      <c r="B146" s="2331"/>
      <c r="C146" s="1329"/>
      <c r="D146" s="1298"/>
      <c r="E146" s="4"/>
      <c r="F146" s="4"/>
      <c r="G146" s="4"/>
    </row>
    <row r="147" spans="1:9" x14ac:dyDescent="0.25">
      <c r="A147" s="2331"/>
      <c r="B147" s="2331"/>
      <c r="C147" s="1329"/>
      <c r="D147" s="1298"/>
      <c r="E147" s="4"/>
      <c r="F147" s="4"/>
      <c r="G147" s="4"/>
    </row>
    <row r="148" spans="1:9" x14ac:dyDescent="0.25">
      <c r="A148" s="2331"/>
      <c r="B148" s="2331"/>
      <c r="C148" s="1329"/>
      <c r="D148" s="1298"/>
      <c r="E148" s="4"/>
      <c r="F148" s="4"/>
      <c r="G148" s="4"/>
    </row>
    <row r="149" spans="1:9" x14ac:dyDescent="0.25">
      <c r="A149" s="2331"/>
      <c r="B149" s="2331"/>
      <c r="C149" s="1329"/>
      <c r="D149" s="1298"/>
      <c r="E149" s="4"/>
      <c r="F149" s="4"/>
      <c r="G149" s="4"/>
    </row>
    <row r="150" spans="1:9" x14ac:dyDescent="0.25">
      <c r="A150" s="2331"/>
      <c r="B150" s="2331"/>
      <c r="C150" s="1329"/>
      <c r="D150" s="1298"/>
      <c r="E150" s="4"/>
      <c r="F150" s="4"/>
      <c r="G150" s="4"/>
    </row>
    <row r="151" spans="1:9" x14ac:dyDescent="0.25">
      <c r="A151" s="2331"/>
      <c r="B151" s="2331"/>
      <c r="C151" s="1329"/>
      <c r="D151" s="1298"/>
      <c r="E151" s="4"/>
      <c r="F151" s="4"/>
      <c r="G151" s="4"/>
    </row>
    <row r="152" spans="1:9" x14ac:dyDescent="0.25">
      <c r="A152" s="2331"/>
      <c r="B152" s="2331"/>
      <c r="C152" s="1329"/>
      <c r="D152" s="1298"/>
      <c r="E152" s="4"/>
      <c r="F152" s="4"/>
      <c r="G152" s="4"/>
    </row>
    <row r="153" spans="1:9" x14ac:dyDescent="0.25">
      <c r="A153" s="2327"/>
      <c r="B153" s="2328"/>
      <c r="C153" s="1329"/>
      <c r="D153" s="1298"/>
      <c r="E153" s="4"/>
      <c r="F153" s="4"/>
      <c r="G153" s="4"/>
    </row>
    <row r="154" spans="1:9" x14ac:dyDescent="0.25">
      <c r="A154" s="2327"/>
      <c r="B154" s="2328"/>
      <c r="C154" s="1329"/>
      <c r="D154" s="1298"/>
      <c r="E154" s="4"/>
      <c r="F154" s="4"/>
      <c r="G154" s="4"/>
    </row>
    <row r="155" spans="1:9" x14ac:dyDescent="0.25">
      <c r="A155" s="2327"/>
      <c r="B155" s="2328"/>
      <c r="C155" s="1329"/>
      <c r="D155" s="1298"/>
      <c r="E155" s="4"/>
      <c r="F155" s="4"/>
      <c r="G155" s="4"/>
    </row>
    <row r="156" spans="1:9" x14ac:dyDescent="0.25">
      <c r="A156" s="2327"/>
      <c r="B156" s="2328"/>
      <c r="C156" s="1329"/>
      <c r="D156" s="1298"/>
      <c r="E156" s="4"/>
      <c r="F156" s="4"/>
      <c r="G156" s="4"/>
    </row>
    <row r="157" spans="1:9" x14ac:dyDescent="0.25">
      <c r="A157" s="2327"/>
      <c r="B157" s="2328"/>
      <c r="C157" s="1329"/>
      <c r="D157" s="1298"/>
      <c r="E157" s="4"/>
      <c r="F157" s="4"/>
      <c r="G157" s="4"/>
    </row>
    <row r="158" spans="1:9" x14ac:dyDescent="0.25">
      <c r="A158" s="1279"/>
      <c r="B158" s="1280"/>
      <c r="C158" s="1280"/>
      <c r="D158" s="1280"/>
      <c r="E158" s="1281"/>
      <c r="F158" s="1281"/>
      <c r="G158" s="4"/>
    </row>
    <row r="159" spans="1:9" ht="18" x14ac:dyDescent="0.25">
      <c r="A159" s="1146" t="s">
        <v>1271</v>
      </c>
      <c r="B159" s="1147"/>
      <c r="C159" s="1147"/>
      <c r="D159" s="1150"/>
      <c r="E159" s="4"/>
      <c r="F159" s="4"/>
      <c r="G159" s="4"/>
      <c r="H159" s="4"/>
      <c r="I159" s="1253"/>
    </row>
    <row r="160" spans="1:9" x14ac:dyDescent="0.25">
      <c r="A160" s="1148"/>
      <c r="B160" s="1147"/>
      <c r="C160" s="1147"/>
      <c r="D160" s="1150"/>
      <c r="E160" s="4"/>
      <c r="F160" s="4"/>
      <c r="G160" s="4"/>
      <c r="H160" s="4"/>
      <c r="I160" s="1253"/>
    </row>
    <row r="161" spans="1:9" ht="36.75" customHeight="1" x14ac:dyDescent="0.25">
      <c r="A161" s="2322" t="s">
        <v>1778</v>
      </c>
      <c r="B161" s="2322"/>
      <c r="C161" s="2322"/>
      <c r="D161" s="2322"/>
      <c r="E161" s="2322"/>
      <c r="F161" s="2322"/>
      <c r="G161" s="2322"/>
      <c r="H161" s="2322"/>
      <c r="I161" s="1257"/>
    </row>
    <row r="162" spans="1:9" x14ac:dyDescent="0.25">
      <c r="A162" s="2322"/>
      <c r="B162" s="2322"/>
      <c r="C162" s="2322"/>
      <c r="D162" s="2322"/>
      <c r="E162" s="2322"/>
      <c r="F162" s="2322"/>
      <c r="G162" s="2322"/>
      <c r="H162" s="2322"/>
      <c r="I162" s="1257"/>
    </row>
    <row r="163" spans="1:9" ht="51" customHeight="1" x14ac:dyDescent="0.25">
      <c r="A163" s="2322" t="s">
        <v>1781</v>
      </c>
      <c r="B163" s="2322"/>
      <c r="C163" s="2322"/>
      <c r="D163" s="2322"/>
      <c r="E163" s="2322"/>
      <c r="F163" s="2322"/>
      <c r="G163" s="2322"/>
      <c r="H163" s="2322"/>
      <c r="I163" s="1257"/>
    </row>
    <row r="164" spans="1:9" x14ac:dyDescent="0.25">
      <c r="A164" s="2322"/>
      <c r="B164" s="2322"/>
      <c r="C164" s="2322"/>
      <c r="D164" s="2322"/>
      <c r="E164" s="2322"/>
      <c r="F164" s="2322"/>
      <c r="G164" s="2322"/>
      <c r="H164" s="2322"/>
      <c r="I164" s="1257"/>
    </row>
    <row r="165" spans="1:9" ht="27" customHeight="1" x14ac:dyDescent="0.25">
      <c r="A165" s="2322" t="s">
        <v>1782</v>
      </c>
      <c r="B165" s="2322"/>
      <c r="C165" s="2322"/>
      <c r="D165" s="2322"/>
      <c r="E165" s="2322"/>
      <c r="F165" s="2322"/>
      <c r="G165" s="2322"/>
      <c r="H165" s="2322"/>
      <c r="I165" s="1257"/>
    </row>
    <row r="166" spans="1:9" x14ac:dyDescent="0.25">
      <c r="A166" s="2322"/>
      <c r="B166" s="2322"/>
      <c r="C166" s="2322"/>
      <c r="D166" s="2322"/>
      <c r="E166" s="2322"/>
      <c r="F166" s="2322"/>
      <c r="G166" s="2322"/>
      <c r="H166" s="2322"/>
      <c r="I166" s="1257"/>
    </row>
    <row r="167" spans="1:9" ht="36.75" customHeight="1" x14ac:dyDescent="0.25">
      <c r="A167" s="2322" t="s">
        <v>1780</v>
      </c>
      <c r="B167" s="2322"/>
      <c r="C167" s="2322"/>
      <c r="D167" s="2322"/>
      <c r="E167" s="2322"/>
      <c r="F167" s="2322"/>
      <c r="G167" s="2322"/>
      <c r="H167" s="2322"/>
      <c r="I167" s="1257"/>
    </row>
    <row r="168" spans="1:9" x14ac:dyDescent="0.25">
      <c r="A168" s="2322"/>
      <c r="B168" s="2322"/>
      <c r="C168" s="2322"/>
      <c r="D168" s="2322"/>
      <c r="E168" s="2322"/>
      <c r="F168" s="2322"/>
      <c r="G168" s="2322"/>
      <c r="H168" s="2322"/>
      <c r="I168" s="1257"/>
    </row>
    <row r="169" spans="1:9" ht="24.75" customHeight="1" x14ac:dyDescent="0.25">
      <c r="A169" s="2322" t="s">
        <v>1783</v>
      </c>
      <c r="B169" s="2322"/>
      <c r="C169" s="2322"/>
      <c r="D169" s="2322"/>
      <c r="E169" s="2322"/>
      <c r="F169" s="2322"/>
      <c r="G169" s="2322"/>
      <c r="H169" s="2322"/>
      <c r="I169" s="1257"/>
    </row>
    <row r="170" spans="1:9" x14ac:dyDescent="0.25">
      <c r="A170" s="1157"/>
      <c r="B170" s="1147"/>
      <c r="C170" s="1147"/>
      <c r="D170" s="1150"/>
      <c r="E170" s="4"/>
      <c r="F170" s="4"/>
      <c r="G170" s="4"/>
      <c r="H170" s="4"/>
      <c r="I170" s="1253"/>
    </row>
    <row r="171" spans="1:9" ht="15" customHeight="1" x14ac:dyDescent="0.25">
      <c r="A171" s="2294" t="s">
        <v>1272</v>
      </c>
      <c r="B171" s="2295"/>
      <c r="C171" s="1301" t="s">
        <v>229</v>
      </c>
      <c r="D171" s="1302">
        <v>100</v>
      </c>
      <c r="E171" s="2294"/>
      <c r="F171" s="2295"/>
      <c r="G171" s="1300"/>
    </row>
    <row r="172" spans="1:9" x14ac:dyDescent="0.25">
      <c r="A172" s="2294" t="s">
        <v>1273</v>
      </c>
      <c r="B172" s="2295"/>
      <c r="C172" s="1301" t="s">
        <v>229</v>
      </c>
      <c r="D172" s="1302">
        <v>20</v>
      </c>
      <c r="E172" s="1330"/>
      <c r="F172" s="1328"/>
      <c r="G172" s="1300"/>
    </row>
    <row r="173" spans="1:9" x14ac:dyDescent="0.25">
      <c r="A173" s="2294" t="s">
        <v>1274</v>
      </c>
      <c r="B173" s="2295"/>
      <c r="C173" s="1301" t="s">
        <v>1275</v>
      </c>
      <c r="D173" s="1302">
        <v>0.5</v>
      </c>
      <c r="E173" s="1330"/>
      <c r="F173" s="1328"/>
      <c r="G173" s="1300"/>
    </row>
    <row r="174" spans="1:9" x14ac:dyDescent="0.25">
      <c r="A174" s="2294" t="s">
        <v>1276</v>
      </c>
      <c r="B174" s="2295"/>
      <c r="C174" s="1301" t="s">
        <v>1275</v>
      </c>
      <c r="D174" s="1302">
        <v>0.3</v>
      </c>
      <c r="E174" s="1330"/>
      <c r="F174" s="1328"/>
      <c r="G174" s="1300"/>
    </row>
    <row r="175" spans="1:9" x14ac:dyDescent="0.25">
      <c r="A175" s="2294" t="s">
        <v>1277</v>
      </c>
      <c r="B175" s="2295"/>
      <c r="C175" s="1301" t="s">
        <v>1275</v>
      </c>
      <c r="D175" s="1302">
        <v>-0.3</v>
      </c>
      <c r="E175" s="1330"/>
      <c r="F175" s="1328"/>
      <c r="G175" s="1300"/>
    </row>
    <row r="176" spans="1:9" x14ac:dyDescent="0.25">
      <c r="A176" s="2294" t="s">
        <v>1278</v>
      </c>
      <c r="B176" s="2295"/>
      <c r="C176" s="1293"/>
      <c r="D176" s="1303"/>
      <c r="E176" s="1330"/>
      <c r="F176" s="1328"/>
      <c r="G176" s="1300"/>
    </row>
    <row r="177" spans="1:9" x14ac:dyDescent="0.25">
      <c r="A177" s="2334" t="s">
        <v>1279</v>
      </c>
      <c r="B177" s="2335"/>
      <c r="C177" s="1301" t="s">
        <v>229</v>
      </c>
      <c r="D177" s="1302">
        <v>0.25</v>
      </c>
      <c r="E177" s="1330"/>
      <c r="F177" s="1328"/>
      <c r="G177" s="1304"/>
    </row>
    <row r="178" spans="1:9" x14ac:dyDescent="0.25">
      <c r="A178" s="2334" t="s">
        <v>1280</v>
      </c>
      <c r="B178" s="2335"/>
      <c r="C178" s="1301" t="s">
        <v>229</v>
      </c>
      <c r="D178" s="1302">
        <v>0.5</v>
      </c>
      <c r="E178" s="1330"/>
      <c r="F178" s="1328"/>
      <c r="G178" s="1304"/>
    </row>
    <row r="179" spans="1:9" ht="15" customHeight="1" x14ac:dyDescent="0.25">
      <c r="A179" s="2294" t="s">
        <v>1281</v>
      </c>
      <c r="B179" s="2295"/>
      <c r="C179" s="1293"/>
      <c r="D179" s="1303"/>
      <c r="E179" s="1330"/>
      <c r="F179" s="1328"/>
      <c r="G179" s="1305"/>
    </row>
    <row r="180" spans="1:9" ht="15" customHeight="1" x14ac:dyDescent="0.25">
      <c r="A180" s="2294" t="s">
        <v>1282</v>
      </c>
      <c r="B180" s="2295"/>
      <c r="C180" s="1293"/>
      <c r="D180" s="1303"/>
      <c r="E180" s="1330"/>
      <c r="F180" s="1328"/>
      <c r="G180" s="1305"/>
    </row>
    <row r="181" spans="1:9" ht="15" customHeight="1" x14ac:dyDescent="0.25">
      <c r="A181" s="2294" t="s">
        <v>1283</v>
      </c>
      <c r="B181" s="2295"/>
      <c r="C181" s="1293"/>
      <c r="D181" s="1303"/>
      <c r="E181" s="1330"/>
      <c r="F181" s="1328"/>
      <c r="G181" s="1305"/>
    </row>
    <row r="182" spans="1:9" x14ac:dyDescent="0.25">
      <c r="A182" s="2334" t="s">
        <v>1284</v>
      </c>
      <c r="B182" s="2335"/>
      <c r="C182" s="1301" t="s">
        <v>229</v>
      </c>
      <c r="D182" s="1306" t="s">
        <v>1285</v>
      </c>
      <c r="E182" s="1330"/>
      <c r="F182" s="1328"/>
      <c r="G182" s="1304"/>
    </row>
    <row r="183" spans="1:9" ht="15" customHeight="1" x14ac:dyDescent="0.25">
      <c r="A183" s="2334" t="s">
        <v>1286</v>
      </c>
      <c r="B183" s="2335"/>
      <c r="C183" s="1301" t="s">
        <v>229</v>
      </c>
      <c r="D183" s="1302">
        <v>2</v>
      </c>
      <c r="E183" s="1330"/>
      <c r="F183" s="1328"/>
      <c r="G183" s="1304"/>
    </row>
    <row r="184" spans="1:9" x14ac:dyDescent="0.25">
      <c r="A184" s="1148"/>
      <c r="B184" s="1147"/>
      <c r="C184" s="1156"/>
      <c r="D184" s="1150"/>
      <c r="E184" s="4"/>
      <c r="F184" s="4"/>
      <c r="G184" s="4"/>
      <c r="H184" s="4"/>
      <c r="I184" s="1253"/>
    </row>
    <row r="185" spans="1:9" ht="20.25" x14ac:dyDescent="0.3">
      <c r="A185" s="1158" t="s">
        <v>1287</v>
      </c>
      <c r="B185" s="1147"/>
      <c r="C185" s="1147"/>
      <c r="D185" s="1150"/>
      <c r="E185" s="4"/>
      <c r="F185" s="4"/>
      <c r="G185" s="4"/>
      <c r="H185" s="4"/>
      <c r="I185" s="1253"/>
    </row>
    <row r="186" spans="1:9" x14ac:dyDescent="0.25">
      <c r="A186" s="4"/>
      <c r="B186" s="4"/>
      <c r="C186" s="4"/>
      <c r="D186" s="4"/>
      <c r="E186" s="4"/>
      <c r="F186" s="4"/>
      <c r="G186" s="4"/>
      <c r="H186" s="4"/>
      <c r="I186" s="1253"/>
    </row>
    <row r="187" spans="1:9" ht="27.75" customHeight="1" x14ac:dyDescent="0.25">
      <c r="A187" s="2322" t="s">
        <v>1288</v>
      </c>
      <c r="B187" s="2322"/>
      <c r="C187" s="2322"/>
      <c r="D187" s="2322"/>
      <c r="E187" s="2322"/>
      <c r="F187" s="2322"/>
      <c r="G187" s="2322"/>
      <c r="H187" s="2322"/>
      <c r="I187" s="1257"/>
    </row>
    <row r="188" spans="1:9" x14ac:dyDescent="0.25">
      <c r="A188" s="1307"/>
      <c r="B188" s="1293"/>
      <c r="C188" s="1293"/>
      <c r="D188" s="1293"/>
      <c r="E188" s="1293"/>
      <c r="F188" s="1293"/>
      <c r="G188" s="1293"/>
      <c r="H188" s="1293"/>
      <c r="I188" s="1303"/>
    </row>
    <row r="189" spans="1:9" x14ac:dyDescent="0.25">
      <c r="A189" s="1293"/>
      <c r="B189" s="1293"/>
      <c r="C189" s="1293"/>
      <c r="D189" s="1293"/>
      <c r="F189" s="1293"/>
      <c r="G189" s="1293"/>
      <c r="H189" s="1293"/>
      <c r="I189" s="1303"/>
    </row>
    <row r="190" spans="1:9" x14ac:dyDescent="0.25">
      <c r="A190" s="2336"/>
      <c r="B190" s="2336"/>
      <c r="C190" s="1293"/>
      <c r="D190" s="1159"/>
      <c r="F190" s="1293"/>
      <c r="G190" s="1293"/>
      <c r="H190" s="1293"/>
    </row>
    <row r="191" spans="1:9" x14ac:dyDescent="0.25">
      <c r="A191" s="2336"/>
      <c r="B191" s="2336"/>
      <c r="C191" s="1293"/>
      <c r="D191" s="1160"/>
      <c r="F191" s="1293"/>
      <c r="G191" s="1293"/>
      <c r="H191" s="1293"/>
    </row>
    <row r="192" spans="1:9" x14ac:dyDescent="0.25">
      <c r="A192" s="2336"/>
      <c r="B192" s="2336"/>
      <c r="C192" s="1293"/>
      <c r="D192" s="1160"/>
      <c r="F192" s="1293"/>
      <c r="G192" s="1293"/>
      <c r="H192" s="1293"/>
    </row>
    <row r="193" spans="1:8" x14ac:dyDescent="0.25">
      <c r="A193" s="2336"/>
      <c r="B193" s="2336"/>
      <c r="C193" s="1293"/>
      <c r="D193" s="1160"/>
      <c r="F193" s="1293"/>
      <c r="G193" s="1293"/>
      <c r="H193" s="1293"/>
    </row>
    <row r="194" spans="1:8" x14ac:dyDescent="0.25">
      <c r="A194" s="2336"/>
      <c r="B194" s="2336"/>
      <c r="C194" s="1293"/>
      <c r="D194" s="1160"/>
      <c r="F194" s="1293"/>
      <c r="G194" s="1293"/>
      <c r="H194" s="1293"/>
    </row>
    <row r="195" spans="1:8" x14ac:dyDescent="0.25">
      <c r="A195" s="2336"/>
      <c r="B195" s="2336"/>
      <c r="C195" s="1293"/>
      <c r="D195" s="1161"/>
      <c r="F195" s="1293"/>
      <c r="G195" s="1293"/>
      <c r="H195" s="1293"/>
    </row>
    <row r="196" spans="1:8" x14ac:dyDescent="0.25">
      <c r="C196" s="1293"/>
    </row>
    <row r="197" spans="1:8" x14ac:dyDescent="0.25">
      <c r="C197" s="1293"/>
    </row>
    <row r="303" spans="1:10" ht="12.75" x14ac:dyDescent="0.2">
      <c r="A303"/>
      <c r="B303"/>
      <c r="C303"/>
      <c r="D303"/>
      <c r="E303"/>
      <c r="F303"/>
      <c r="G303"/>
      <c r="H303"/>
      <c r="I303"/>
      <c r="J303"/>
    </row>
    <row r="304" spans="1:10" ht="12.75" x14ac:dyDescent="0.2">
      <c r="A304"/>
      <c r="B304"/>
      <c r="C304"/>
      <c r="D304"/>
      <c r="E304"/>
      <c r="F304"/>
      <c r="G304"/>
      <c r="H304"/>
      <c r="I304"/>
      <c r="J304"/>
    </row>
    <row r="305" spans="1:10" ht="12.75" x14ac:dyDescent="0.2">
      <c r="A305"/>
      <c r="B305"/>
      <c r="C305"/>
      <c r="D305"/>
      <c r="E305"/>
      <c r="F305"/>
      <c r="G305"/>
      <c r="H305"/>
      <c r="I305"/>
      <c r="J305"/>
    </row>
    <row r="306" spans="1:10" ht="12.75" x14ac:dyDescent="0.2">
      <c r="A306"/>
      <c r="B306"/>
      <c r="C306"/>
      <c r="D306"/>
      <c r="E306"/>
      <c r="F306"/>
      <c r="G306"/>
      <c r="H306"/>
      <c r="I306"/>
      <c r="J306"/>
    </row>
    <row r="307" spans="1:10" ht="12.75" x14ac:dyDescent="0.2">
      <c r="A307"/>
      <c r="B307"/>
      <c r="C307"/>
      <c r="D307"/>
      <c r="E307"/>
      <c r="F307"/>
      <c r="G307"/>
      <c r="H307"/>
      <c r="I307"/>
      <c r="J307"/>
    </row>
    <row r="308" spans="1:10" ht="12.75" x14ac:dyDescent="0.2">
      <c r="A308"/>
      <c r="B308"/>
      <c r="C308"/>
      <c r="D308"/>
      <c r="E308"/>
      <c r="F308"/>
      <c r="G308"/>
      <c r="H308"/>
      <c r="I308"/>
      <c r="J308"/>
    </row>
    <row r="309" spans="1:10" ht="12.75" x14ac:dyDescent="0.2">
      <c r="A309"/>
      <c r="B309"/>
      <c r="C309"/>
      <c r="D309"/>
      <c r="E309"/>
      <c r="F309"/>
      <c r="G309"/>
      <c r="H309"/>
      <c r="I309"/>
      <c r="J309"/>
    </row>
    <row r="310" spans="1:10" ht="12.75" x14ac:dyDescent="0.2">
      <c r="A310"/>
      <c r="B310"/>
      <c r="C310"/>
      <c r="D310"/>
      <c r="E310"/>
      <c r="F310"/>
      <c r="G310"/>
      <c r="H310"/>
      <c r="I310"/>
      <c r="J310"/>
    </row>
    <row r="311" spans="1:10" ht="12.75" x14ac:dyDescent="0.2">
      <c r="A311"/>
      <c r="B311"/>
      <c r="C311"/>
      <c r="D311"/>
      <c r="E311"/>
      <c r="F311"/>
      <c r="G311"/>
      <c r="H311"/>
      <c r="I311"/>
      <c r="J311"/>
    </row>
    <row r="312" spans="1:10" ht="12.75" x14ac:dyDescent="0.2">
      <c r="A312"/>
      <c r="B312"/>
      <c r="C312"/>
      <c r="D312"/>
      <c r="E312"/>
      <c r="F312"/>
      <c r="G312"/>
      <c r="H312"/>
      <c r="I312"/>
      <c r="J312"/>
    </row>
    <row r="313" spans="1:10" ht="12.75" x14ac:dyDescent="0.2">
      <c r="A313"/>
      <c r="B313"/>
      <c r="C313"/>
      <c r="D313"/>
      <c r="E313"/>
      <c r="F313"/>
      <c r="G313"/>
      <c r="H313"/>
      <c r="I313"/>
      <c r="J313"/>
    </row>
    <row r="314" spans="1:10" ht="12.75" x14ac:dyDescent="0.2">
      <c r="A314"/>
      <c r="B314"/>
      <c r="C314"/>
      <c r="D314"/>
      <c r="E314"/>
      <c r="F314"/>
      <c r="G314"/>
      <c r="H314"/>
      <c r="I314"/>
      <c r="J314"/>
    </row>
    <row r="315" spans="1:10" ht="12.75" x14ac:dyDescent="0.2">
      <c r="A315"/>
      <c r="B315"/>
      <c r="C315"/>
      <c r="D315"/>
      <c r="E315"/>
      <c r="F315"/>
      <c r="G315"/>
      <c r="H315"/>
      <c r="I315"/>
      <c r="J315"/>
    </row>
    <row r="316" spans="1:10" ht="12.75" x14ac:dyDescent="0.2">
      <c r="A316"/>
      <c r="B316"/>
      <c r="C316"/>
      <c r="D316"/>
      <c r="E316"/>
      <c r="F316"/>
      <c r="G316"/>
      <c r="H316"/>
      <c r="I316"/>
      <c r="J316"/>
    </row>
    <row r="317" spans="1:10" ht="12.75" x14ac:dyDescent="0.2">
      <c r="A317"/>
      <c r="B317"/>
      <c r="C317"/>
      <c r="D317"/>
      <c r="E317"/>
      <c r="F317"/>
      <c r="G317"/>
      <c r="H317"/>
      <c r="I317"/>
      <c r="J317"/>
    </row>
    <row r="318" spans="1:10" ht="12.75" x14ac:dyDescent="0.2">
      <c r="A318"/>
      <c r="B318"/>
      <c r="C318"/>
      <c r="D318"/>
      <c r="E318"/>
      <c r="F318"/>
      <c r="G318"/>
      <c r="H318"/>
      <c r="I318"/>
      <c r="J318"/>
    </row>
    <row r="319" spans="1:10" ht="12.75" x14ac:dyDescent="0.2">
      <c r="A319"/>
      <c r="B319"/>
      <c r="C319"/>
      <c r="D319"/>
      <c r="E319"/>
      <c r="F319"/>
      <c r="G319"/>
      <c r="H319"/>
      <c r="I319"/>
      <c r="J319"/>
    </row>
    <row r="320" spans="1:10" ht="12.75" x14ac:dyDescent="0.2">
      <c r="A320"/>
      <c r="B320"/>
      <c r="C320"/>
      <c r="D320"/>
      <c r="E320"/>
      <c r="F320"/>
      <c r="G320"/>
      <c r="H320"/>
      <c r="I320"/>
      <c r="J320"/>
    </row>
    <row r="321" spans="1:10" ht="12.75" x14ac:dyDescent="0.2">
      <c r="A321"/>
      <c r="B321"/>
      <c r="C321"/>
      <c r="D321"/>
      <c r="E321"/>
      <c r="F321"/>
      <c r="G321"/>
      <c r="H321"/>
      <c r="I321"/>
      <c r="J321"/>
    </row>
    <row r="322" spans="1:10" ht="12.75" x14ac:dyDescent="0.2">
      <c r="A322"/>
      <c r="B322"/>
      <c r="C322"/>
      <c r="D322"/>
      <c r="E322"/>
      <c r="F322"/>
      <c r="G322"/>
      <c r="H322"/>
      <c r="I322"/>
      <c r="J322"/>
    </row>
    <row r="323" spans="1:10" ht="12.75" x14ac:dyDescent="0.2">
      <c r="A323"/>
      <c r="B323"/>
      <c r="C323"/>
      <c r="D323"/>
      <c r="E323"/>
      <c r="F323"/>
      <c r="G323"/>
      <c r="H323"/>
      <c r="I323"/>
      <c r="J323"/>
    </row>
    <row r="324" spans="1:10" ht="12.75" x14ac:dyDescent="0.2">
      <c r="A324"/>
      <c r="B324"/>
      <c r="C324"/>
      <c r="D324"/>
      <c r="E324"/>
      <c r="F324"/>
      <c r="G324"/>
      <c r="H324"/>
      <c r="I324"/>
      <c r="J324"/>
    </row>
    <row r="325" spans="1:10" ht="12.75" x14ac:dyDescent="0.2">
      <c r="A325"/>
      <c r="B325"/>
      <c r="C325"/>
      <c r="D325"/>
      <c r="E325"/>
      <c r="F325"/>
      <c r="G325"/>
      <c r="H325"/>
      <c r="I325"/>
      <c r="J325"/>
    </row>
    <row r="326" spans="1:10" ht="12.75" x14ac:dyDescent="0.2">
      <c r="A326"/>
      <c r="B326"/>
      <c r="C326"/>
      <c r="D326"/>
      <c r="E326"/>
      <c r="F326"/>
      <c r="G326"/>
      <c r="H326"/>
      <c r="I326"/>
      <c r="J326"/>
    </row>
    <row r="327" spans="1:10" ht="12.75" x14ac:dyDescent="0.2">
      <c r="A327"/>
      <c r="B327"/>
      <c r="C327"/>
      <c r="D327"/>
      <c r="E327"/>
      <c r="F327"/>
      <c r="G327"/>
      <c r="H327"/>
      <c r="I327"/>
      <c r="J327"/>
    </row>
    <row r="328" spans="1:10" ht="12.75" x14ac:dyDescent="0.2">
      <c r="A328"/>
      <c r="B328"/>
      <c r="C328"/>
      <c r="D328"/>
      <c r="E328"/>
      <c r="F328"/>
      <c r="G328"/>
      <c r="H328"/>
      <c r="I328"/>
      <c r="J328"/>
    </row>
    <row r="329" spans="1:10" ht="12.75" x14ac:dyDescent="0.2">
      <c r="A329"/>
      <c r="B329"/>
      <c r="C329"/>
      <c r="D329"/>
      <c r="E329"/>
      <c r="F329"/>
      <c r="G329"/>
      <c r="H329"/>
      <c r="I329"/>
      <c r="J329"/>
    </row>
    <row r="330" spans="1:10" ht="12.75" x14ac:dyDescent="0.2">
      <c r="A330"/>
      <c r="B330"/>
      <c r="C330"/>
      <c r="D330"/>
      <c r="E330"/>
      <c r="F330"/>
      <c r="G330"/>
      <c r="H330"/>
      <c r="I330"/>
      <c r="J330"/>
    </row>
    <row r="331" spans="1:10" ht="12.75" x14ac:dyDescent="0.2">
      <c r="A331"/>
      <c r="B331"/>
      <c r="C331"/>
      <c r="D331"/>
      <c r="E331"/>
      <c r="F331"/>
      <c r="G331"/>
      <c r="H331"/>
      <c r="I331"/>
      <c r="J331"/>
    </row>
    <row r="332" spans="1:10" ht="12.75" x14ac:dyDescent="0.2">
      <c r="A332"/>
      <c r="B332"/>
      <c r="C332"/>
      <c r="D332"/>
      <c r="E332"/>
      <c r="F332"/>
      <c r="G332"/>
      <c r="H332"/>
      <c r="I332"/>
      <c r="J332"/>
    </row>
    <row r="333" spans="1:10" ht="12.75" x14ac:dyDescent="0.2">
      <c r="A333"/>
      <c r="B333"/>
      <c r="C333"/>
      <c r="D333"/>
      <c r="E333"/>
      <c r="F333"/>
      <c r="G333"/>
      <c r="H333"/>
      <c r="I333"/>
      <c r="J333"/>
    </row>
    <row r="334" spans="1:10" ht="12.75" x14ac:dyDescent="0.2">
      <c r="A334"/>
      <c r="B334"/>
      <c r="C334"/>
      <c r="D334"/>
      <c r="E334"/>
      <c r="F334"/>
      <c r="G334"/>
      <c r="H334"/>
      <c r="I334"/>
      <c r="J334"/>
    </row>
    <row r="335" spans="1:10" ht="12.75" x14ac:dyDescent="0.2">
      <c r="A335"/>
      <c r="B335"/>
      <c r="C335"/>
      <c r="D335"/>
      <c r="E335"/>
      <c r="F335"/>
      <c r="G335"/>
      <c r="H335"/>
      <c r="I335"/>
      <c r="J335"/>
    </row>
    <row r="336" spans="1:10" ht="12.75" x14ac:dyDescent="0.2">
      <c r="A336"/>
      <c r="B336"/>
      <c r="C336"/>
      <c r="D336"/>
      <c r="E336"/>
      <c r="F336"/>
      <c r="G336"/>
      <c r="H336"/>
      <c r="I336"/>
      <c r="J336"/>
    </row>
    <row r="337" spans="1:10" ht="12.75" x14ac:dyDescent="0.2">
      <c r="A337"/>
      <c r="B337"/>
      <c r="C337"/>
      <c r="D337"/>
      <c r="E337"/>
      <c r="F337"/>
      <c r="G337"/>
      <c r="H337"/>
      <c r="I337"/>
      <c r="J337"/>
    </row>
    <row r="338" spans="1:10" ht="12.75" x14ac:dyDescent="0.2">
      <c r="A338"/>
      <c r="B338"/>
      <c r="C338"/>
      <c r="D338"/>
      <c r="E338"/>
      <c r="F338"/>
      <c r="G338"/>
      <c r="H338"/>
      <c r="I338"/>
      <c r="J338"/>
    </row>
    <row r="339" spans="1:10" ht="12.75" x14ac:dyDescent="0.2">
      <c r="A339"/>
      <c r="B339"/>
      <c r="C339"/>
      <c r="D339"/>
      <c r="E339"/>
      <c r="F339"/>
      <c r="G339"/>
      <c r="H339"/>
      <c r="I339"/>
      <c r="J339"/>
    </row>
    <row r="340" spans="1:10" ht="12.75" x14ac:dyDescent="0.2">
      <c r="A340"/>
      <c r="B340"/>
      <c r="C340"/>
      <c r="D340"/>
      <c r="E340"/>
      <c r="F340"/>
      <c r="G340"/>
      <c r="H340"/>
      <c r="I340"/>
      <c r="J340"/>
    </row>
    <row r="341" spans="1:10" ht="12.75" x14ac:dyDescent="0.2">
      <c r="A341"/>
      <c r="B341"/>
      <c r="C341"/>
      <c r="D341"/>
      <c r="E341"/>
      <c r="F341"/>
      <c r="G341"/>
      <c r="H341"/>
      <c r="I341"/>
      <c r="J341"/>
    </row>
    <row r="342" spans="1:10" ht="12.75" x14ac:dyDescent="0.2">
      <c r="A342"/>
      <c r="B342"/>
      <c r="C342"/>
      <c r="D342"/>
      <c r="E342"/>
      <c r="F342"/>
      <c r="G342"/>
      <c r="H342"/>
      <c r="I342"/>
      <c r="J342"/>
    </row>
    <row r="343" spans="1:10" ht="12.75" x14ac:dyDescent="0.2">
      <c r="A343"/>
      <c r="B343"/>
      <c r="C343"/>
      <c r="D343"/>
      <c r="E343"/>
      <c r="F343"/>
      <c r="G343"/>
      <c r="H343"/>
      <c r="I343"/>
      <c r="J343"/>
    </row>
    <row r="344" spans="1:10" ht="12.75" x14ac:dyDescent="0.2">
      <c r="A344"/>
      <c r="B344"/>
      <c r="C344"/>
      <c r="D344"/>
      <c r="E344"/>
      <c r="F344"/>
      <c r="G344"/>
      <c r="H344"/>
      <c r="I344"/>
      <c r="J344"/>
    </row>
    <row r="345" spans="1:10" ht="12.75" x14ac:dyDescent="0.2">
      <c r="A345"/>
      <c r="B345"/>
      <c r="C345"/>
      <c r="D345"/>
      <c r="E345"/>
      <c r="F345"/>
      <c r="G345"/>
      <c r="H345"/>
      <c r="I345"/>
      <c r="J345"/>
    </row>
    <row r="346" spans="1:10" ht="12.75" x14ac:dyDescent="0.2">
      <c r="A346"/>
      <c r="B346"/>
      <c r="C346"/>
      <c r="D346"/>
      <c r="E346"/>
      <c r="F346"/>
      <c r="G346"/>
      <c r="H346"/>
      <c r="I346"/>
      <c r="J346"/>
    </row>
    <row r="347" spans="1:10" ht="12.75" x14ac:dyDescent="0.2">
      <c r="A347"/>
      <c r="B347"/>
      <c r="C347"/>
      <c r="D347"/>
      <c r="E347"/>
      <c r="F347"/>
      <c r="G347"/>
      <c r="H347"/>
      <c r="I347"/>
      <c r="J347"/>
    </row>
    <row r="348" spans="1:10" ht="12.75" x14ac:dyDescent="0.2">
      <c r="A348"/>
      <c r="B348"/>
      <c r="C348"/>
      <c r="D348"/>
      <c r="E348"/>
      <c r="F348"/>
      <c r="G348"/>
      <c r="H348"/>
      <c r="I348"/>
      <c r="J348"/>
    </row>
    <row r="349" spans="1:10" ht="12.75" x14ac:dyDescent="0.2">
      <c r="A349"/>
      <c r="B349"/>
      <c r="C349"/>
      <c r="D349"/>
      <c r="E349"/>
      <c r="F349"/>
      <c r="G349"/>
      <c r="H349"/>
      <c r="I349"/>
      <c r="J349"/>
    </row>
    <row r="350" spans="1:10" ht="12.75" x14ac:dyDescent="0.2">
      <c r="A350"/>
      <c r="B350"/>
      <c r="C350"/>
      <c r="D350"/>
      <c r="E350"/>
      <c r="F350"/>
      <c r="G350"/>
      <c r="H350"/>
      <c r="I350"/>
      <c r="J350"/>
    </row>
    <row r="352" spans="1:10" ht="12.75" x14ac:dyDescent="0.2">
      <c r="A352" s="4"/>
      <c r="B352" s="4"/>
      <c r="C352" s="4"/>
      <c r="D352" s="4"/>
      <c r="E352" s="4"/>
      <c r="F352" s="4"/>
      <c r="G352" s="4"/>
      <c r="H352" s="4"/>
      <c r="I352" s="4"/>
      <c r="J352" s="4"/>
    </row>
    <row r="353" spans="1:10" ht="12.75" x14ac:dyDescent="0.2">
      <c r="A353" s="4"/>
      <c r="B353" s="4"/>
      <c r="C353" s="4"/>
      <c r="D353" s="4"/>
      <c r="E353" s="4"/>
      <c r="F353" s="4"/>
      <c r="G353" s="4"/>
      <c r="H353" s="4"/>
      <c r="I353" s="4"/>
      <c r="J353" s="4"/>
    </row>
    <row r="354" spans="1:10" ht="12.75" x14ac:dyDescent="0.2">
      <c r="A354" s="4"/>
      <c r="B354" s="4"/>
      <c r="C354" s="4"/>
      <c r="D354" s="4"/>
      <c r="E354" s="4"/>
      <c r="F354" s="4"/>
      <c r="G354" s="4"/>
      <c r="H354" s="4"/>
      <c r="I354" s="4"/>
      <c r="J354" s="4"/>
    </row>
    <row r="355" spans="1:10" ht="12.75" x14ac:dyDescent="0.2">
      <c r="A355" s="4"/>
      <c r="B355" s="4"/>
      <c r="C355" s="4"/>
      <c r="D355" s="4"/>
      <c r="E355" s="4"/>
      <c r="F355" s="4"/>
      <c r="G355" s="4"/>
      <c r="H355" s="4"/>
      <c r="I355" s="4"/>
      <c r="J355" s="4"/>
    </row>
    <row r="356" spans="1:10" ht="12.75" x14ac:dyDescent="0.2">
      <c r="A356" s="4"/>
      <c r="B356" s="4"/>
      <c r="C356" s="4"/>
      <c r="D356" s="4"/>
      <c r="E356" s="4"/>
      <c r="F356" s="4"/>
      <c r="G356" s="4"/>
      <c r="H356" s="4"/>
      <c r="I356" s="4"/>
      <c r="J356" s="4"/>
    </row>
    <row r="357" spans="1:10" ht="12.75" x14ac:dyDescent="0.2">
      <c r="A357" s="4"/>
      <c r="B357" s="4"/>
      <c r="C357" s="4"/>
      <c r="D357" s="4"/>
      <c r="E357" s="4"/>
      <c r="F357" s="4"/>
      <c r="G357" s="4"/>
      <c r="H357" s="4"/>
      <c r="I357" s="4"/>
      <c r="J357" s="4"/>
    </row>
    <row r="358" spans="1:10" ht="12.75" x14ac:dyDescent="0.2">
      <c r="A358" s="4"/>
      <c r="B358" s="4"/>
      <c r="C358" s="4"/>
      <c r="D358" s="4"/>
      <c r="E358" s="4"/>
      <c r="F358" s="4"/>
      <c r="G358" s="4"/>
      <c r="H358" s="4"/>
      <c r="I358" s="4"/>
      <c r="J358" s="4"/>
    </row>
    <row r="359" spans="1:10" ht="12.75" x14ac:dyDescent="0.2">
      <c r="A359" s="4"/>
      <c r="B359" s="4"/>
      <c r="C359" s="4"/>
      <c r="D359" s="4"/>
      <c r="E359" s="4"/>
      <c r="F359" s="4"/>
      <c r="G359" s="4"/>
      <c r="H359" s="4"/>
      <c r="I359" s="4"/>
      <c r="J359" s="4"/>
    </row>
    <row r="360" spans="1:10" ht="12.75" x14ac:dyDescent="0.2">
      <c r="A360" s="4"/>
      <c r="B360" s="4"/>
      <c r="C360" s="4"/>
      <c r="D360" s="4"/>
      <c r="E360" s="4"/>
      <c r="F360" s="4"/>
      <c r="G360" s="4"/>
      <c r="H360" s="4"/>
      <c r="I360" s="4"/>
      <c r="J360" s="4"/>
    </row>
    <row r="361" spans="1:10" ht="12.75" x14ac:dyDescent="0.2">
      <c r="A361" s="4"/>
      <c r="B361" s="4"/>
      <c r="C361" s="4"/>
      <c r="D361" s="4"/>
      <c r="E361" s="4"/>
      <c r="F361" s="4"/>
      <c r="G361" s="4"/>
      <c r="H361" s="4"/>
      <c r="I361" s="4"/>
      <c r="J361" s="4"/>
    </row>
    <row r="362" spans="1:10" ht="12.75" x14ac:dyDescent="0.2">
      <c r="A362" s="4"/>
      <c r="B362" s="4"/>
      <c r="C362" s="4"/>
      <c r="D362" s="4"/>
      <c r="E362" s="4"/>
      <c r="F362" s="4"/>
      <c r="G362" s="4"/>
      <c r="H362" s="4"/>
      <c r="I362" s="4"/>
      <c r="J362" s="4"/>
    </row>
    <row r="363" spans="1:10" ht="12.75" x14ac:dyDescent="0.2">
      <c r="A363" s="4"/>
      <c r="B363" s="4"/>
      <c r="C363" s="4"/>
      <c r="D363" s="4"/>
      <c r="E363" s="4"/>
      <c r="F363" s="4"/>
      <c r="G363" s="4"/>
      <c r="H363" s="4"/>
      <c r="I363" s="4"/>
      <c r="J363" s="4"/>
    </row>
    <row r="364" spans="1:10" ht="12.75" x14ac:dyDescent="0.2">
      <c r="A364" s="4"/>
      <c r="B364" s="4"/>
      <c r="C364" s="4"/>
      <c r="D364" s="4"/>
      <c r="E364" s="4"/>
      <c r="F364" s="4"/>
      <c r="G364" s="4"/>
      <c r="H364" s="4"/>
      <c r="I364" s="4"/>
      <c r="J364" s="4"/>
    </row>
    <row r="365" spans="1:10" ht="12.75" x14ac:dyDescent="0.2">
      <c r="A365" s="4"/>
      <c r="B365" s="4"/>
      <c r="C365" s="4"/>
      <c r="D365" s="4"/>
      <c r="E365" s="4"/>
      <c r="F365" s="4"/>
      <c r="G365" s="4"/>
      <c r="H365" s="4"/>
      <c r="I365" s="4"/>
      <c r="J365" s="4"/>
    </row>
    <row r="366" spans="1:10" ht="12.75" x14ac:dyDescent="0.2">
      <c r="A366" s="4"/>
      <c r="B366" s="4"/>
      <c r="C366" s="4"/>
      <c r="D366" s="4"/>
      <c r="E366" s="4"/>
      <c r="F366" s="4"/>
      <c r="G366" s="4"/>
      <c r="H366" s="4"/>
      <c r="I366" s="4"/>
      <c r="J366" s="4"/>
    </row>
    <row r="367" spans="1:10" ht="12.75" x14ac:dyDescent="0.2">
      <c r="A367" s="4"/>
      <c r="B367" s="4"/>
      <c r="C367" s="4"/>
      <c r="D367" s="4"/>
      <c r="E367" s="4"/>
      <c r="F367" s="4"/>
      <c r="G367" s="4"/>
      <c r="H367" s="4"/>
      <c r="I367" s="4"/>
      <c r="J367" s="4"/>
    </row>
    <row r="368" spans="1:10" ht="12.75" x14ac:dyDescent="0.2">
      <c r="A368" s="4"/>
      <c r="B368" s="4"/>
      <c r="C368" s="4"/>
      <c r="D368" s="4"/>
      <c r="E368" s="4"/>
      <c r="F368" s="4"/>
      <c r="G368" s="4"/>
      <c r="H368" s="4"/>
      <c r="I368" s="4"/>
      <c r="J368" s="4"/>
    </row>
    <row r="369" spans="1:10" ht="12.75" x14ac:dyDescent="0.2">
      <c r="A369" s="4"/>
      <c r="B369" s="4"/>
      <c r="C369" s="4"/>
      <c r="D369" s="4"/>
      <c r="E369" s="4"/>
      <c r="F369" s="4"/>
      <c r="G369" s="4"/>
      <c r="H369" s="4"/>
      <c r="I369" s="4"/>
      <c r="J369" s="4"/>
    </row>
    <row r="370" spans="1:10" ht="12.75" x14ac:dyDescent="0.2">
      <c r="A370" s="4"/>
      <c r="B370" s="4"/>
      <c r="C370" s="4"/>
      <c r="D370" s="4"/>
      <c r="E370" s="4"/>
      <c r="F370" s="4"/>
      <c r="G370" s="4"/>
      <c r="H370" s="4"/>
      <c r="I370" s="4"/>
      <c r="J370" s="4"/>
    </row>
    <row r="371" spans="1:10" ht="12.75" x14ac:dyDescent="0.2">
      <c r="A371" s="4"/>
      <c r="B371" s="4"/>
      <c r="C371" s="4"/>
      <c r="D371" s="4"/>
      <c r="E371" s="4"/>
      <c r="F371" s="4"/>
      <c r="G371" s="4"/>
      <c r="H371" s="4"/>
      <c r="I371" s="4"/>
      <c r="J371" s="4"/>
    </row>
    <row r="372" spans="1:10" ht="12.75" x14ac:dyDescent="0.2">
      <c r="A372" s="4"/>
      <c r="B372" s="4"/>
      <c r="C372" s="4"/>
      <c r="D372" s="4"/>
      <c r="E372" s="4"/>
      <c r="F372" s="4"/>
      <c r="G372" s="4"/>
      <c r="H372" s="4"/>
      <c r="I372" s="4"/>
      <c r="J372" s="4"/>
    </row>
    <row r="373" spans="1:10" ht="12.75" x14ac:dyDescent="0.2">
      <c r="A373" s="4"/>
      <c r="B373" s="4"/>
      <c r="C373" s="4"/>
      <c r="D373" s="4"/>
      <c r="E373" s="4"/>
      <c r="F373" s="4"/>
      <c r="G373" s="4"/>
      <c r="H373" s="4"/>
      <c r="I373" s="4"/>
      <c r="J373" s="4"/>
    </row>
    <row r="374" spans="1:10" ht="12.75" x14ac:dyDescent="0.2">
      <c r="A374" s="4"/>
      <c r="B374" s="4"/>
      <c r="C374" s="4"/>
      <c r="D374" s="4"/>
      <c r="E374" s="4"/>
      <c r="F374" s="4"/>
      <c r="G374" s="4"/>
      <c r="H374" s="4"/>
      <c r="I374" s="4"/>
      <c r="J374" s="4"/>
    </row>
    <row r="375" spans="1:10" ht="12.75" x14ac:dyDescent="0.2">
      <c r="A375" s="4"/>
      <c r="B375" s="4"/>
      <c r="C375" s="4"/>
      <c r="D375" s="4"/>
      <c r="E375" s="4"/>
      <c r="F375" s="4"/>
      <c r="G375" s="4"/>
      <c r="H375" s="4"/>
      <c r="I375" s="4"/>
      <c r="J375" s="4"/>
    </row>
    <row r="376" spans="1:10" ht="12.75" x14ac:dyDescent="0.2">
      <c r="A376" s="4"/>
      <c r="B376" s="4"/>
      <c r="C376" s="4"/>
      <c r="D376" s="4"/>
      <c r="E376" s="4"/>
      <c r="F376" s="4"/>
      <c r="G376" s="4"/>
      <c r="H376" s="4"/>
      <c r="I376" s="4"/>
      <c r="J376" s="4"/>
    </row>
    <row r="377" spans="1:10" ht="12.75" x14ac:dyDescent="0.2">
      <c r="A377" s="4"/>
      <c r="B377" s="4"/>
      <c r="C377" s="4"/>
      <c r="D377" s="4"/>
      <c r="E377" s="4"/>
      <c r="F377" s="4"/>
      <c r="G377" s="4"/>
      <c r="H377" s="4"/>
      <c r="I377" s="4"/>
      <c r="J377" s="4"/>
    </row>
    <row r="378" spans="1:10" ht="12.75" x14ac:dyDescent="0.2">
      <c r="A378" s="4"/>
      <c r="B378" s="4"/>
      <c r="C378" s="4"/>
      <c r="D378" s="4"/>
      <c r="E378" s="4"/>
      <c r="F378" s="4"/>
      <c r="G378" s="4"/>
      <c r="H378" s="4"/>
      <c r="I378" s="4"/>
      <c r="J378" s="4"/>
    </row>
    <row r="379" spans="1:10" ht="12.75" x14ac:dyDescent="0.2">
      <c r="A379" s="4"/>
      <c r="B379" s="4"/>
      <c r="C379" s="4"/>
      <c r="D379" s="4"/>
      <c r="E379" s="4"/>
      <c r="F379" s="4"/>
      <c r="G379" s="4"/>
      <c r="H379" s="4"/>
      <c r="I379" s="4"/>
      <c r="J379" s="4"/>
    </row>
    <row r="380" spans="1:10" ht="12.75" x14ac:dyDescent="0.2">
      <c r="A380" s="4"/>
      <c r="B380" s="4"/>
      <c r="C380" s="4"/>
      <c r="D380" s="4"/>
      <c r="E380" s="4"/>
      <c r="F380" s="4"/>
      <c r="G380" s="4"/>
      <c r="H380" s="4"/>
      <c r="I380" s="4"/>
      <c r="J380" s="4"/>
    </row>
    <row r="381" spans="1:10" ht="12.75" x14ac:dyDescent="0.2">
      <c r="A381" s="4"/>
      <c r="B381" s="4"/>
      <c r="C381" s="4"/>
      <c r="D381" s="4"/>
      <c r="E381" s="4"/>
      <c r="F381" s="4"/>
      <c r="G381" s="4"/>
      <c r="H381" s="4"/>
      <c r="I381" s="4"/>
      <c r="J381" s="4"/>
    </row>
    <row r="382" spans="1:10" ht="12.75" x14ac:dyDescent="0.2">
      <c r="A382" s="4"/>
      <c r="B382" s="4"/>
      <c r="C382" s="4"/>
      <c r="D382" s="4"/>
      <c r="E382" s="4"/>
      <c r="F382" s="4"/>
      <c r="G382" s="4"/>
      <c r="H382" s="4"/>
      <c r="I382" s="4"/>
      <c r="J382" s="4"/>
    </row>
    <row r="383" spans="1:10" ht="12.75" x14ac:dyDescent="0.2">
      <c r="A383" s="4"/>
      <c r="B383" s="4"/>
      <c r="C383" s="4"/>
      <c r="D383" s="4"/>
      <c r="E383" s="4"/>
      <c r="F383" s="4"/>
      <c r="G383" s="4"/>
      <c r="H383" s="4"/>
      <c r="I383" s="4"/>
      <c r="J383" s="4"/>
    </row>
    <row r="384" spans="1:10" ht="12.75" x14ac:dyDescent="0.2">
      <c r="A384" s="4"/>
      <c r="B384" s="4"/>
      <c r="C384" s="4"/>
      <c r="D384" s="4"/>
      <c r="E384" s="4"/>
      <c r="F384" s="4"/>
      <c r="G384" s="4"/>
      <c r="H384" s="4"/>
      <c r="I384" s="4"/>
      <c r="J384" s="4"/>
    </row>
    <row r="385" spans="1:10" ht="12.75" x14ac:dyDescent="0.2">
      <c r="A385" s="4"/>
      <c r="B385" s="4"/>
      <c r="C385" s="4"/>
      <c r="D385" s="4"/>
      <c r="E385" s="4"/>
      <c r="F385" s="4"/>
      <c r="G385" s="4"/>
      <c r="H385" s="4"/>
      <c r="I385" s="4"/>
      <c r="J385" s="4"/>
    </row>
    <row r="386" spans="1:10" ht="12.75" x14ac:dyDescent="0.2">
      <c r="A386" s="4"/>
      <c r="B386" s="4"/>
      <c r="C386" s="4"/>
      <c r="D386" s="4"/>
      <c r="E386" s="4"/>
      <c r="F386" s="4"/>
      <c r="G386" s="4"/>
      <c r="H386" s="4"/>
      <c r="I386" s="4"/>
      <c r="J386" s="4"/>
    </row>
    <row r="387" spans="1:10" ht="12.75" x14ac:dyDescent="0.2">
      <c r="A387" s="4"/>
      <c r="B387" s="4"/>
      <c r="C387" s="4"/>
      <c r="D387" s="4"/>
      <c r="E387" s="4"/>
      <c r="F387" s="4"/>
      <c r="G387" s="4"/>
      <c r="H387" s="4"/>
      <c r="I387" s="4"/>
      <c r="J387" s="4"/>
    </row>
    <row r="388" spans="1:10" ht="12.75" x14ac:dyDescent="0.2">
      <c r="A388" s="4"/>
      <c r="B388" s="4"/>
      <c r="C388" s="4"/>
      <c r="D388" s="4"/>
      <c r="E388" s="4"/>
      <c r="F388" s="4"/>
      <c r="G388" s="4"/>
      <c r="H388" s="4"/>
      <c r="I388" s="4"/>
      <c r="J388" s="4"/>
    </row>
    <row r="389" spans="1:10" ht="12.75" x14ac:dyDescent="0.2">
      <c r="A389" s="4"/>
      <c r="B389" s="4"/>
      <c r="C389" s="4"/>
      <c r="D389" s="4"/>
      <c r="E389" s="4"/>
      <c r="F389" s="4"/>
      <c r="G389" s="4"/>
      <c r="H389" s="4"/>
      <c r="I389" s="4"/>
      <c r="J389" s="4"/>
    </row>
    <row r="390" spans="1:10" ht="12.75" x14ac:dyDescent="0.2">
      <c r="A390" s="4"/>
      <c r="B390" s="4"/>
      <c r="C390" s="4"/>
      <c r="D390" s="4"/>
      <c r="E390" s="4"/>
      <c r="F390" s="4"/>
      <c r="G390" s="4"/>
      <c r="H390" s="4"/>
      <c r="I390" s="4"/>
      <c r="J390" s="4"/>
    </row>
    <row r="391" spans="1:10" ht="12.75" x14ac:dyDescent="0.2">
      <c r="A391" s="4"/>
      <c r="B391" s="4"/>
      <c r="C391" s="4"/>
      <c r="D391" s="4"/>
      <c r="E391" s="4"/>
      <c r="F391" s="4"/>
      <c r="G391" s="4"/>
      <c r="H391" s="4"/>
      <c r="I391" s="4"/>
      <c r="J391" s="4"/>
    </row>
    <row r="392" spans="1:10" ht="12.75" x14ac:dyDescent="0.2">
      <c r="A392" s="4"/>
      <c r="B392" s="4"/>
      <c r="C392" s="4"/>
      <c r="D392" s="4"/>
      <c r="E392" s="4"/>
      <c r="F392" s="4"/>
      <c r="G392" s="4"/>
      <c r="H392" s="4"/>
      <c r="I392" s="4"/>
      <c r="J392" s="4"/>
    </row>
    <row r="393" spans="1:10" ht="12.75" x14ac:dyDescent="0.2">
      <c r="A393" s="4"/>
      <c r="B393" s="4"/>
      <c r="C393" s="4"/>
      <c r="D393" s="4"/>
      <c r="E393" s="4"/>
      <c r="F393" s="4"/>
      <c r="G393" s="4"/>
      <c r="H393" s="4"/>
      <c r="I393" s="4"/>
      <c r="J393" s="4"/>
    </row>
    <row r="394" spans="1:10" ht="12.75" x14ac:dyDescent="0.2">
      <c r="A394" s="4"/>
      <c r="B394" s="4"/>
      <c r="C394" s="4"/>
      <c r="D394" s="4"/>
      <c r="E394" s="4"/>
      <c r="F394" s="4"/>
      <c r="G394" s="4"/>
      <c r="H394" s="4"/>
      <c r="I394" s="4"/>
      <c r="J394" s="4"/>
    </row>
    <row r="395" spans="1:10" ht="12.75" x14ac:dyDescent="0.2">
      <c r="A395" s="4"/>
      <c r="B395" s="4"/>
      <c r="C395" s="4"/>
      <c r="D395" s="4"/>
      <c r="E395" s="4"/>
      <c r="F395" s="4"/>
      <c r="G395" s="4"/>
      <c r="H395" s="4"/>
      <c r="I395" s="4"/>
      <c r="J395" s="4"/>
    </row>
    <row r="396" spans="1:10" ht="12.75" x14ac:dyDescent="0.2">
      <c r="A396" s="4"/>
      <c r="B396" s="4"/>
      <c r="C396" s="4"/>
      <c r="D396" s="4"/>
      <c r="E396" s="4"/>
      <c r="F396" s="4"/>
      <c r="G396" s="4"/>
      <c r="H396" s="4"/>
      <c r="I396" s="4"/>
      <c r="J396" s="4"/>
    </row>
    <row r="397" spans="1:10" ht="12.75" x14ac:dyDescent="0.2">
      <c r="A397" s="4"/>
      <c r="B397" s="4"/>
      <c r="C397" s="4"/>
      <c r="D397" s="4"/>
      <c r="E397" s="4"/>
      <c r="F397" s="4"/>
      <c r="G397" s="4"/>
      <c r="H397" s="4"/>
      <c r="I397" s="4"/>
      <c r="J397" s="4"/>
    </row>
    <row r="398" spans="1:10" ht="12.75" x14ac:dyDescent="0.2">
      <c r="A398" s="4"/>
      <c r="B398" s="4"/>
      <c r="C398" s="4"/>
      <c r="D398" s="4"/>
      <c r="E398" s="4"/>
      <c r="F398" s="4"/>
      <c r="G398" s="4"/>
      <c r="H398" s="4"/>
      <c r="I398" s="4"/>
      <c r="J398" s="4"/>
    </row>
    <row r="399" spans="1:10" ht="12.75" x14ac:dyDescent="0.2">
      <c r="A399" s="4"/>
      <c r="B399" s="4"/>
      <c r="C399" s="4"/>
      <c r="D399" s="4"/>
      <c r="E399" s="4"/>
      <c r="F399" s="4"/>
      <c r="G399" s="4"/>
      <c r="H399" s="4"/>
      <c r="I399" s="4"/>
      <c r="J399" s="4"/>
    </row>
    <row r="400" spans="1:10" ht="12.75" x14ac:dyDescent="0.2">
      <c r="A400" s="4"/>
      <c r="B400" s="4"/>
      <c r="C400" s="4"/>
      <c r="D400" s="4"/>
      <c r="E400" s="4"/>
      <c r="F400" s="4"/>
      <c r="G400" s="4"/>
      <c r="H400" s="4"/>
      <c r="I400" s="4"/>
      <c r="J400" s="4"/>
    </row>
    <row r="401" spans="1:10" ht="12.75" x14ac:dyDescent="0.2">
      <c r="A401" s="4"/>
      <c r="B401" s="4"/>
      <c r="C401" s="4"/>
      <c r="D401" s="4"/>
      <c r="E401" s="4"/>
      <c r="F401" s="4"/>
      <c r="G401" s="4"/>
      <c r="H401" s="4"/>
      <c r="I401" s="4"/>
      <c r="J401" s="4"/>
    </row>
    <row r="402" spans="1:10" ht="12.75" x14ac:dyDescent="0.2">
      <c r="A402" s="4"/>
      <c r="B402" s="4"/>
      <c r="C402" s="4"/>
      <c r="D402" s="4"/>
      <c r="E402" s="4"/>
      <c r="F402" s="4"/>
      <c r="G402" s="4"/>
      <c r="H402" s="4"/>
      <c r="I402" s="4"/>
      <c r="J402" s="4"/>
    </row>
    <row r="403" spans="1:10" ht="12.75" x14ac:dyDescent="0.2">
      <c r="A403" s="4"/>
      <c r="B403" s="4"/>
      <c r="C403" s="4"/>
      <c r="D403" s="4"/>
      <c r="E403" s="4"/>
      <c r="F403" s="4"/>
      <c r="G403" s="4"/>
      <c r="H403" s="4"/>
      <c r="I403" s="4"/>
      <c r="J403" s="4"/>
    </row>
    <row r="404" spans="1:10" ht="12.75" x14ac:dyDescent="0.2">
      <c r="A404" s="4"/>
      <c r="B404" s="4"/>
      <c r="C404" s="4"/>
      <c r="D404" s="4"/>
      <c r="E404" s="4"/>
      <c r="F404" s="4"/>
      <c r="G404" s="4"/>
      <c r="H404" s="4"/>
      <c r="I404" s="4"/>
      <c r="J404" s="4"/>
    </row>
    <row r="405" spans="1:10" ht="12.75" x14ac:dyDescent="0.2">
      <c r="A405" s="4"/>
      <c r="B405" s="4"/>
      <c r="C405" s="4"/>
      <c r="D405" s="4"/>
      <c r="E405" s="4"/>
      <c r="F405" s="4"/>
      <c r="G405" s="4"/>
      <c r="H405" s="4"/>
      <c r="I405" s="4"/>
      <c r="J405" s="4"/>
    </row>
    <row r="406" spans="1:10" ht="12.75" x14ac:dyDescent="0.2">
      <c r="A406" s="4"/>
      <c r="B406" s="4"/>
      <c r="C406" s="4"/>
      <c r="D406" s="4"/>
      <c r="E406" s="4"/>
      <c r="F406" s="4"/>
      <c r="G406" s="4"/>
      <c r="H406" s="4"/>
      <c r="I406" s="4"/>
      <c r="J406" s="4"/>
    </row>
    <row r="407" spans="1:10" ht="12.75" x14ac:dyDescent="0.2">
      <c r="A407" s="4"/>
      <c r="B407" s="4"/>
      <c r="C407" s="4"/>
      <c r="D407" s="4"/>
      <c r="E407" s="4"/>
      <c r="F407" s="4"/>
      <c r="G407" s="4"/>
      <c r="H407" s="4"/>
      <c r="I407" s="4"/>
      <c r="J407" s="4"/>
    </row>
    <row r="408" spans="1:10" ht="12.75" x14ac:dyDescent="0.2">
      <c r="A408" s="4"/>
      <c r="B408" s="4"/>
      <c r="C408" s="4"/>
      <c r="D408" s="4"/>
      <c r="E408" s="4"/>
      <c r="F408" s="4"/>
      <c r="G408" s="4"/>
      <c r="H408" s="4"/>
      <c r="I408" s="4"/>
      <c r="J408" s="4"/>
    </row>
    <row r="409" spans="1:10" ht="12.75" x14ac:dyDescent="0.2">
      <c r="A409" s="4"/>
      <c r="B409" s="4"/>
      <c r="C409" s="4"/>
      <c r="D409" s="4"/>
      <c r="E409" s="4"/>
      <c r="F409" s="4"/>
      <c r="G409" s="4"/>
      <c r="H409" s="4"/>
      <c r="I409" s="4"/>
      <c r="J409" s="4"/>
    </row>
    <row r="410" spans="1:10" ht="12.75" x14ac:dyDescent="0.2">
      <c r="A410" s="4"/>
      <c r="B410" s="4"/>
      <c r="C410" s="4"/>
      <c r="D410" s="4"/>
      <c r="E410" s="4"/>
      <c r="F410" s="4"/>
      <c r="G410" s="4"/>
      <c r="H410" s="4"/>
      <c r="I410" s="4"/>
      <c r="J410" s="4"/>
    </row>
    <row r="411" spans="1:10" ht="12.75" x14ac:dyDescent="0.2">
      <c r="A411" s="4"/>
      <c r="B411" s="4"/>
      <c r="C411" s="4"/>
      <c r="D411" s="4"/>
      <c r="E411" s="4"/>
      <c r="F411" s="4"/>
      <c r="G411" s="4"/>
      <c r="H411" s="4"/>
      <c r="I411" s="4"/>
      <c r="J411" s="4"/>
    </row>
    <row r="412" spans="1:10" ht="12.75" x14ac:dyDescent="0.2">
      <c r="A412" s="4"/>
      <c r="B412" s="4"/>
      <c r="C412" s="4"/>
      <c r="D412" s="4"/>
      <c r="E412" s="4"/>
      <c r="F412" s="4"/>
      <c r="G412" s="4"/>
      <c r="H412" s="4"/>
      <c r="I412" s="4"/>
      <c r="J412" s="4"/>
    </row>
    <row r="413" spans="1:10" ht="12.75" x14ac:dyDescent="0.2">
      <c r="A413" s="4"/>
      <c r="B413" s="4"/>
      <c r="C413" s="4"/>
      <c r="D413" s="4"/>
      <c r="E413" s="4"/>
      <c r="F413" s="4"/>
      <c r="G413" s="4"/>
      <c r="H413" s="4"/>
      <c r="I413" s="4"/>
      <c r="J413" s="4"/>
    </row>
    <row r="414" spans="1:10" ht="12.75" x14ac:dyDescent="0.2">
      <c r="A414" s="4"/>
      <c r="B414" s="4"/>
      <c r="C414" s="4"/>
      <c r="D414" s="4"/>
      <c r="E414" s="4"/>
      <c r="F414" s="4"/>
      <c r="G414" s="4"/>
      <c r="H414" s="4"/>
      <c r="I414" s="4"/>
      <c r="J414" s="4"/>
    </row>
    <row r="415" spans="1:10" ht="12.75" x14ac:dyDescent="0.2">
      <c r="A415" s="4"/>
      <c r="B415" s="4"/>
      <c r="C415" s="4"/>
      <c r="D415" s="4"/>
      <c r="E415" s="4"/>
      <c r="F415" s="4"/>
      <c r="G415" s="4"/>
      <c r="H415" s="4"/>
      <c r="I415" s="4"/>
      <c r="J415" s="4"/>
    </row>
    <row r="416" spans="1:10" ht="12.75" x14ac:dyDescent="0.2">
      <c r="A416" s="4"/>
      <c r="B416" s="4"/>
      <c r="C416" s="4"/>
      <c r="D416" s="4"/>
      <c r="E416" s="4"/>
      <c r="F416" s="4"/>
      <c r="G416" s="4"/>
      <c r="H416" s="4"/>
      <c r="I416" s="4"/>
      <c r="J416" s="4"/>
    </row>
    <row r="417" spans="1:10" ht="12.75" x14ac:dyDescent="0.2">
      <c r="A417" s="4"/>
      <c r="B417" s="4"/>
      <c r="C417" s="4"/>
      <c r="D417" s="4"/>
      <c r="E417" s="4"/>
      <c r="F417" s="4"/>
      <c r="G417" s="4"/>
      <c r="H417" s="4"/>
      <c r="I417" s="4"/>
      <c r="J417" s="4"/>
    </row>
    <row r="418" spans="1:10" ht="12.75" x14ac:dyDescent="0.2">
      <c r="A418" s="4"/>
      <c r="B418" s="4"/>
      <c r="C418" s="4"/>
      <c r="D418" s="4"/>
      <c r="E418" s="4"/>
      <c r="F418" s="4"/>
      <c r="G418" s="4"/>
      <c r="H418" s="4"/>
      <c r="I418" s="4"/>
      <c r="J418" s="4"/>
    </row>
    <row r="419" spans="1:10" ht="12.75" x14ac:dyDescent="0.2">
      <c r="A419" s="4"/>
      <c r="B419" s="4"/>
      <c r="C419" s="4"/>
      <c r="D419" s="4"/>
      <c r="E419" s="4"/>
      <c r="F419" s="4"/>
      <c r="G419" s="4"/>
      <c r="H419" s="4"/>
      <c r="I419" s="4"/>
      <c r="J419" s="4"/>
    </row>
    <row r="420" spans="1:10" ht="12.75" x14ac:dyDescent="0.2">
      <c r="A420" s="4"/>
      <c r="B420" s="4"/>
      <c r="C420" s="4"/>
      <c r="D420" s="4"/>
      <c r="E420" s="4"/>
      <c r="F420" s="4"/>
      <c r="G420" s="4"/>
      <c r="H420" s="4"/>
      <c r="I420" s="4"/>
      <c r="J420" s="4"/>
    </row>
    <row r="421" spans="1:10" ht="12.75" x14ac:dyDescent="0.2">
      <c r="A421" s="4"/>
      <c r="B421" s="4"/>
      <c r="C421" s="4"/>
      <c r="D421" s="4"/>
      <c r="E421" s="4"/>
      <c r="F421" s="4"/>
      <c r="G421" s="4"/>
      <c r="H421" s="4"/>
      <c r="I421" s="4"/>
      <c r="J421" s="4"/>
    </row>
    <row r="422" spans="1:10" ht="12.75" x14ac:dyDescent="0.2">
      <c r="A422" s="4"/>
      <c r="B422" s="4"/>
      <c r="C422" s="4"/>
      <c r="D422" s="4"/>
      <c r="E422" s="4"/>
      <c r="F422" s="4"/>
      <c r="G422" s="4"/>
      <c r="H422" s="4"/>
      <c r="I422" s="4"/>
      <c r="J422" s="4"/>
    </row>
    <row r="423" spans="1:10" ht="12.75" x14ac:dyDescent="0.2">
      <c r="A423" s="4"/>
      <c r="B423" s="4"/>
      <c r="C423" s="4"/>
      <c r="D423" s="4"/>
      <c r="E423" s="4"/>
      <c r="F423" s="4"/>
      <c r="G423" s="4"/>
      <c r="H423" s="4"/>
      <c r="I423" s="4"/>
      <c r="J423" s="4"/>
    </row>
    <row r="424" spans="1:10" ht="12.75" x14ac:dyDescent="0.2">
      <c r="A424" s="4"/>
      <c r="B424" s="4"/>
      <c r="C424" s="4"/>
      <c r="D424" s="4"/>
      <c r="E424" s="4"/>
      <c r="F424" s="4"/>
      <c r="G424" s="4"/>
      <c r="H424" s="4"/>
      <c r="I424" s="4"/>
      <c r="J424" s="4"/>
    </row>
    <row r="425" spans="1:10" ht="12.75" x14ac:dyDescent="0.2">
      <c r="A425" s="4"/>
      <c r="B425" s="4"/>
      <c r="C425" s="4"/>
      <c r="D425" s="4"/>
      <c r="E425" s="4"/>
      <c r="F425" s="4"/>
      <c r="G425" s="4"/>
      <c r="H425" s="4"/>
      <c r="I425" s="4"/>
      <c r="J425" s="4"/>
    </row>
    <row r="426" spans="1:10" ht="12.75" x14ac:dyDescent="0.2">
      <c r="A426" s="4"/>
      <c r="B426" s="4"/>
      <c r="C426" s="4"/>
      <c r="D426" s="4"/>
      <c r="E426" s="4"/>
      <c r="F426" s="4"/>
      <c r="G426" s="4"/>
      <c r="H426" s="4"/>
      <c r="I426" s="4"/>
      <c r="J426" s="4"/>
    </row>
    <row r="427" spans="1:10" ht="12.75" x14ac:dyDescent="0.2">
      <c r="A427" s="4"/>
      <c r="B427" s="4"/>
      <c r="C427" s="4"/>
      <c r="D427" s="4"/>
      <c r="E427" s="4"/>
      <c r="F427" s="4"/>
      <c r="G427" s="4"/>
      <c r="H427" s="4"/>
      <c r="I427" s="4"/>
      <c r="J427" s="4"/>
    </row>
    <row r="428" spans="1:10" ht="12.75" x14ac:dyDescent="0.2">
      <c r="A428" s="4"/>
      <c r="B428" s="4"/>
      <c r="C428" s="4"/>
      <c r="D428" s="4"/>
      <c r="E428" s="4"/>
      <c r="F428" s="4"/>
      <c r="G428" s="4"/>
      <c r="H428" s="4"/>
      <c r="I428" s="4"/>
      <c r="J428" s="4"/>
    </row>
    <row r="429" spans="1:10" ht="12.75" x14ac:dyDescent="0.2">
      <c r="A429" s="4"/>
      <c r="B429" s="4"/>
      <c r="C429" s="4"/>
      <c r="D429" s="4"/>
      <c r="E429" s="4"/>
      <c r="F429" s="4"/>
      <c r="G429" s="4"/>
      <c r="H429" s="4"/>
      <c r="I429" s="4"/>
      <c r="J429" s="4"/>
    </row>
    <row r="430" spans="1:10" ht="12.75" x14ac:dyDescent="0.2">
      <c r="A430" s="4"/>
      <c r="B430" s="4"/>
      <c r="C430" s="4"/>
      <c r="D430" s="4"/>
      <c r="E430" s="4"/>
      <c r="F430" s="4"/>
      <c r="G430" s="4"/>
      <c r="H430" s="4"/>
      <c r="I430" s="4"/>
      <c r="J430" s="4"/>
    </row>
    <row r="431" spans="1:10" ht="12.75" x14ac:dyDescent="0.2">
      <c r="A431" s="4"/>
      <c r="B431" s="4"/>
      <c r="C431" s="4"/>
      <c r="D431" s="4"/>
      <c r="E431" s="4"/>
      <c r="F431" s="4"/>
      <c r="G431" s="4"/>
      <c r="H431" s="4"/>
      <c r="I431" s="4"/>
      <c r="J431" s="4"/>
    </row>
    <row r="432" spans="1:10" ht="12.75" x14ac:dyDescent="0.2">
      <c r="A432" s="4"/>
      <c r="B432" s="4"/>
      <c r="C432" s="4"/>
      <c r="D432" s="4"/>
      <c r="E432" s="4"/>
      <c r="F432" s="4"/>
      <c r="G432" s="4"/>
      <c r="H432" s="4"/>
      <c r="I432" s="4"/>
      <c r="J432" s="4"/>
    </row>
    <row r="433" spans="1:10" ht="12.75" x14ac:dyDescent="0.2">
      <c r="A433" s="4"/>
      <c r="B433" s="4"/>
      <c r="C433" s="4"/>
      <c r="D433" s="4"/>
      <c r="E433" s="4"/>
      <c r="F433" s="4"/>
      <c r="G433" s="4"/>
      <c r="H433" s="4"/>
      <c r="I433" s="4"/>
      <c r="J433" s="4"/>
    </row>
    <row r="434" spans="1:10" ht="12.75" x14ac:dyDescent="0.2">
      <c r="A434" s="4"/>
      <c r="B434" s="4"/>
      <c r="C434" s="4"/>
      <c r="D434" s="4"/>
      <c r="E434" s="4"/>
      <c r="F434" s="4"/>
      <c r="G434" s="4"/>
      <c r="H434" s="4"/>
      <c r="I434" s="4"/>
      <c r="J434" s="4"/>
    </row>
    <row r="435" spans="1:10" ht="12.75" x14ac:dyDescent="0.2">
      <c r="A435" s="4"/>
      <c r="B435" s="4"/>
      <c r="C435" s="4"/>
      <c r="D435" s="4"/>
      <c r="E435" s="4"/>
      <c r="F435" s="4"/>
      <c r="G435" s="4"/>
      <c r="H435" s="4"/>
      <c r="I435" s="4"/>
      <c r="J435" s="4"/>
    </row>
    <row r="436" spans="1:10" ht="12.75" x14ac:dyDescent="0.2">
      <c r="A436" s="4"/>
      <c r="B436" s="4"/>
      <c r="C436" s="4"/>
      <c r="D436" s="4"/>
      <c r="E436" s="4"/>
      <c r="F436" s="4"/>
      <c r="G436" s="4"/>
      <c r="H436" s="4"/>
      <c r="I436" s="4"/>
      <c r="J436" s="4"/>
    </row>
    <row r="437" spans="1:10" ht="12.75" x14ac:dyDescent="0.2">
      <c r="A437" s="4"/>
      <c r="B437" s="4"/>
      <c r="C437" s="4"/>
      <c r="D437" s="4"/>
      <c r="E437" s="4"/>
      <c r="F437" s="4"/>
      <c r="G437" s="4"/>
      <c r="H437" s="4"/>
      <c r="I437" s="4"/>
      <c r="J437" s="4"/>
    </row>
    <row r="438" spans="1:10" ht="12.75" x14ac:dyDescent="0.2">
      <c r="A438" s="4"/>
      <c r="B438" s="4"/>
      <c r="C438" s="4"/>
      <c r="D438" s="4"/>
      <c r="E438" s="4"/>
      <c r="F438" s="4"/>
      <c r="G438" s="4"/>
      <c r="H438" s="4"/>
      <c r="I438" s="4"/>
      <c r="J438" s="4"/>
    </row>
    <row r="439" spans="1:10" ht="12.75" x14ac:dyDescent="0.2">
      <c r="A439" s="4"/>
      <c r="B439" s="4"/>
      <c r="C439" s="4"/>
      <c r="D439" s="4"/>
      <c r="E439" s="4"/>
      <c r="F439" s="4"/>
      <c r="G439" s="4"/>
      <c r="H439" s="4"/>
      <c r="I439" s="4"/>
      <c r="J439" s="4"/>
    </row>
    <row r="440" spans="1:10" ht="12.75" x14ac:dyDescent="0.2">
      <c r="A440" s="4"/>
      <c r="B440" s="4"/>
      <c r="C440" s="4"/>
      <c r="D440" s="4"/>
      <c r="E440" s="4"/>
      <c r="F440" s="4"/>
      <c r="G440" s="4"/>
      <c r="H440" s="4"/>
      <c r="I440" s="4"/>
      <c r="J440" s="4"/>
    </row>
    <row r="441" spans="1:10" ht="12.75" x14ac:dyDescent="0.2">
      <c r="A441" s="4"/>
      <c r="B441" s="4"/>
      <c r="C441" s="4"/>
      <c r="D441" s="4"/>
      <c r="E441" s="4"/>
      <c r="F441" s="4"/>
      <c r="G441" s="4"/>
      <c r="H441" s="4"/>
      <c r="I441" s="4"/>
      <c r="J441" s="4"/>
    </row>
    <row r="442" spans="1:10" ht="12.75" x14ac:dyDescent="0.2">
      <c r="A442" s="4"/>
      <c r="B442" s="4"/>
      <c r="C442" s="4"/>
      <c r="D442" s="4"/>
      <c r="E442" s="4"/>
      <c r="F442" s="4"/>
      <c r="G442" s="4"/>
      <c r="H442" s="4"/>
      <c r="I442" s="4"/>
      <c r="J442" s="4"/>
    </row>
    <row r="443" spans="1:10" ht="12.75" x14ac:dyDescent="0.2">
      <c r="A443" s="4"/>
      <c r="B443" s="4"/>
      <c r="C443" s="4"/>
      <c r="D443" s="4"/>
      <c r="E443" s="4"/>
      <c r="F443" s="4"/>
      <c r="G443" s="4"/>
      <c r="H443" s="4"/>
      <c r="I443" s="4"/>
      <c r="J443" s="4"/>
    </row>
    <row r="444" spans="1:10" ht="12.75" x14ac:dyDescent="0.2">
      <c r="A444" s="4"/>
      <c r="B444" s="4"/>
      <c r="C444" s="4"/>
      <c r="D444" s="4"/>
      <c r="E444" s="4"/>
      <c r="F444" s="4"/>
      <c r="G444" s="4"/>
      <c r="H444" s="4"/>
      <c r="I444" s="4"/>
      <c r="J444" s="4"/>
    </row>
    <row r="445" spans="1:10" ht="12.75" x14ac:dyDescent="0.2">
      <c r="A445" s="4"/>
      <c r="B445" s="4"/>
      <c r="C445" s="4"/>
      <c r="D445" s="4"/>
      <c r="E445" s="4"/>
      <c r="F445" s="4"/>
      <c r="G445" s="4"/>
      <c r="H445" s="4"/>
      <c r="I445" s="4"/>
      <c r="J445" s="4"/>
    </row>
    <row r="446" spans="1:10" ht="12.75" x14ac:dyDescent="0.2">
      <c r="A446" s="4"/>
      <c r="B446" s="4"/>
      <c r="C446" s="4"/>
      <c r="D446" s="4"/>
      <c r="E446" s="4"/>
      <c r="F446" s="4"/>
      <c r="G446" s="4"/>
      <c r="H446" s="4"/>
      <c r="I446" s="4"/>
      <c r="J446" s="4"/>
    </row>
    <row r="447" spans="1:10" ht="12.75" x14ac:dyDescent="0.2">
      <c r="A447" s="4"/>
      <c r="B447" s="4"/>
      <c r="C447" s="4"/>
      <c r="D447" s="4"/>
      <c r="E447" s="4"/>
      <c r="F447" s="4"/>
      <c r="G447" s="4"/>
      <c r="H447" s="4"/>
      <c r="I447" s="4"/>
      <c r="J447" s="4"/>
    </row>
    <row r="448" spans="1:10" ht="12.75" x14ac:dyDescent="0.2">
      <c r="A448" s="4"/>
      <c r="B448" s="4"/>
      <c r="C448" s="4"/>
      <c r="D448" s="4"/>
      <c r="E448" s="4"/>
      <c r="F448" s="4"/>
      <c r="G448" s="4"/>
      <c r="H448" s="4"/>
      <c r="I448" s="4"/>
      <c r="J448" s="4"/>
    </row>
    <row r="449" spans="1:10" ht="12.75" x14ac:dyDescent="0.2">
      <c r="A449" s="4"/>
      <c r="B449" s="4"/>
      <c r="C449" s="4"/>
      <c r="D449" s="4"/>
      <c r="E449" s="4"/>
      <c r="F449" s="4"/>
      <c r="G449" s="4"/>
      <c r="H449" s="4"/>
      <c r="I449" s="4"/>
      <c r="J449" s="4"/>
    </row>
    <row r="450" spans="1:10" ht="12.75" x14ac:dyDescent="0.2">
      <c r="A450" s="4"/>
      <c r="B450" s="4"/>
      <c r="C450" s="4"/>
      <c r="D450" s="4"/>
      <c r="E450" s="4"/>
      <c r="F450" s="4"/>
      <c r="G450" s="4"/>
      <c r="H450" s="4"/>
      <c r="I450" s="4"/>
      <c r="J450" s="4"/>
    </row>
    <row r="451" spans="1:10" ht="12.75" x14ac:dyDescent="0.2">
      <c r="A451" s="4"/>
      <c r="B451" s="4"/>
      <c r="C451" s="4"/>
      <c r="D451" s="4"/>
      <c r="E451" s="4"/>
      <c r="F451" s="4"/>
      <c r="G451" s="4"/>
      <c r="H451" s="4"/>
      <c r="I451" s="4"/>
      <c r="J451" s="4"/>
    </row>
    <row r="452" spans="1:10" ht="12.75" x14ac:dyDescent="0.2">
      <c r="A452" s="4"/>
      <c r="B452" s="4"/>
      <c r="C452" s="4"/>
      <c r="D452" s="4"/>
      <c r="E452" s="4"/>
      <c r="F452" s="4"/>
      <c r="G452" s="4"/>
      <c r="H452" s="4"/>
      <c r="I452" s="4"/>
      <c r="J452" s="4"/>
    </row>
    <row r="453" spans="1:10" ht="12.75" x14ac:dyDescent="0.2">
      <c r="A453" s="4"/>
      <c r="B453" s="4"/>
      <c r="C453" s="4"/>
      <c r="D453" s="4"/>
      <c r="E453" s="4"/>
      <c r="F453" s="4"/>
      <c r="G453" s="4"/>
      <c r="H453" s="4"/>
      <c r="I453" s="4"/>
      <c r="J453" s="4"/>
    </row>
    <row r="454" spans="1:10" ht="12.75" x14ac:dyDescent="0.2">
      <c r="A454" s="4"/>
      <c r="B454" s="4"/>
      <c r="C454" s="4"/>
      <c r="D454" s="4"/>
      <c r="E454" s="4"/>
      <c r="F454" s="4"/>
      <c r="G454" s="4"/>
      <c r="H454" s="4"/>
      <c r="I454" s="4"/>
      <c r="J454" s="4"/>
    </row>
    <row r="455" spans="1:10" ht="12.75" x14ac:dyDescent="0.2">
      <c r="A455" s="4"/>
      <c r="B455" s="4"/>
      <c r="C455" s="4"/>
      <c r="D455" s="4"/>
      <c r="E455" s="4"/>
      <c r="F455" s="4"/>
      <c r="G455" s="4"/>
      <c r="H455" s="4"/>
      <c r="I455" s="4"/>
      <c r="J455" s="4"/>
    </row>
    <row r="456" spans="1:10" ht="12.75" x14ac:dyDescent="0.2">
      <c r="A456" s="4"/>
      <c r="B456" s="4"/>
      <c r="C456" s="4"/>
      <c r="D456" s="4"/>
      <c r="E456" s="4"/>
      <c r="F456" s="4"/>
      <c r="G456" s="4"/>
      <c r="H456" s="4"/>
      <c r="I456" s="4"/>
      <c r="J456" s="4"/>
    </row>
    <row r="457" spans="1:10" ht="12.75" x14ac:dyDescent="0.2">
      <c r="A457" s="4"/>
      <c r="B457" s="4"/>
      <c r="C457" s="4"/>
      <c r="D457" s="4"/>
      <c r="E457" s="4"/>
      <c r="F457" s="4"/>
      <c r="G457" s="4"/>
      <c r="H457" s="4"/>
      <c r="I457" s="4"/>
      <c r="J457" s="4"/>
    </row>
    <row r="458" spans="1:10" ht="12.75" x14ac:dyDescent="0.2">
      <c r="A458" s="4"/>
      <c r="B458" s="4"/>
      <c r="C458" s="4"/>
      <c r="D458" s="4"/>
      <c r="E458" s="4"/>
      <c r="F458" s="4"/>
      <c r="G458" s="4"/>
      <c r="H458" s="4"/>
      <c r="I458" s="4"/>
      <c r="J458" s="4"/>
    </row>
    <row r="459" spans="1:10" ht="12.75" x14ac:dyDescent="0.2">
      <c r="A459" s="4"/>
      <c r="B459" s="4"/>
      <c r="C459" s="4"/>
      <c r="D459" s="4"/>
      <c r="E459" s="4"/>
      <c r="F459" s="4"/>
      <c r="G459" s="4"/>
      <c r="H459" s="4"/>
      <c r="I459" s="4"/>
      <c r="J459" s="4"/>
    </row>
    <row r="460" spans="1:10" ht="12.75" x14ac:dyDescent="0.2">
      <c r="A460" s="4"/>
      <c r="B460" s="4"/>
      <c r="C460" s="4"/>
      <c r="D460" s="4"/>
      <c r="E460" s="4"/>
      <c r="F460" s="4"/>
      <c r="G460" s="4"/>
      <c r="H460" s="4"/>
      <c r="I460" s="4"/>
      <c r="J460" s="4"/>
    </row>
    <row r="461" spans="1:10" ht="12.75" x14ac:dyDescent="0.2">
      <c r="A461" s="4"/>
      <c r="B461" s="4"/>
      <c r="C461" s="4"/>
      <c r="D461" s="4"/>
      <c r="E461" s="4"/>
      <c r="F461" s="4"/>
      <c r="G461" s="4"/>
      <c r="H461" s="4"/>
      <c r="I461" s="4"/>
      <c r="J461" s="4"/>
    </row>
    <row r="462" spans="1:10" ht="12.75" x14ac:dyDescent="0.2">
      <c r="A462" s="4"/>
      <c r="B462" s="4"/>
      <c r="C462" s="4"/>
      <c r="D462" s="4"/>
      <c r="E462" s="4"/>
      <c r="F462" s="4"/>
      <c r="G462" s="4"/>
      <c r="H462" s="4"/>
      <c r="I462" s="4"/>
      <c r="J462" s="4"/>
    </row>
    <row r="463" spans="1:10" ht="12.75" x14ac:dyDescent="0.2">
      <c r="A463" s="4"/>
      <c r="B463" s="4"/>
      <c r="C463" s="4"/>
      <c r="D463" s="4"/>
      <c r="E463" s="4"/>
      <c r="F463" s="4"/>
      <c r="G463" s="4"/>
      <c r="H463" s="4"/>
      <c r="I463" s="4"/>
      <c r="J463" s="4"/>
    </row>
    <row r="464" spans="1:10" ht="12.75" x14ac:dyDescent="0.2">
      <c r="A464" s="4"/>
      <c r="B464" s="4"/>
      <c r="C464" s="4"/>
      <c r="D464" s="4"/>
      <c r="E464" s="4"/>
      <c r="F464" s="4"/>
      <c r="G464" s="4"/>
      <c r="H464" s="4"/>
      <c r="I464" s="4"/>
      <c r="J464" s="4"/>
    </row>
    <row r="465" spans="1:10" ht="12.75" x14ac:dyDescent="0.2">
      <c r="A465" s="4"/>
      <c r="B465" s="4"/>
      <c r="C465" s="4"/>
      <c r="D465" s="4"/>
      <c r="E465" s="4"/>
      <c r="F465" s="4"/>
      <c r="G465" s="4"/>
      <c r="H465" s="4"/>
      <c r="I465" s="4"/>
      <c r="J465" s="4"/>
    </row>
    <row r="466" spans="1:10" ht="12.75" x14ac:dyDescent="0.2">
      <c r="A466" s="4"/>
      <c r="B466" s="4"/>
      <c r="C466" s="4"/>
      <c r="D466" s="4"/>
      <c r="E466" s="4"/>
      <c r="F466" s="4"/>
      <c r="G466" s="4"/>
      <c r="H466" s="4"/>
      <c r="I466" s="4"/>
      <c r="J466" s="4"/>
    </row>
    <row r="467" spans="1:10" ht="12.75" x14ac:dyDescent="0.2">
      <c r="A467" s="4"/>
      <c r="B467" s="4"/>
      <c r="C467" s="4"/>
      <c r="D467" s="4"/>
      <c r="E467" s="4"/>
      <c r="F467" s="4"/>
      <c r="G467" s="4"/>
      <c r="H467" s="4"/>
      <c r="I467" s="4"/>
      <c r="J467" s="4"/>
    </row>
    <row r="468" spans="1:10" ht="12.75" x14ac:dyDescent="0.2">
      <c r="A468" s="4"/>
      <c r="B468" s="4"/>
      <c r="C468" s="4"/>
      <c r="D468" s="4"/>
      <c r="E468" s="4"/>
      <c r="F468" s="4"/>
      <c r="G468" s="4"/>
      <c r="H468" s="4"/>
      <c r="I468" s="4"/>
      <c r="J468" s="4"/>
    </row>
    <row r="469" spans="1:10" ht="12.75" x14ac:dyDescent="0.2">
      <c r="A469" s="4"/>
      <c r="B469" s="4"/>
      <c r="C469" s="4"/>
      <c r="D469" s="4"/>
      <c r="E469" s="4"/>
      <c r="F469" s="4"/>
      <c r="G469" s="4"/>
      <c r="H469" s="4"/>
      <c r="I469" s="4"/>
      <c r="J469" s="4"/>
    </row>
    <row r="470" spans="1:10" ht="12.75" x14ac:dyDescent="0.2">
      <c r="A470" s="4"/>
      <c r="B470" s="4"/>
      <c r="C470" s="4"/>
      <c r="D470" s="4"/>
      <c r="E470" s="4"/>
      <c r="F470" s="4"/>
      <c r="G470" s="4"/>
      <c r="H470" s="4"/>
      <c r="I470" s="4"/>
      <c r="J470" s="4"/>
    </row>
    <row r="471" spans="1:10" ht="12.75" x14ac:dyDescent="0.2">
      <c r="A471" s="4"/>
      <c r="B471" s="4"/>
      <c r="C471" s="4"/>
      <c r="D471" s="4"/>
      <c r="E471" s="4"/>
      <c r="F471" s="4"/>
      <c r="G471" s="4"/>
      <c r="H471" s="4"/>
      <c r="I471" s="4"/>
      <c r="J471" s="4"/>
    </row>
    <row r="472" spans="1:10" ht="12.75" x14ac:dyDescent="0.2">
      <c r="A472" s="4"/>
      <c r="B472" s="4"/>
      <c r="C472" s="4"/>
      <c r="D472" s="4"/>
      <c r="E472" s="4"/>
      <c r="F472" s="4"/>
      <c r="G472" s="4"/>
      <c r="H472" s="4"/>
      <c r="I472" s="4"/>
      <c r="J472" s="4"/>
    </row>
    <row r="473" spans="1:10" ht="12.75" x14ac:dyDescent="0.2">
      <c r="A473" s="4"/>
      <c r="B473" s="4"/>
      <c r="C473" s="4"/>
      <c r="D473" s="4"/>
      <c r="E473" s="4"/>
      <c r="F473" s="4"/>
      <c r="G473" s="4"/>
      <c r="H473" s="4"/>
      <c r="I473" s="4"/>
      <c r="J473" s="4"/>
    </row>
    <row r="474" spans="1:10" ht="12.75" x14ac:dyDescent="0.2">
      <c r="A474" s="4"/>
      <c r="B474" s="4"/>
      <c r="C474" s="4"/>
      <c r="D474" s="4"/>
      <c r="E474" s="4"/>
      <c r="F474" s="4"/>
      <c r="G474" s="4"/>
      <c r="H474" s="4"/>
      <c r="I474" s="4"/>
      <c r="J474" s="4"/>
    </row>
    <row r="475" spans="1:10" ht="12.75" x14ac:dyDescent="0.2">
      <c r="A475" s="4"/>
      <c r="B475" s="4"/>
      <c r="C475" s="4"/>
      <c r="D475" s="4"/>
      <c r="E475" s="4"/>
      <c r="F475" s="4"/>
      <c r="G475" s="4"/>
      <c r="H475" s="4"/>
      <c r="I475" s="4"/>
      <c r="J475" s="4"/>
    </row>
    <row r="476" spans="1:10" ht="12.75" x14ac:dyDescent="0.2">
      <c r="A476" s="4"/>
      <c r="B476" s="4"/>
      <c r="C476" s="4"/>
      <c r="D476" s="4"/>
      <c r="E476" s="4"/>
      <c r="F476" s="4"/>
      <c r="G476" s="4"/>
      <c r="H476" s="4"/>
      <c r="I476" s="4"/>
      <c r="J476" s="4"/>
    </row>
    <row r="477" spans="1:10" ht="12.75" x14ac:dyDescent="0.2">
      <c r="A477" s="4"/>
      <c r="B477" s="4"/>
      <c r="C477" s="4"/>
      <c r="D477" s="4"/>
      <c r="E477" s="4"/>
      <c r="F477" s="4"/>
      <c r="G477" s="4"/>
      <c r="H477" s="4"/>
      <c r="I477" s="4"/>
      <c r="J477" s="4"/>
    </row>
    <row r="478" spans="1:10" ht="12.75" x14ac:dyDescent="0.2">
      <c r="A478" s="4"/>
      <c r="B478" s="4"/>
      <c r="C478" s="4"/>
      <c r="D478" s="4"/>
      <c r="E478" s="4"/>
      <c r="F478" s="4"/>
      <c r="G478" s="4"/>
      <c r="H478" s="4"/>
      <c r="I478" s="4"/>
      <c r="J478" s="4"/>
    </row>
    <row r="479" spans="1:10" ht="12.75" x14ac:dyDescent="0.2">
      <c r="A479" s="4"/>
      <c r="B479" s="4"/>
      <c r="C479" s="4"/>
      <c r="D479" s="4"/>
      <c r="E479" s="4"/>
      <c r="F479" s="4"/>
      <c r="G479" s="4"/>
      <c r="H479" s="4"/>
      <c r="I479" s="4"/>
      <c r="J479" s="4"/>
    </row>
    <row r="480" spans="1:10" ht="12.75" x14ac:dyDescent="0.2">
      <c r="A480" s="4"/>
      <c r="B480" s="4"/>
      <c r="C480" s="4"/>
      <c r="D480" s="4"/>
      <c r="E480" s="4"/>
      <c r="F480" s="4"/>
      <c r="G480" s="4"/>
      <c r="H480" s="4"/>
      <c r="I480" s="4"/>
      <c r="J480" s="4"/>
    </row>
    <row r="481" spans="1:10" ht="12.75" x14ac:dyDescent="0.2">
      <c r="A481" s="4"/>
      <c r="B481" s="4"/>
      <c r="C481" s="4"/>
      <c r="D481" s="4"/>
      <c r="E481" s="4"/>
      <c r="F481" s="4"/>
      <c r="G481" s="4"/>
      <c r="H481" s="4"/>
      <c r="I481" s="4"/>
      <c r="J481" s="4"/>
    </row>
    <row r="482" spans="1:10" ht="12.75" x14ac:dyDescent="0.2">
      <c r="A482" s="4"/>
      <c r="B482" s="4"/>
      <c r="C482" s="4"/>
      <c r="D482" s="4"/>
      <c r="E482" s="4"/>
      <c r="F482" s="4"/>
      <c r="G482" s="4"/>
      <c r="H482" s="4"/>
      <c r="I482" s="4"/>
      <c r="J482" s="4"/>
    </row>
    <row r="483" spans="1:10" ht="12.75" x14ac:dyDescent="0.2">
      <c r="A483" s="4"/>
      <c r="B483" s="4"/>
      <c r="C483" s="4"/>
      <c r="D483" s="4"/>
      <c r="E483" s="4"/>
      <c r="F483" s="4"/>
      <c r="G483" s="4"/>
      <c r="H483" s="4"/>
      <c r="I483" s="4"/>
      <c r="J483" s="4"/>
    </row>
    <row r="484" spans="1:10" ht="12.75" x14ac:dyDescent="0.2">
      <c r="A484" s="4"/>
      <c r="B484" s="4"/>
      <c r="C484" s="4"/>
      <c r="D484" s="4"/>
      <c r="E484" s="4"/>
      <c r="F484" s="4"/>
      <c r="G484" s="4"/>
      <c r="H484" s="4"/>
      <c r="I484" s="4"/>
      <c r="J484" s="4"/>
    </row>
    <row r="485" spans="1:10" ht="12.75" x14ac:dyDescent="0.2">
      <c r="A485" s="4"/>
      <c r="B485" s="4"/>
      <c r="C485" s="4"/>
      <c r="D485" s="4"/>
      <c r="E485" s="4"/>
      <c r="F485" s="4"/>
      <c r="G485" s="4"/>
      <c r="H485" s="4"/>
      <c r="I485" s="4"/>
      <c r="J485" s="4"/>
    </row>
    <row r="486" spans="1:10" ht="12.75" x14ac:dyDescent="0.2">
      <c r="A486" s="4"/>
      <c r="B486" s="4"/>
      <c r="C486" s="4"/>
      <c r="D486" s="4"/>
      <c r="E486" s="4"/>
      <c r="F486" s="4"/>
      <c r="G486" s="4"/>
      <c r="H486" s="4"/>
      <c r="I486" s="4"/>
      <c r="J486" s="4"/>
    </row>
    <row r="487" spans="1:10" ht="12.75" x14ac:dyDescent="0.2">
      <c r="A487" s="4"/>
      <c r="B487" s="4"/>
      <c r="C487" s="4"/>
      <c r="D487" s="4"/>
      <c r="E487" s="4"/>
      <c r="F487" s="4"/>
      <c r="G487" s="4"/>
      <c r="H487" s="4"/>
      <c r="I487" s="4"/>
      <c r="J487" s="4"/>
    </row>
    <row r="488" spans="1:10" ht="12.75" x14ac:dyDescent="0.2">
      <c r="A488" s="4"/>
      <c r="B488" s="4"/>
      <c r="C488" s="4"/>
      <c r="D488" s="4"/>
      <c r="E488" s="4"/>
      <c r="F488" s="4"/>
      <c r="G488" s="4"/>
      <c r="H488" s="4"/>
      <c r="I488" s="4"/>
      <c r="J488" s="4"/>
    </row>
    <row r="489" spans="1:10" ht="12.75" x14ac:dyDescent="0.2">
      <c r="A489" s="4"/>
      <c r="B489" s="4"/>
      <c r="C489" s="4"/>
      <c r="D489" s="4"/>
      <c r="E489" s="4"/>
      <c r="F489" s="4"/>
      <c r="G489" s="4"/>
      <c r="H489" s="4"/>
      <c r="I489" s="4"/>
      <c r="J489" s="4"/>
    </row>
    <row r="490" spans="1:10" ht="12.75" x14ac:dyDescent="0.2">
      <c r="A490" s="4"/>
      <c r="B490" s="4"/>
      <c r="C490" s="4"/>
      <c r="D490" s="4"/>
      <c r="E490" s="4"/>
      <c r="F490" s="4"/>
      <c r="G490" s="4"/>
      <c r="H490" s="4"/>
      <c r="I490" s="4"/>
      <c r="J490" s="4"/>
    </row>
    <row r="491" spans="1:10" ht="12.75" x14ac:dyDescent="0.2">
      <c r="A491" s="4"/>
      <c r="B491" s="4"/>
      <c r="C491" s="4"/>
      <c r="D491" s="4"/>
      <c r="E491" s="4"/>
      <c r="F491" s="4"/>
      <c r="G491" s="4"/>
      <c r="H491" s="4"/>
      <c r="I491" s="4"/>
      <c r="J491" s="4"/>
    </row>
    <row r="492" spans="1:10" ht="12.75" x14ac:dyDescent="0.2">
      <c r="A492" s="4"/>
      <c r="B492" s="4"/>
      <c r="C492" s="4"/>
      <c r="D492" s="4"/>
      <c r="E492" s="4"/>
      <c r="F492" s="4"/>
      <c r="G492" s="4"/>
      <c r="H492" s="4"/>
      <c r="I492" s="4"/>
      <c r="J492" s="4"/>
    </row>
    <row r="493" spans="1:10" ht="12.75" x14ac:dyDescent="0.2">
      <c r="A493" s="4"/>
      <c r="B493" s="4"/>
      <c r="C493" s="4"/>
      <c r="D493" s="4"/>
      <c r="E493" s="4"/>
      <c r="F493" s="4"/>
      <c r="G493" s="4"/>
      <c r="H493" s="4"/>
      <c r="I493" s="4"/>
      <c r="J493" s="4"/>
    </row>
    <row r="494" spans="1:10" ht="12.75" x14ac:dyDescent="0.2">
      <c r="A494" s="4"/>
      <c r="B494" s="4"/>
      <c r="C494" s="4"/>
      <c r="D494" s="4"/>
      <c r="E494" s="4"/>
      <c r="F494" s="4"/>
      <c r="G494" s="4"/>
      <c r="H494" s="4"/>
      <c r="I494" s="4"/>
      <c r="J494" s="4"/>
    </row>
  </sheetData>
  <mergeCells count="170">
    <mergeCell ref="A1:D1"/>
    <mergeCell ref="A49:F49"/>
    <mergeCell ref="A95:B95"/>
    <mergeCell ref="A96:B96"/>
    <mergeCell ref="A97:B97"/>
    <mergeCell ref="A98:B98"/>
    <mergeCell ref="A126:B126"/>
    <mergeCell ref="A127:B127"/>
    <mergeCell ref="A128:B128"/>
    <mergeCell ref="A3:D3"/>
    <mergeCell ref="A6:D6"/>
    <mergeCell ref="A7:D7"/>
    <mergeCell ref="A8:D8"/>
    <mergeCell ref="A9:D9"/>
    <mergeCell ref="A38:B38"/>
    <mergeCell ref="A39:B39"/>
    <mergeCell ref="A40:B40"/>
    <mergeCell ref="A41:B41"/>
    <mergeCell ref="A42:B42"/>
    <mergeCell ref="A46:B46"/>
    <mergeCell ref="A48:B48"/>
    <mergeCell ref="A31:B31"/>
    <mergeCell ref="A32:B32"/>
    <mergeCell ref="A33:B33"/>
    <mergeCell ref="A193:B193"/>
    <mergeCell ref="A194:B194"/>
    <mergeCell ref="A195:B195"/>
    <mergeCell ref="A187:D187"/>
    <mergeCell ref="E187:H187"/>
    <mergeCell ref="A161:D161"/>
    <mergeCell ref="E161:H161"/>
    <mergeCell ref="A162:D162"/>
    <mergeCell ref="E162:H162"/>
    <mergeCell ref="A163:D163"/>
    <mergeCell ref="E163:H163"/>
    <mergeCell ref="A164:D164"/>
    <mergeCell ref="E164:H164"/>
    <mergeCell ref="A165:D165"/>
    <mergeCell ref="E165:H165"/>
    <mergeCell ref="A166:D166"/>
    <mergeCell ref="E166:H166"/>
    <mergeCell ref="A167:D167"/>
    <mergeCell ref="E167:H167"/>
    <mergeCell ref="A168:D168"/>
    <mergeCell ref="A182:B182"/>
    <mergeCell ref="A183:B183"/>
    <mergeCell ref="A190:B190"/>
    <mergeCell ref="E168:H168"/>
    <mergeCell ref="A192:B192"/>
    <mergeCell ref="A145:B145"/>
    <mergeCell ref="A146:B146"/>
    <mergeCell ref="A147:B147"/>
    <mergeCell ref="A148:B148"/>
    <mergeCell ref="A169:D169"/>
    <mergeCell ref="A179:B179"/>
    <mergeCell ref="A180:B180"/>
    <mergeCell ref="A181:B181"/>
    <mergeCell ref="A176:B176"/>
    <mergeCell ref="A177:B177"/>
    <mergeCell ref="A178:B178"/>
    <mergeCell ref="A173:B173"/>
    <mergeCell ref="A174:B174"/>
    <mergeCell ref="A175:B175"/>
    <mergeCell ref="A34:B34"/>
    <mergeCell ref="A35:B35"/>
    <mergeCell ref="A36:B36"/>
    <mergeCell ref="A55:B55"/>
    <mergeCell ref="A191:B191"/>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56:B56"/>
    <mergeCell ref="A57:B57"/>
    <mergeCell ref="A58:B58"/>
    <mergeCell ref="A64:D64"/>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7:B37"/>
    <mergeCell ref="A47:B47"/>
    <mergeCell ref="A66:D66"/>
    <mergeCell ref="E66:H66"/>
    <mergeCell ref="A68:D68"/>
    <mergeCell ref="E68:H68"/>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9:B99"/>
    <mergeCell ref="A100:B100"/>
    <mergeCell ref="A101:B101"/>
    <mergeCell ref="A102:B102"/>
    <mergeCell ref="A103:B103"/>
    <mergeCell ref="A104:B104"/>
    <mergeCell ref="A105:B105"/>
    <mergeCell ref="A106:B106"/>
    <mergeCell ref="A110:B110"/>
    <mergeCell ref="A138:B138"/>
    <mergeCell ref="A139:B139"/>
    <mergeCell ref="A140:B140"/>
    <mergeCell ref="A141:B141"/>
    <mergeCell ref="A142:B142"/>
    <mergeCell ref="A143:B143"/>
    <mergeCell ref="A144:B144"/>
    <mergeCell ref="A130:B130"/>
    <mergeCell ref="A131:B131"/>
    <mergeCell ref="A133:B133"/>
    <mergeCell ref="A134:B134"/>
    <mergeCell ref="A132:B132"/>
    <mergeCell ref="A129:B129"/>
    <mergeCell ref="A137:B137"/>
    <mergeCell ref="E169:H169"/>
    <mergeCell ref="A171:B171"/>
    <mergeCell ref="E171:F171"/>
    <mergeCell ref="A172:B172"/>
    <mergeCell ref="A149:B149"/>
    <mergeCell ref="A150:B150"/>
    <mergeCell ref="A151:B151"/>
    <mergeCell ref="A152:B152"/>
    <mergeCell ref="A154:B154"/>
    <mergeCell ref="A155:B155"/>
    <mergeCell ref="A156:B156"/>
    <mergeCell ref="A157:B157"/>
    <mergeCell ref="A153:B153"/>
  </mergeCells>
  <dataValidations count="7">
    <dataValidation type="list" allowBlank="1" showInputMessage="1" showErrorMessage="1" sqref="C72:C106 C110:C134 C137:C157">
      <formula1>"$,%"</formula1>
    </dataValidation>
    <dataValidation type="list" allowBlank="1" showInputMessage="1" showErrorMessage="1" sqref="A72:A101">
      <formula1>CustomerAdministration</formula1>
    </dataValidation>
    <dataValidation type="list" allowBlank="1" showInputMessage="1" showErrorMessage="1" sqref="A110:A129 A137:A152">
      <formula1>NonPayment</formula1>
    </dataValidation>
    <dataValidation type="list" allowBlank="1" showInputMessage="1" showErrorMessage="1" sqref="A190:A195">
      <formula1>LossFactors</formula1>
    </dataValidation>
    <dataValidation type="list" showInputMessage="1" showErrorMessage="1" sqref="A13:A36">
      <formula1>Fixed_Charges</formula1>
    </dataValidation>
    <dataValidation type="list" allowBlank="1" showInputMessage="1" showErrorMessage="1" sqref="C46:C48 C13:C42">
      <formula1>Units</formula1>
    </dataValidation>
    <dataValidation allowBlank="1" showInputMessage="1" showErrorMessage="1" sqref="B2:I2 B4:I5 B50:F51 A171:A183 B43:D45 C171:D175 C177:D178 C182:D183 D13:D42 A1:A9 H49:I51 A37:A51 D46:D48 H8:I45 A11:D12 G11:G12 A102:A106"/>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76"/>
  <sheetViews>
    <sheetView showGridLines="0" topLeftCell="A7" zoomScale="95" zoomScaleNormal="95" workbookViewId="0">
      <selection activeCell="L2" sqref="L2"/>
    </sheetView>
  </sheetViews>
  <sheetFormatPr defaultColWidth="9.140625" defaultRowHeight="12.75" x14ac:dyDescent="0.2"/>
  <cols>
    <col min="1" max="1" width="7.7109375" style="679" customWidth="1"/>
    <col min="2" max="2" width="6.42578125" style="679" customWidth="1"/>
    <col min="3" max="3" width="37.85546875" style="216" customWidth="1"/>
    <col min="4" max="4" width="14.42578125" style="216" customWidth="1"/>
    <col min="5" max="5" width="13" style="216" customWidth="1"/>
    <col min="6" max="6" width="11.7109375" style="216" customWidth="1"/>
    <col min="7" max="7" width="13.5703125" style="216" customWidth="1"/>
    <col min="8" max="8" width="1.7109375" style="252" customWidth="1"/>
    <col min="9" max="9" width="14.28515625" style="216" customWidth="1"/>
    <col min="10" max="10" width="13.42578125" style="216" customWidth="1"/>
    <col min="11" max="11" width="11.85546875" style="216" customWidth="1"/>
    <col min="12" max="12" width="14.5703125" style="216" bestFit="1" customWidth="1"/>
    <col min="13" max="13" width="14.140625" style="216" bestFit="1" customWidth="1"/>
    <col min="14" max="14" width="10.28515625" style="216" bestFit="1" customWidth="1"/>
    <col min="15" max="16384" width="9.140625" style="216"/>
  </cols>
  <sheetData>
    <row r="1" spans="1:13" x14ac:dyDescent="0.2">
      <c r="L1" s="217" t="s">
        <v>419</v>
      </c>
      <c r="M1" s="208" t="str">
        <f>EBNUMBER</f>
        <v>EB-2014-0113</v>
      </c>
    </row>
    <row r="2" spans="1:13" x14ac:dyDescent="0.2">
      <c r="L2" s="217" t="s">
        <v>420</v>
      </c>
      <c r="M2" s="767"/>
    </row>
    <row r="3" spans="1:13" x14ac:dyDescent="0.2">
      <c r="L3" s="217" t="s">
        <v>421</v>
      </c>
      <c r="M3" s="767"/>
    </row>
    <row r="4" spans="1:13" x14ac:dyDescent="0.2">
      <c r="L4" s="217" t="s">
        <v>422</v>
      </c>
      <c r="M4" s="767"/>
    </row>
    <row r="5" spans="1:13" x14ac:dyDescent="0.2">
      <c r="L5" s="217" t="s">
        <v>423</v>
      </c>
      <c r="M5" s="768"/>
    </row>
    <row r="6" spans="1:13" ht="9" customHeight="1" x14ac:dyDescent="0.2">
      <c r="L6" s="217"/>
      <c r="M6" s="766"/>
    </row>
    <row r="7" spans="1:13" x14ac:dyDescent="0.2">
      <c r="L7" s="217" t="s">
        <v>424</v>
      </c>
      <c r="M7" s="768"/>
    </row>
    <row r="8" spans="1:13" ht="9" customHeight="1" x14ac:dyDescent="0.2"/>
    <row r="9" spans="1:13" ht="20.25" customHeight="1" x14ac:dyDescent="0.2">
      <c r="A9" s="1785" t="s">
        <v>745</v>
      </c>
      <c r="B9" s="1785"/>
      <c r="C9" s="1785"/>
      <c r="D9" s="1785"/>
      <c r="E9" s="1785"/>
      <c r="F9" s="1785"/>
      <c r="G9" s="1785"/>
      <c r="H9" s="1785"/>
      <c r="I9" s="1785"/>
      <c r="J9" s="1785"/>
      <c r="K9" s="1785"/>
      <c r="L9" s="1785"/>
      <c r="M9" s="1785"/>
    </row>
    <row r="10" spans="1:13" ht="18" x14ac:dyDescent="0.2">
      <c r="A10" s="1785" t="s">
        <v>1042</v>
      </c>
      <c r="B10" s="1785"/>
      <c r="C10" s="1785"/>
      <c r="D10" s="1785"/>
      <c r="E10" s="1785"/>
      <c r="F10" s="1785"/>
      <c r="G10" s="1785"/>
      <c r="H10" s="1785"/>
      <c r="I10" s="1785"/>
      <c r="J10" s="1785"/>
      <c r="K10" s="1785"/>
      <c r="L10" s="1785"/>
      <c r="M10" s="1785"/>
    </row>
    <row r="12" spans="1:13" ht="15" x14ac:dyDescent="0.25">
      <c r="C12" s="236"/>
      <c r="E12" s="769" t="s">
        <v>159</v>
      </c>
      <c r="F12" s="770"/>
      <c r="G12" s="771"/>
    </row>
    <row r="14" spans="1:13" x14ac:dyDescent="0.2">
      <c r="D14" s="1786" t="s">
        <v>380</v>
      </c>
      <c r="E14" s="1787"/>
      <c r="F14" s="1787"/>
      <c r="G14" s="1788"/>
      <c r="I14" s="772"/>
      <c r="J14" s="773" t="s">
        <v>381</v>
      </c>
      <c r="K14" s="773"/>
      <c r="L14" s="774"/>
      <c r="M14" s="252"/>
    </row>
    <row r="15" spans="1:13" ht="25.5" x14ac:dyDescent="0.2">
      <c r="A15" s="775" t="s">
        <v>344</v>
      </c>
      <c r="B15" s="776" t="s">
        <v>345</v>
      </c>
      <c r="C15" s="777" t="s">
        <v>346</v>
      </c>
      <c r="D15" s="775" t="s">
        <v>347</v>
      </c>
      <c r="E15" s="776" t="s">
        <v>348</v>
      </c>
      <c r="F15" s="776" t="s">
        <v>378</v>
      </c>
      <c r="G15" s="775" t="s">
        <v>379</v>
      </c>
      <c r="H15" s="778"/>
      <c r="I15" s="779" t="s">
        <v>347</v>
      </c>
      <c r="J15" s="780" t="s">
        <v>348</v>
      </c>
      <c r="K15" s="780" t="s">
        <v>378</v>
      </c>
      <c r="L15" s="781" t="s">
        <v>379</v>
      </c>
      <c r="M15" s="775" t="s">
        <v>418</v>
      </c>
    </row>
    <row r="16" spans="1:13" ht="25.5" x14ac:dyDescent="0.2">
      <c r="A16" s="782">
        <v>12</v>
      </c>
      <c r="B16" s="782">
        <v>1611</v>
      </c>
      <c r="C16" s="783" t="s">
        <v>515</v>
      </c>
      <c r="D16" s="204"/>
      <c r="E16" s="204"/>
      <c r="F16" s="204"/>
      <c r="G16" s="8">
        <f>D16+E16+F16</f>
        <v>0</v>
      </c>
      <c r="H16" s="248"/>
      <c r="I16" s="206"/>
      <c r="J16" s="204"/>
      <c r="K16" s="204"/>
      <c r="L16" s="8">
        <f>I16+J16+K16</f>
        <v>0</v>
      </c>
      <c r="M16" s="784">
        <f>G16+L16</f>
        <v>0</v>
      </c>
    </row>
    <row r="17" spans="1:13" ht="25.5" x14ac:dyDescent="0.2">
      <c r="A17" s="782" t="s">
        <v>390</v>
      </c>
      <c r="B17" s="782">
        <v>1612</v>
      </c>
      <c r="C17" s="783" t="s">
        <v>650</v>
      </c>
      <c r="D17" s="204"/>
      <c r="E17" s="204"/>
      <c r="F17" s="204"/>
      <c r="G17" s="8">
        <f>D17+E17+F17</f>
        <v>0</v>
      </c>
      <c r="H17" s="248"/>
      <c r="I17" s="206"/>
      <c r="J17" s="204"/>
      <c r="K17" s="204"/>
      <c r="L17" s="8">
        <f>I17+J17+K17</f>
        <v>0</v>
      </c>
      <c r="M17" s="784">
        <f>G17+L17</f>
        <v>0</v>
      </c>
    </row>
    <row r="18" spans="1:13" x14ac:dyDescent="0.2">
      <c r="A18" s="785" t="s">
        <v>382</v>
      </c>
      <c r="B18" s="785">
        <v>1805</v>
      </c>
      <c r="C18" s="786" t="s">
        <v>383</v>
      </c>
      <c r="D18" s="204"/>
      <c r="E18" s="204"/>
      <c r="F18" s="204"/>
      <c r="G18" s="8">
        <f>D18+E18+F18</f>
        <v>0</v>
      </c>
      <c r="H18" s="248"/>
      <c r="I18" s="206"/>
      <c r="J18" s="204"/>
      <c r="K18" s="204"/>
      <c r="L18" s="8">
        <f>I18+J18+K18</f>
        <v>0</v>
      </c>
      <c r="M18" s="784">
        <f>G18+L18</f>
        <v>0</v>
      </c>
    </row>
    <row r="19" spans="1:13" x14ac:dyDescent="0.2">
      <c r="A19" s="782">
        <v>47</v>
      </c>
      <c r="B19" s="782">
        <v>1808</v>
      </c>
      <c r="C19" s="787" t="s">
        <v>384</v>
      </c>
      <c r="D19" s="204"/>
      <c r="E19" s="204"/>
      <c r="F19" s="204"/>
      <c r="G19" s="8">
        <f t="shared" ref="G19:G58" si="0">D19+E19+F19</f>
        <v>0</v>
      </c>
      <c r="H19" s="248"/>
      <c r="I19" s="206"/>
      <c r="J19" s="204"/>
      <c r="K19" s="204"/>
      <c r="L19" s="8">
        <f t="shared" ref="L19:L55" si="1">I19+J19+K19</f>
        <v>0</v>
      </c>
      <c r="M19" s="784">
        <f t="shared" ref="M19:M58" si="2">G19+L19</f>
        <v>0</v>
      </c>
    </row>
    <row r="20" spans="1:13" x14ac:dyDescent="0.2">
      <c r="A20" s="782">
        <v>13</v>
      </c>
      <c r="B20" s="782">
        <v>1810</v>
      </c>
      <c r="C20" s="787" t="s">
        <v>417</v>
      </c>
      <c r="D20" s="204"/>
      <c r="E20" s="204"/>
      <c r="F20" s="204"/>
      <c r="G20" s="8">
        <f t="shared" si="0"/>
        <v>0</v>
      </c>
      <c r="H20" s="248"/>
      <c r="I20" s="206"/>
      <c r="J20" s="204"/>
      <c r="K20" s="204"/>
      <c r="L20" s="8">
        <f t="shared" si="1"/>
        <v>0</v>
      </c>
      <c r="M20" s="784">
        <f t="shared" si="2"/>
        <v>0</v>
      </c>
    </row>
    <row r="21" spans="1:13" x14ac:dyDescent="0.2">
      <c r="A21" s="782">
        <v>47</v>
      </c>
      <c r="B21" s="782">
        <v>1815</v>
      </c>
      <c r="C21" s="787" t="s">
        <v>385</v>
      </c>
      <c r="D21" s="204"/>
      <c r="E21" s="204"/>
      <c r="F21" s="204"/>
      <c r="G21" s="8">
        <f t="shared" si="0"/>
        <v>0</v>
      </c>
      <c r="H21" s="248"/>
      <c r="I21" s="206"/>
      <c r="J21" s="204"/>
      <c r="K21" s="204"/>
      <c r="L21" s="8">
        <f t="shared" si="1"/>
        <v>0</v>
      </c>
      <c r="M21" s="784">
        <f t="shared" si="2"/>
        <v>0</v>
      </c>
    </row>
    <row r="22" spans="1:13" x14ac:dyDescent="0.2">
      <c r="A22" s="782">
        <v>47</v>
      </c>
      <c r="B22" s="782">
        <v>1820</v>
      </c>
      <c r="C22" s="783" t="s">
        <v>306</v>
      </c>
      <c r="D22" s="204"/>
      <c r="E22" s="204"/>
      <c r="F22" s="204"/>
      <c r="G22" s="8">
        <f t="shared" si="0"/>
        <v>0</v>
      </c>
      <c r="H22" s="248"/>
      <c r="I22" s="206"/>
      <c r="J22" s="204"/>
      <c r="K22" s="204"/>
      <c r="L22" s="8">
        <f t="shared" si="1"/>
        <v>0</v>
      </c>
      <c r="M22" s="784">
        <f t="shared" si="2"/>
        <v>0</v>
      </c>
    </row>
    <row r="23" spans="1:13" x14ac:dyDescent="0.2">
      <c r="A23" s="782">
        <v>47</v>
      </c>
      <c r="B23" s="782">
        <v>1825</v>
      </c>
      <c r="C23" s="787" t="s">
        <v>386</v>
      </c>
      <c r="D23" s="204"/>
      <c r="E23" s="204"/>
      <c r="F23" s="204"/>
      <c r="G23" s="8">
        <f t="shared" si="0"/>
        <v>0</v>
      </c>
      <c r="H23" s="248"/>
      <c r="I23" s="206"/>
      <c r="J23" s="204"/>
      <c r="K23" s="204"/>
      <c r="L23" s="8">
        <f t="shared" si="1"/>
        <v>0</v>
      </c>
      <c r="M23" s="784">
        <f t="shared" si="2"/>
        <v>0</v>
      </c>
    </row>
    <row r="24" spans="1:13" x14ac:dyDescent="0.2">
      <c r="A24" s="782">
        <v>47</v>
      </c>
      <c r="B24" s="782">
        <v>1830</v>
      </c>
      <c r="C24" s="787" t="s">
        <v>387</v>
      </c>
      <c r="D24" s="204"/>
      <c r="E24" s="204"/>
      <c r="F24" s="204"/>
      <c r="G24" s="8">
        <f t="shared" si="0"/>
        <v>0</v>
      </c>
      <c r="H24" s="248"/>
      <c r="I24" s="206"/>
      <c r="J24" s="204"/>
      <c r="K24" s="204"/>
      <c r="L24" s="8">
        <f t="shared" si="1"/>
        <v>0</v>
      </c>
      <c r="M24" s="784">
        <f t="shared" si="2"/>
        <v>0</v>
      </c>
    </row>
    <row r="25" spans="1:13" x14ac:dyDescent="0.2">
      <c r="A25" s="782">
        <v>47</v>
      </c>
      <c r="B25" s="782">
        <v>1835</v>
      </c>
      <c r="C25" s="787" t="s">
        <v>307</v>
      </c>
      <c r="D25" s="204"/>
      <c r="E25" s="204"/>
      <c r="F25" s="204"/>
      <c r="G25" s="8">
        <f t="shared" si="0"/>
        <v>0</v>
      </c>
      <c r="H25" s="248"/>
      <c r="I25" s="206"/>
      <c r="J25" s="204"/>
      <c r="K25" s="204"/>
      <c r="L25" s="8">
        <f t="shared" si="1"/>
        <v>0</v>
      </c>
      <c r="M25" s="784">
        <f t="shared" si="2"/>
        <v>0</v>
      </c>
    </row>
    <row r="26" spans="1:13" x14ac:dyDescent="0.2">
      <c r="A26" s="782">
        <v>47</v>
      </c>
      <c r="B26" s="782">
        <v>1840</v>
      </c>
      <c r="C26" s="787" t="s">
        <v>308</v>
      </c>
      <c r="D26" s="204"/>
      <c r="E26" s="204"/>
      <c r="F26" s="204"/>
      <c r="G26" s="8">
        <f t="shared" si="0"/>
        <v>0</v>
      </c>
      <c r="H26" s="248"/>
      <c r="I26" s="206"/>
      <c r="J26" s="204"/>
      <c r="K26" s="204"/>
      <c r="L26" s="8">
        <f t="shared" si="1"/>
        <v>0</v>
      </c>
      <c r="M26" s="784">
        <f t="shared" si="2"/>
        <v>0</v>
      </c>
    </row>
    <row r="27" spans="1:13" x14ac:dyDescent="0.2">
      <c r="A27" s="782">
        <v>47</v>
      </c>
      <c r="B27" s="782">
        <v>1845</v>
      </c>
      <c r="C27" s="787" t="s">
        <v>309</v>
      </c>
      <c r="D27" s="204"/>
      <c r="E27" s="204"/>
      <c r="F27" s="204"/>
      <c r="G27" s="8">
        <f t="shared" si="0"/>
        <v>0</v>
      </c>
      <c r="H27" s="248"/>
      <c r="I27" s="206"/>
      <c r="J27" s="204"/>
      <c r="K27" s="204"/>
      <c r="L27" s="8">
        <f t="shared" si="1"/>
        <v>0</v>
      </c>
      <c r="M27" s="784">
        <f t="shared" si="2"/>
        <v>0</v>
      </c>
    </row>
    <row r="28" spans="1:13" x14ac:dyDescent="0.2">
      <c r="A28" s="782">
        <v>47</v>
      </c>
      <c r="B28" s="782">
        <v>1850</v>
      </c>
      <c r="C28" s="787" t="s">
        <v>388</v>
      </c>
      <c r="D28" s="204"/>
      <c r="E28" s="204"/>
      <c r="F28" s="204"/>
      <c r="G28" s="8">
        <f t="shared" si="0"/>
        <v>0</v>
      </c>
      <c r="H28" s="248"/>
      <c r="I28" s="206"/>
      <c r="J28" s="204"/>
      <c r="K28" s="204"/>
      <c r="L28" s="8">
        <f t="shared" si="1"/>
        <v>0</v>
      </c>
      <c r="M28" s="784">
        <f t="shared" si="2"/>
        <v>0</v>
      </c>
    </row>
    <row r="29" spans="1:13" x14ac:dyDescent="0.2">
      <c r="A29" s="782">
        <v>47</v>
      </c>
      <c r="B29" s="782">
        <v>1855</v>
      </c>
      <c r="C29" s="787" t="s">
        <v>310</v>
      </c>
      <c r="D29" s="204"/>
      <c r="E29" s="204"/>
      <c r="F29" s="204"/>
      <c r="G29" s="8">
        <f t="shared" si="0"/>
        <v>0</v>
      </c>
      <c r="H29" s="248"/>
      <c r="I29" s="206"/>
      <c r="J29" s="204"/>
      <c r="K29" s="204"/>
      <c r="L29" s="8">
        <f t="shared" si="1"/>
        <v>0</v>
      </c>
      <c r="M29" s="784">
        <f t="shared" si="2"/>
        <v>0</v>
      </c>
    </row>
    <row r="30" spans="1:13" x14ac:dyDescent="0.2">
      <c r="A30" s="782">
        <v>47</v>
      </c>
      <c r="B30" s="782">
        <v>1860</v>
      </c>
      <c r="C30" s="787" t="s">
        <v>389</v>
      </c>
      <c r="D30" s="204"/>
      <c r="E30" s="204"/>
      <c r="F30" s="204"/>
      <c r="G30" s="8">
        <f t="shared" si="0"/>
        <v>0</v>
      </c>
      <c r="H30" s="248"/>
      <c r="I30" s="206"/>
      <c r="J30" s="204"/>
      <c r="K30" s="204"/>
      <c r="L30" s="8">
        <f t="shared" si="1"/>
        <v>0</v>
      </c>
      <c r="M30" s="784">
        <f t="shared" si="2"/>
        <v>0</v>
      </c>
    </row>
    <row r="31" spans="1:13" x14ac:dyDescent="0.2">
      <c r="A31" s="785">
        <v>47</v>
      </c>
      <c r="B31" s="785">
        <v>1860</v>
      </c>
      <c r="C31" s="786" t="s">
        <v>311</v>
      </c>
      <c r="D31" s="204"/>
      <c r="E31" s="204"/>
      <c r="F31" s="204"/>
      <c r="G31" s="8">
        <f t="shared" si="0"/>
        <v>0</v>
      </c>
      <c r="H31" s="248"/>
      <c r="I31" s="206"/>
      <c r="J31" s="204"/>
      <c r="K31" s="204"/>
      <c r="L31" s="8">
        <f t="shared" si="1"/>
        <v>0</v>
      </c>
      <c r="M31" s="784">
        <f t="shared" si="2"/>
        <v>0</v>
      </c>
    </row>
    <row r="32" spans="1:13" x14ac:dyDescent="0.2">
      <c r="A32" s="785" t="s">
        <v>382</v>
      </c>
      <c r="B32" s="785">
        <v>1905</v>
      </c>
      <c r="C32" s="786" t="s">
        <v>383</v>
      </c>
      <c r="D32" s="204"/>
      <c r="E32" s="204"/>
      <c r="F32" s="204"/>
      <c r="G32" s="8">
        <f t="shared" si="0"/>
        <v>0</v>
      </c>
      <c r="H32" s="248"/>
      <c r="I32" s="206"/>
      <c r="J32" s="204"/>
      <c r="K32" s="204"/>
      <c r="L32" s="8">
        <f t="shared" si="1"/>
        <v>0</v>
      </c>
      <c r="M32" s="784">
        <f t="shared" si="2"/>
        <v>0</v>
      </c>
    </row>
    <row r="33" spans="1:13" x14ac:dyDescent="0.2">
      <c r="A33" s="782">
        <v>47</v>
      </c>
      <c r="B33" s="782">
        <v>1908</v>
      </c>
      <c r="C33" s="787" t="s">
        <v>391</v>
      </c>
      <c r="D33" s="204"/>
      <c r="E33" s="204"/>
      <c r="F33" s="204"/>
      <c r="G33" s="8">
        <f t="shared" si="0"/>
        <v>0</v>
      </c>
      <c r="H33" s="248"/>
      <c r="I33" s="206"/>
      <c r="J33" s="204"/>
      <c r="K33" s="204"/>
      <c r="L33" s="8">
        <f t="shared" si="1"/>
        <v>0</v>
      </c>
      <c r="M33" s="784">
        <f t="shared" si="2"/>
        <v>0</v>
      </c>
    </row>
    <row r="34" spans="1:13" x14ac:dyDescent="0.2">
      <c r="A34" s="782">
        <v>13</v>
      </c>
      <c r="B34" s="782">
        <v>1910</v>
      </c>
      <c r="C34" s="787" t="s">
        <v>417</v>
      </c>
      <c r="D34" s="204"/>
      <c r="E34" s="204"/>
      <c r="F34" s="204"/>
      <c r="G34" s="8">
        <f t="shared" si="0"/>
        <v>0</v>
      </c>
      <c r="H34" s="248"/>
      <c r="I34" s="206"/>
      <c r="J34" s="204"/>
      <c r="K34" s="204"/>
      <c r="L34" s="8">
        <f t="shared" si="1"/>
        <v>0</v>
      </c>
      <c r="M34" s="784">
        <f t="shared" si="2"/>
        <v>0</v>
      </c>
    </row>
    <row r="35" spans="1:13" x14ac:dyDescent="0.2">
      <c r="A35" s="782">
        <v>8</v>
      </c>
      <c r="B35" s="782">
        <v>1915</v>
      </c>
      <c r="C35" s="787" t="s">
        <v>312</v>
      </c>
      <c r="D35" s="204"/>
      <c r="E35" s="204"/>
      <c r="F35" s="204"/>
      <c r="G35" s="8">
        <f t="shared" si="0"/>
        <v>0</v>
      </c>
      <c r="H35" s="248"/>
      <c r="I35" s="206"/>
      <c r="J35" s="204"/>
      <c r="K35" s="204"/>
      <c r="L35" s="8">
        <f t="shared" si="1"/>
        <v>0</v>
      </c>
      <c r="M35" s="784">
        <f t="shared" si="2"/>
        <v>0</v>
      </c>
    </row>
    <row r="36" spans="1:13" x14ac:dyDescent="0.2">
      <c r="A36" s="782">
        <v>8</v>
      </c>
      <c r="B36" s="782">
        <v>1915</v>
      </c>
      <c r="C36" s="787" t="s">
        <v>313</v>
      </c>
      <c r="D36" s="204"/>
      <c r="E36" s="204"/>
      <c r="F36" s="204"/>
      <c r="G36" s="8">
        <f t="shared" si="0"/>
        <v>0</v>
      </c>
      <c r="H36" s="248"/>
      <c r="I36" s="206"/>
      <c r="J36" s="204"/>
      <c r="K36" s="204"/>
      <c r="L36" s="8">
        <f t="shared" si="1"/>
        <v>0</v>
      </c>
      <c r="M36" s="784">
        <f t="shared" si="2"/>
        <v>0</v>
      </c>
    </row>
    <row r="37" spans="1:13" x14ac:dyDescent="0.2">
      <c r="A37" s="782">
        <v>10</v>
      </c>
      <c r="B37" s="782">
        <v>1920</v>
      </c>
      <c r="C37" s="787" t="s">
        <v>314</v>
      </c>
      <c r="D37" s="204"/>
      <c r="E37" s="204"/>
      <c r="F37" s="204"/>
      <c r="G37" s="8">
        <f t="shared" si="0"/>
        <v>0</v>
      </c>
      <c r="H37" s="248"/>
      <c r="I37" s="206"/>
      <c r="J37" s="204"/>
      <c r="K37" s="204"/>
      <c r="L37" s="8">
        <f t="shared" si="1"/>
        <v>0</v>
      </c>
      <c r="M37" s="784">
        <f t="shared" si="2"/>
        <v>0</v>
      </c>
    </row>
    <row r="38" spans="1:13" ht="25.5" x14ac:dyDescent="0.2">
      <c r="A38" s="782">
        <v>45</v>
      </c>
      <c r="B38" s="788">
        <v>1920</v>
      </c>
      <c r="C38" s="783" t="s">
        <v>316</v>
      </c>
      <c r="D38" s="204"/>
      <c r="E38" s="204"/>
      <c r="F38" s="204"/>
      <c r="G38" s="8">
        <f t="shared" si="0"/>
        <v>0</v>
      </c>
      <c r="H38" s="248"/>
      <c r="I38" s="206"/>
      <c r="J38" s="204"/>
      <c r="K38" s="204"/>
      <c r="L38" s="8">
        <f t="shared" si="1"/>
        <v>0</v>
      </c>
      <c r="M38" s="784">
        <f t="shared" si="2"/>
        <v>0</v>
      </c>
    </row>
    <row r="39" spans="1:13" ht="25.5" x14ac:dyDescent="0.2">
      <c r="A39" s="782">
        <v>45.1</v>
      </c>
      <c r="B39" s="788">
        <v>1920</v>
      </c>
      <c r="C39" s="783" t="s">
        <v>315</v>
      </c>
      <c r="D39" s="204"/>
      <c r="E39" s="204"/>
      <c r="F39" s="204"/>
      <c r="G39" s="8">
        <f t="shared" si="0"/>
        <v>0</v>
      </c>
      <c r="H39" s="248"/>
      <c r="I39" s="206"/>
      <c r="J39" s="204"/>
      <c r="K39" s="204"/>
      <c r="L39" s="8">
        <f t="shared" si="1"/>
        <v>0</v>
      </c>
      <c r="M39" s="784">
        <f t="shared" si="2"/>
        <v>0</v>
      </c>
    </row>
    <row r="40" spans="1:13" x14ac:dyDescent="0.2">
      <c r="A40" s="782">
        <v>10</v>
      </c>
      <c r="B40" s="782">
        <v>1930</v>
      </c>
      <c r="C40" s="787" t="s">
        <v>404</v>
      </c>
      <c r="D40" s="204"/>
      <c r="E40" s="204"/>
      <c r="F40" s="204"/>
      <c r="G40" s="8">
        <f t="shared" si="0"/>
        <v>0</v>
      </c>
      <c r="H40" s="248"/>
      <c r="I40" s="206"/>
      <c r="J40" s="204"/>
      <c r="K40" s="204"/>
      <c r="L40" s="8">
        <f t="shared" si="1"/>
        <v>0</v>
      </c>
      <c r="M40" s="784">
        <f t="shared" si="2"/>
        <v>0</v>
      </c>
    </row>
    <row r="41" spans="1:13" x14ac:dyDescent="0.2">
      <c r="A41" s="782">
        <v>8</v>
      </c>
      <c r="B41" s="782">
        <v>1935</v>
      </c>
      <c r="C41" s="787" t="s">
        <v>405</v>
      </c>
      <c r="D41" s="204"/>
      <c r="E41" s="204"/>
      <c r="F41" s="204"/>
      <c r="G41" s="8">
        <f t="shared" si="0"/>
        <v>0</v>
      </c>
      <c r="H41" s="248"/>
      <c r="I41" s="206"/>
      <c r="J41" s="204"/>
      <c r="K41" s="204"/>
      <c r="L41" s="8">
        <f t="shared" si="1"/>
        <v>0</v>
      </c>
      <c r="M41" s="784">
        <f t="shared" si="2"/>
        <v>0</v>
      </c>
    </row>
    <row r="42" spans="1:13" x14ac:dyDescent="0.2">
      <c r="A42" s="782">
        <v>8</v>
      </c>
      <c r="B42" s="782">
        <v>1940</v>
      </c>
      <c r="C42" s="787" t="s">
        <v>406</v>
      </c>
      <c r="D42" s="204"/>
      <c r="E42" s="204"/>
      <c r="F42" s="204"/>
      <c r="G42" s="8">
        <f t="shared" si="0"/>
        <v>0</v>
      </c>
      <c r="H42" s="248"/>
      <c r="I42" s="206"/>
      <c r="J42" s="204"/>
      <c r="K42" s="204"/>
      <c r="L42" s="8">
        <f t="shared" si="1"/>
        <v>0</v>
      </c>
      <c r="M42" s="784">
        <f t="shared" si="2"/>
        <v>0</v>
      </c>
    </row>
    <row r="43" spans="1:13" x14ac:dyDescent="0.2">
      <c r="A43" s="782">
        <v>8</v>
      </c>
      <c r="B43" s="782">
        <v>1945</v>
      </c>
      <c r="C43" s="787" t="s">
        <v>407</v>
      </c>
      <c r="D43" s="204"/>
      <c r="E43" s="204"/>
      <c r="F43" s="204"/>
      <c r="G43" s="8">
        <f t="shared" si="0"/>
        <v>0</v>
      </c>
      <c r="H43" s="248"/>
      <c r="I43" s="206"/>
      <c r="J43" s="204"/>
      <c r="K43" s="204"/>
      <c r="L43" s="8">
        <f t="shared" si="1"/>
        <v>0</v>
      </c>
      <c r="M43" s="784">
        <f t="shared" si="2"/>
        <v>0</v>
      </c>
    </row>
    <row r="44" spans="1:13" x14ac:dyDescent="0.2">
      <c r="A44" s="782">
        <v>8</v>
      </c>
      <c r="B44" s="782">
        <v>1950</v>
      </c>
      <c r="C44" s="787" t="s">
        <v>317</v>
      </c>
      <c r="D44" s="204"/>
      <c r="E44" s="204"/>
      <c r="F44" s="204"/>
      <c r="G44" s="8">
        <f t="shared" si="0"/>
        <v>0</v>
      </c>
      <c r="H44" s="248"/>
      <c r="I44" s="207"/>
      <c r="J44" s="204"/>
      <c r="K44" s="204"/>
      <c r="L44" s="8">
        <f t="shared" si="1"/>
        <v>0</v>
      </c>
      <c r="M44" s="784">
        <f t="shared" si="2"/>
        <v>0</v>
      </c>
    </row>
    <row r="45" spans="1:13" x14ac:dyDescent="0.2">
      <c r="A45" s="782">
        <v>8</v>
      </c>
      <c r="B45" s="782">
        <v>1955</v>
      </c>
      <c r="C45" s="787" t="s">
        <v>408</v>
      </c>
      <c r="D45" s="204"/>
      <c r="E45" s="204"/>
      <c r="F45" s="204"/>
      <c r="G45" s="8">
        <f t="shared" si="0"/>
        <v>0</v>
      </c>
      <c r="H45" s="248"/>
      <c r="I45" s="206"/>
      <c r="J45" s="204"/>
      <c r="K45" s="204"/>
      <c r="L45" s="8">
        <f t="shared" si="1"/>
        <v>0</v>
      </c>
      <c r="M45" s="784">
        <f t="shared" si="2"/>
        <v>0</v>
      </c>
    </row>
    <row r="46" spans="1:13" x14ac:dyDescent="0.2">
      <c r="A46" s="789">
        <v>8</v>
      </c>
      <c r="B46" s="789">
        <v>1955</v>
      </c>
      <c r="C46" s="790" t="s">
        <v>318</v>
      </c>
      <c r="D46" s="204"/>
      <c r="E46" s="204"/>
      <c r="F46" s="204"/>
      <c r="G46" s="8">
        <f t="shared" si="0"/>
        <v>0</v>
      </c>
      <c r="H46" s="248"/>
      <c r="I46" s="206"/>
      <c r="J46" s="204"/>
      <c r="K46" s="204"/>
      <c r="L46" s="8">
        <f t="shared" si="1"/>
        <v>0</v>
      </c>
      <c r="M46" s="784">
        <f t="shared" si="2"/>
        <v>0</v>
      </c>
    </row>
    <row r="47" spans="1:13" x14ac:dyDescent="0.2">
      <c r="A47" s="788">
        <v>8</v>
      </c>
      <c r="B47" s="788">
        <v>1960</v>
      </c>
      <c r="C47" s="783" t="s">
        <v>319</v>
      </c>
      <c r="D47" s="204"/>
      <c r="E47" s="204"/>
      <c r="F47" s="204"/>
      <c r="G47" s="8">
        <f t="shared" si="0"/>
        <v>0</v>
      </c>
      <c r="H47" s="248"/>
      <c r="I47" s="206"/>
      <c r="J47" s="204"/>
      <c r="K47" s="204"/>
      <c r="L47" s="8">
        <f t="shared" si="1"/>
        <v>0</v>
      </c>
      <c r="M47" s="784">
        <f t="shared" si="2"/>
        <v>0</v>
      </c>
    </row>
    <row r="48" spans="1:13" ht="25.5" x14ac:dyDescent="0.2">
      <c r="A48" s="679">
        <v>47</v>
      </c>
      <c r="B48" s="788">
        <v>1970</v>
      </c>
      <c r="C48" s="787" t="s">
        <v>773</v>
      </c>
      <c r="D48" s="204"/>
      <c r="E48" s="204"/>
      <c r="F48" s="204"/>
      <c r="G48" s="8">
        <f t="shared" si="0"/>
        <v>0</v>
      </c>
      <c r="H48" s="248"/>
      <c r="I48" s="206"/>
      <c r="J48" s="204"/>
      <c r="K48" s="204"/>
      <c r="L48" s="8">
        <f t="shared" si="1"/>
        <v>0</v>
      </c>
      <c r="M48" s="784">
        <f t="shared" si="2"/>
        <v>0</v>
      </c>
    </row>
    <row r="49" spans="1:13" ht="25.5" x14ac:dyDescent="0.2">
      <c r="A49" s="782">
        <v>47</v>
      </c>
      <c r="B49" s="782">
        <v>1975</v>
      </c>
      <c r="C49" s="787" t="s">
        <v>409</v>
      </c>
      <c r="D49" s="204"/>
      <c r="E49" s="204"/>
      <c r="F49" s="204"/>
      <c r="G49" s="8">
        <f t="shared" si="0"/>
        <v>0</v>
      </c>
      <c r="H49" s="248"/>
      <c r="I49" s="206"/>
      <c r="J49" s="204"/>
      <c r="K49" s="204"/>
      <c r="L49" s="8">
        <f t="shared" si="1"/>
        <v>0</v>
      </c>
      <c r="M49" s="784">
        <f t="shared" si="2"/>
        <v>0</v>
      </c>
    </row>
    <row r="50" spans="1:13" x14ac:dyDescent="0.2">
      <c r="A50" s="782">
        <v>47</v>
      </c>
      <c r="B50" s="782">
        <v>1980</v>
      </c>
      <c r="C50" s="787" t="s">
        <v>410</v>
      </c>
      <c r="D50" s="204"/>
      <c r="E50" s="204"/>
      <c r="F50" s="204"/>
      <c r="G50" s="8">
        <f t="shared" si="0"/>
        <v>0</v>
      </c>
      <c r="H50" s="248"/>
      <c r="I50" s="206"/>
      <c r="J50" s="204"/>
      <c r="K50" s="204"/>
      <c r="L50" s="8">
        <f t="shared" si="1"/>
        <v>0</v>
      </c>
      <c r="M50" s="784">
        <f t="shared" si="2"/>
        <v>0</v>
      </c>
    </row>
    <row r="51" spans="1:13" x14ac:dyDescent="0.2">
      <c r="A51" s="782">
        <v>47</v>
      </c>
      <c r="B51" s="782">
        <v>1985</v>
      </c>
      <c r="C51" s="787" t="s">
        <v>411</v>
      </c>
      <c r="D51" s="204"/>
      <c r="E51" s="204"/>
      <c r="F51" s="204"/>
      <c r="G51" s="8">
        <f t="shared" si="0"/>
        <v>0</v>
      </c>
      <c r="H51" s="248"/>
      <c r="I51" s="206"/>
      <c r="J51" s="204"/>
      <c r="K51" s="204"/>
      <c r="L51" s="8">
        <f t="shared" si="1"/>
        <v>0</v>
      </c>
      <c r="M51" s="784">
        <f t="shared" si="2"/>
        <v>0</v>
      </c>
    </row>
    <row r="52" spans="1:13" x14ac:dyDescent="0.2">
      <c r="A52" s="679">
        <v>47</v>
      </c>
      <c r="B52" s="782">
        <v>1990</v>
      </c>
      <c r="C52" s="791" t="s">
        <v>774</v>
      </c>
      <c r="D52" s="204"/>
      <c r="E52" s="204"/>
      <c r="F52" s="204"/>
      <c r="G52" s="8">
        <f t="shared" si="0"/>
        <v>0</v>
      </c>
      <c r="H52" s="248"/>
      <c r="I52" s="206"/>
      <c r="J52" s="204"/>
      <c r="K52" s="204"/>
      <c r="L52" s="8">
        <f t="shared" si="1"/>
        <v>0</v>
      </c>
      <c r="M52" s="784">
        <f t="shared" si="2"/>
        <v>0</v>
      </c>
    </row>
    <row r="53" spans="1:13" x14ac:dyDescent="0.2">
      <c r="A53" s="782">
        <v>47</v>
      </c>
      <c r="B53" s="782">
        <v>1995</v>
      </c>
      <c r="C53" s="787" t="s">
        <v>412</v>
      </c>
      <c r="D53" s="204"/>
      <c r="E53" s="204"/>
      <c r="F53" s="204"/>
      <c r="G53" s="8">
        <f t="shared" si="0"/>
        <v>0</v>
      </c>
      <c r="H53" s="248"/>
      <c r="I53" s="206"/>
      <c r="J53" s="204"/>
      <c r="K53" s="204"/>
      <c r="L53" s="8">
        <f t="shared" si="1"/>
        <v>0</v>
      </c>
      <c r="M53" s="784">
        <f t="shared" si="2"/>
        <v>0</v>
      </c>
    </row>
    <row r="54" spans="1:13" x14ac:dyDescent="0.2">
      <c r="A54" s="792"/>
      <c r="B54" s="792" t="s">
        <v>13</v>
      </c>
      <c r="C54" s="793"/>
      <c r="D54" s="204"/>
      <c r="E54" s="204"/>
      <c r="F54" s="204"/>
      <c r="G54" s="8">
        <f t="shared" si="0"/>
        <v>0</v>
      </c>
      <c r="I54" s="204"/>
      <c r="J54" s="204"/>
      <c r="K54" s="204"/>
      <c r="L54" s="8">
        <f t="shared" si="1"/>
        <v>0</v>
      </c>
      <c r="M54" s="784">
        <f t="shared" si="2"/>
        <v>0</v>
      </c>
    </row>
    <row r="55" spans="1:13" x14ac:dyDescent="0.2">
      <c r="A55" s="792"/>
      <c r="B55" s="792"/>
      <c r="C55" s="793"/>
      <c r="D55" s="794"/>
      <c r="E55" s="794"/>
      <c r="F55" s="794"/>
      <c r="G55" s="8">
        <f t="shared" si="0"/>
        <v>0</v>
      </c>
      <c r="I55" s="794"/>
      <c r="J55" s="794"/>
      <c r="K55" s="794"/>
      <c r="L55" s="8">
        <f t="shared" si="1"/>
        <v>0</v>
      </c>
      <c r="M55" s="784">
        <f t="shared" si="2"/>
        <v>0</v>
      </c>
    </row>
    <row r="56" spans="1:13" x14ac:dyDescent="0.2">
      <c r="A56" s="792"/>
      <c r="B56" s="792"/>
      <c r="C56" s="795" t="s">
        <v>284</v>
      </c>
      <c r="D56" s="796">
        <f>SUM(D16:D55)</f>
        <v>0</v>
      </c>
      <c r="E56" s="796">
        <f t="shared" ref="E56:G56" si="3">SUM(E16:E55)</f>
        <v>0</v>
      </c>
      <c r="F56" s="796">
        <f t="shared" si="3"/>
        <v>0</v>
      </c>
      <c r="G56" s="796">
        <f t="shared" si="3"/>
        <v>0</v>
      </c>
      <c r="H56" s="796"/>
      <c r="I56" s="796">
        <f>SUM(I16:I55)</f>
        <v>0</v>
      </c>
      <c r="J56" s="796">
        <f t="shared" ref="J56:M56" si="4">SUM(J16:J55)</f>
        <v>0</v>
      </c>
      <c r="K56" s="796">
        <f t="shared" si="4"/>
        <v>0</v>
      </c>
      <c r="L56" s="796">
        <f t="shared" si="4"/>
        <v>0</v>
      </c>
      <c r="M56" s="796">
        <f t="shared" si="4"/>
        <v>0</v>
      </c>
    </row>
    <row r="57" spans="1:13" ht="37.5" x14ac:dyDescent="0.2">
      <c r="A57" s="792"/>
      <c r="B57" s="792"/>
      <c r="C57" s="930" t="s">
        <v>1010</v>
      </c>
      <c r="D57" s="794"/>
      <c r="E57" s="794"/>
      <c r="F57" s="794"/>
      <c r="G57" s="8">
        <f t="shared" ref="G57" si="5">D57+E57+F57</f>
        <v>0</v>
      </c>
      <c r="I57" s="794"/>
      <c r="J57" s="794"/>
      <c r="K57" s="794"/>
      <c r="L57" s="8">
        <f t="shared" ref="L57" si="6">I57+J57+K57</f>
        <v>0</v>
      </c>
      <c r="M57" s="784">
        <f t="shared" ref="M57" si="7">G57+L57</f>
        <v>0</v>
      </c>
    </row>
    <row r="58" spans="1:13" ht="25.5" x14ac:dyDescent="0.2">
      <c r="A58" s="792"/>
      <c r="B58" s="792"/>
      <c r="C58" s="918" t="s">
        <v>1009</v>
      </c>
      <c r="D58" s="794"/>
      <c r="E58" s="794"/>
      <c r="F58" s="794"/>
      <c r="G58" s="8">
        <f t="shared" si="0"/>
        <v>0</v>
      </c>
      <c r="I58" s="794"/>
      <c r="J58" s="794"/>
      <c r="K58" s="794"/>
      <c r="L58" s="8">
        <f t="shared" ref="L58" si="8">I58+J58+K58</f>
        <v>0</v>
      </c>
      <c r="M58" s="784">
        <f t="shared" si="2"/>
        <v>0</v>
      </c>
    </row>
    <row r="59" spans="1:13" x14ac:dyDescent="0.2">
      <c r="A59" s="792"/>
      <c r="B59" s="792"/>
      <c r="C59" s="795" t="s">
        <v>775</v>
      </c>
      <c r="D59" s="796">
        <f>SUM(D56:D58)</f>
        <v>0</v>
      </c>
      <c r="E59" s="796">
        <f t="shared" ref="E59:G59" si="9">SUM(E56:E58)</f>
        <v>0</v>
      </c>
      <c r="F59" s="796">
        <f t="shared" si="9"/>
        <v>0</v>
      </c>
      <c r="G59" s="796">
        <f t="shared" si="9"/>
        <v>0</v>
      </c>
      <c r="H59" s="796"/>
      <c r="I59" s="796">
        <f t="shared" ref="I59" si="10">SUM(I56:I58)</f>
        <v>0</v>
      </c>
      <c r="J59" s="796">
        <f t="shared" ref="J59" si="11">SUM(J56:J58)</f>
        <v>0</v>
      </c>
      <c r="K59" s="796">
        <f t="shared" ref="K59" si="12">SUM(K56:K58)</f>
        <v>0</v>
      </c>
      <c r="L59" s="796">
        <f t="shared" ref="L59" si="13">SUM(L56:L58)</f>
        <v>0</v>
      </c>
      <c r="M59" s="796">
        <f t="shared" ref="M59" si="14">SUM(M56:M58)</f>
        <v>0</v>
      </c>
    </row>
    <row r="61" spans="1:13" x14ac:dyDescent="0.2">
      <c r="I61" s="318" t="s">
        <v>604</v>
      </c>
      <c r="J61" s="680"/>
    </row>
    <row r="62" spans="1:13" x14ac:dyDescent="0.2">
      <c r="A62" s="792">
        <v>10</v>
      </c>
      <c r="B62" s="792"/>
      <c r="C62" s="793" t="s">
        <v>414</v>
      </c>
      <c r="I62" s="680" t="s">
        <v>414</v>
      </c>
      <c r="J62" s="680"/>
      <c r="K62" s="213"/>
    </row>
    <row r="63" spans="1:13" x14ac:dyDescent="0.2">
      <c r="A63" s="792">
        <v>8</v>
      </c>
      <c r="B63" s="792"/>
      <c r="C63" s="793" t="s">
        <v>405</v>
      </c>
      <c r="I63" s="680" t="s">
        <v>405</v>
      </c>
      <c r="J63" s="680"/>
      <c r="K63" s="211"/>
    </row>
    <row r="64" spans="1:13" x14ac:dyDescent="0.2">
      <c r="I64" s="797" t="s">
        <v>415</v>
      </c>
      <c r="K64" s="10">
        <f>J59-K62-K63</f>
        <v>0</v>
      </c>
    </row>
    <row r="65" spans="1:14" x14ac:dyDescent="0.2">
      <c r="N65" s="807"/>
    </row>
    <row r="66" spans="1:14" x14ac:dyDescent="0.2">
      <c r="A66" s="798" t="s">
        <v>15</v>
      </c>
      <c r="N66" s="807"/>
    </row>
    <row r="68" spans="1:14" x14ac:dyDescent="0.2">
      <c r="A68" s="679">
        <v>1</v>
      </c>
      <c r="B68" s="1789" t="s">
        <v>277</v>
      </c>
      <c r="C68" s="1789"/>
      <c r="D68" s="1789"/>
      <c r="E68" s="1789"/>
      <c r="F68" s="1789"/>
      <c r="G68" s="1789"/>
      <c r="H68" s="1789"/>
      <c r="I68" s="1789"/>
      <c r="J68" s="1789"/>
      <c r="K68" s="1789"/>
      <c r="L68" s="1789"/>
      <c r="M68" s="1789"/>
    </row>
    <row r="69" spans="1:14" x14ac:dyDescent="0.2">
      <c r="B69" s="1789"/>
      <c r="C69" s="1789"/>
      <c r="D69" s="1789"/>
      <c r="E69" s="1789"/>
      <c r="F69" s="1789"/>
      <c r="G69" s="1789"/>
      <c r="H69" s="1789"/>
      <c r="I69" s="1789"/>
      <c r="J69" s="1789"/>
      <c r="K69" s="1789"/>
      <c r="L69" s="1789"/>
      <c r="M69" s="1789"/>
    </row>
    <row r="70" spans="1:14" ht="12.75" customHeight="1" x14ac:dyDescent="0.2"/>
    <row r="71" spans="1:14" x14ac:dyDescent="0.2">
      <c r="A71" s="679">
        <v>2</v>
      </c>
      <c r="B71" s="1790" t="s">
        <v>96</v>
      </c>
      <c r="C71" s="1790"/>
      <c r="D71" s="1790"/>
      <c r="E71" s="1790"/>
      <c r="F71" s="1790"/>
      <c r="G71" s="1790"/>
      <c r="H71" s="1790"/>
      <c r="I71" s="1790"/>
      <c r="J71" s="1790"/>
      <c r="K71" s="1790"/>
      <c r="L71" s="1790"/>
      <c r="M71" s="1790"/>
    </row>
    <row r="72" spans="1:14" ht="28.5" customHeight="1" x14ac:dyDescent="0.2">
      <c r="B72" s="1790"/>
      <c r="C72" s="1790"/>
      <c r="D72" s="1790"/>
      <c r="E72" s="1790"/>
      <c r="F72" s="1790"/>
      <c r="G72" s="1790"/>
      <c r="H72" s="1790"/>
      <c r="I72" s="1790"/>
      <c r="J72" s="1790"/>
      <c r="K72" s="1790"/>
      <c r="L72" s="1790"/>
      <c r="M72" s="1790"/>
    </row>
    <row r="74" spans="1:14" x14ac:dyDescent="0.2">
      <c r="A74" s="679">
        <v>3</v>
      </c>
      <c r="B74" s="1784" t="s">
        <v>287</v>
      </c>
      <c r="C74" s="1784"/>
      <c r="D74" s="1784"/>
      <c r="E74" s="1784"/>
      <c r="F74" s="1784"/>
      <c r="G74" s="1784"/>
      <c r="H74" s="1784"/>
      <c r="I74" s="1784"/>
      <c r="J74" s="1784"/>
      <c r="K74" s="1784"/>
      <c r="L74" s="1784"/>
      <c r="M74" s="1784"/>
    </row>
    <row r="76" spans="1:14" x14ac:dyDescent="0.2">
      <c r="A76" s="679">
        <v>4</v>
      </c>
      <c r="B76" s="800" t="s">
        <v>723</v>
      </c>
      <c r="C76" s="236"/>
    </row>
  </sheetData>
  <mergeCells count="6">
    <mergeCell ref="B74:M74"/>
    <mergeCell ref="A9:M9"/>
    <mergeCell ref="A10:M10"/>
    <mergeCell ref="D14:G14"/>
    <mergeCell ref="B68:M69"/>
    <mergeCell ref="B71:M72"/>
  </mergeCells>
  <printOptions horizontalCentered="1"/>
  <pageMargins left="0.74803149606299213" right="0.74803149606299213" top="0.74803149606299213" bottom="0.70866141732283472" header="0.51181102362204722" footer="0.51181102362204722"/>
  <pageSetup scale="54" fitToHeight="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72"/>
  <sheetViews>
    <sheetView zoomScale="85" zoomScaleNormal="85" workbookViewId="0">
      <pane ySplit="1" topLeftCell="A2" activePane="bottomLeft" state="frozenSplit"/>
      <selection pane="bottomLeft" activeCell="L55" sqref="L55"/>
    </sheetView>
  </sheetViews>
  <sheetFormatPr defaultRowHeight="12.75" x14ac:dyDescent="0.2"/>
  <cols>
    <col min="1" max="1" width="33.5703125" bestFit="1" customWidth="1"/>
    <col min="2" max="9" width="11.85546875" bestFit="1" customWidth="1"/>
    <col min="16" max="16" width="33.5703125" bestFit="1" customWidth="1"/>
  </cols>
  <sheetData>
    <row r="1" spans="1:9" x14ac:dyDescent="0.2">
      <c r="B1" s="1141" t="s">
        <v>161</v>
      </c>
      <c r="C1" s="1141" t="s">
        <v>161</v>
      </c>
      <c r="D1" s="1141" t="s">
        <v>161</v>
      </c>
      <c r="E1" s="1141" t="s">
        <v>162</v>
      </c>
      <c r="F1" s="1141" t="s">
        <v>1002</v>
      </c>
      <c r="G1" s="1141" t="s">
        <v>1251</v>
      </c>
      <c r="H1" s="1141" t="s">
        <v>1251</v>
      </c>
      <c r="I1" s="1141" t="s">
        <v>1251</v>
      </c>
    </row>
    <row r="2" spans="1:9" x14ac:dyDescent="0.2">
      <c r="B2" s="1141" t="s">
        <v>382</v>
      </c>
      <c r="C2" s="1141">
        <v>2012</v>
      </c>
      <c r="D2" s="1141">
        <v>2013</v>
      </c>
      <c r="E2" s="1141"/>
      <c r="F2" s="1141"/>
      <c r="G2" s="1141" t="s">
        <v>382</v>
      </c>
      <c r="H2" s="1141">
        <v>2012</v>
      </c>
      <c r="I2" s="1141">
        <v>2013</v>
      </c>
    </row>
    <row r="3" spans="1:9" x14ac:dyDescent="0.2">
      <c r="A3" s="1139" t="s">
        <v>945</v>
      </c>
      <c r="B3" s="298" t="s">
        <v>999</v>
      </c>
      <c r="C3" s="298" t="s">
        <v>999</v>
      </c>
      <c r="D3" s="298" t="s">
        <v>999</v>
      </c>
      <c r="E3" s="298" t="s">
        <v>999</v>
      </c>
      <c r="F3" s="298" t="s">
        <v>999</v>
      </c>
      <c r="G3" s="298" t="s">
        <v>999</v>
      </c>
      <c r="H3" s="298" t="s">
        <v>999</v>
      </c>
      <c r="I3" s="298" t="s">
        <v>999</v>
      </c>
    </row>
    <row r="4" spans="1:9" x14ac:dyDescent="0.2">
      <c r="A4" s="1139" t="s">
        <v>1219</v>
      </c>
      <c r="B4" s="298" t="s">
        <v>999</v>
      </c>
      <c r="C4" s="298" t="s">
        <v>999</v>
      </c>
      <c r="D4" s="298" t="s">
        <v>999</v>
      </c>
      <c r="E4" s="298" t="s">
        <v>999</v>
      </c>
      <c r="F4" s="298" t="s">
        <v>999</v>
      </c>
      <c r="G4" s="298" t="s">
        <v>999</v>
      </c>
      <c r="H4" s="298" t="s">
        <v>999</v>
      </c>
      <c r="I4" s="298" t="s">
        <v>999</v>
      </c>
    </row>
    <row r="5" spans="1:9" x14ac:dyDescent="0.2">
      <c r="A5" s="1139" t="s">
        <v>1046</v>
      </c>
      <c r="B5" s="298" t="s">
        <v>999</v>
      </c>
      <c r="C5" s="298" t="s">
        <v>999</v>
      </c>
      <c r="D5" s="298" t="s">
        <v>999</v>
      </c>
      <c r="E5" s="298" t="s">
        <v>999</v>
      </c>
      <c r="F5" s="298" t="s">
        <v>999</v>
      </c>
      <c r="G5" s="298" t="s">
        <v>999</v>
      </c>
      <c r="H5" s="298" t="s">
        <v>999</v>
      </c>
      <c r="I5" s="298" t="s">
        <v>999</v>
      </c>
    </row>
    <row r="6" spans="1:9" x14ac:dyDescent="0.2">
      <c r="A6" s="1139" t="s">
        <v>1047</v>
      </c>
      <c r="B6" s="298" t="s">
        <v>999</v>
      </c>
      <c r="C6" s="298" t="s">
        <v>999</v>
      </c>
      <c r="D6" s="298" t="s">
        <v>999</v>
      </c>
      <c r="E6" s="298" t="s">
        <v>999</v>
      </c>
      <c r="F6" s="298" t="s">
        <v>999</v>
      </c>
      <c r="G6" s="298" t="s">
        <v>999</v>
      </c>
      <c r="H6" s="298" t="s">
        <v>999</v>
      </c>
      <c r="I6" s="298" t="s">
        <v>999</v>
      </c>
    </row>
    <row r="7" spans="1:9" x14ac:dyDescent="0.2">
      <c r="A7" s="1139" t="s">
        <v>1220</v>
      </c>
      <c r="B7" s="298" t="s">
        <v>999</v>
      </c>
      <c r="C7" s="298" t="s">
        <v>999</v>
      </c>
      <c r="D7" s="298" t="s">
        <v>999</v>
      </c>
      <c r="E7" s="298" t="s">
        <v>999</v>
      </c>
      <c r="F7" s="298" t="s">
        <v>999</v>
      </c>
      <c r="G7" s="298" t="s">
        <v>999</v>
      </c>
      <c r="H7" s="298" t="s">
        <v>999</v>
      </c>
      <c r="I7" s="298" t="s">
        <v>999</v>
      </c>
    </row>
    <row r="8" spans="1:9" x14ac:dyDescent="0.2">
      <c r="A8" s="1139" t="s">
        <v>1221</v>
      </c>
      <c r="B8" s="298" t="s">
        <v>999</v>
      </c>
      <c r="C8" s="298" t="s">
        <v>999</v>
      </c>
      <c r="D8" s="298" t="s">
        <v>999</v>
      </c>
      <c r="E8" s="298" t="s">
        <v>999</v>
      </c>
      <c r="F8" s="298" t="s">
        <v>999</v>
      </c>
      <c r="G8" s="298" t="s">
        <v>999</v>
      </c>
      <c r="H8" s="298" t="s">
        <v>999</v>
      </c>
      <c r="I8" s="298" t="s">
        <v>999</v>
      </c>
    </row>
    <row r="9" spans="1:9" x14ac:dyDescent="0.2">
      <c r="A9" s="1139" t="s">
        <v>1240</v>
      </c>
      <c r="B9" s="298" t="s">
        <v>999</v>
      </c>
      <c r="C9" s="298" t="s">
        <v>999</v>
      </c>
      <c r="D9" s="298" t="s">
        <v>999</v>
      </c>
      <c r="E9" s="298" t="s">
        <v>1001</v>
      </c>
      <c r="F9" s="298" t="s">
        <v>999</v>
      </c>
      <c r="G9" s="298" t="s">
        <v>999</v>
      </c>
      <c r="H9" s="298" t="s">
        <v>999</v>
      </c>
      <c r="I9" s="298" t="s">
        <v>999</v>
      </c>
    </row>
    <row r="10" spans="1:9" x14ac:dyDescent="0.2">
      <c r="A10" s="1139" t="s">
        <v>1241</v>
      </c>
      <c r="B10" s="298" t="s">
        <v>1001</v>
      </c>
      <c r="C10" s="298" t="s">
        <v>1001</v>
      </c>
      <c r="D10" s="298" t="s">
        <v>1001</v>
      </c>
      <c r="E10" s="298" t="s">
        <v>999</v>
      </c>
      <c r="F10" s="298" t="s">
        <v>1001</v>
      </c>
      <c r="G10" s="298" t="s">
        <v>1001</v>
      </c>
      <c r="H10" s="298" t="s">
        <v>1001</v>
      </c>
      <c r="I10" s="298" t="s">
        <v>1001</v>
      </c>
    </row>
    <row r="11" spans="1:9" x14ac:dyDescent="0.2">
      <c r="A11" s="1139" t="s">
        <v>946</v>
      </c>
      <c r="B11" s="298" t="s">
        <v>999</v>
      </c>
      <c r="C11" s="298" t="s">
        <v>999</v>
      </c>
      <c r="D11" s="298" t="s">
        <v>999</v>
      </c>
      <c r="E11" s="298" t="s">
        <v>999</v>
      </c>
      <c r="F11" s="298" t="s">
        <v>999</v>
      </c>
      <c r="G11" s="298" t="s">
        <v>999</v>
      </c>
      <c r="H11" s="298" t="s">
        <v>999</v>
      </c>
      <c r="I11" s="298" t="s">
        <v>999</v>
      </c>
    </row>
    <row r="12" spans="1:9" x14ac:dyDescent="0.2">
      <c r="A12" s="1139" t="s">
        <v>947</v>
      </c>
      <c r="B12" s="298" t="s">
        <v>1001</v>
      </c>
      <c r="C12" s="298" t="s">
        <v>1001</v>
      </c>
      <c r="D12" s="298" t="s">
        <v>1001</v>
      </c>
      <c r="E12" s="298" t="s">
        <v>999</v>
      </c>
      <c r="F12" s="298" t="s">
        <v>1001</v>
      </c>
      <c r="G12" s="298" t="s">
        <v>1001</v>
      </c>
      <c r="H12" s="298" t="s">
        <v>1001</v>
      </c>
      <c r="I12" s="298" t="s">
        <v>1001</v>
      </c>
    </row>
    <row r="13" spans="1:9" x14ac:dyDescent="0.2">
      <c r="A13" s="1139" t="s">
        <v>948</v>
      </c>
      <c r="B13" s="298" t="s">
        <v>1001</v>
      </c>
      <c r="C13" s="298" t="s">
        <v>1001</v>
      </c>
      <c r="D13" s="298" t="s">
        <v>1001</v>
      </c>
      <c r="E13" s="298" t="s">
        <v>999</v>
      </c>
      <c r="F13" s="298" t="s">
        <v>1001</v>
      </c>
      <c r="G13" s="298" t="s">
        <v>1001</v>
      </c>
      <c r="H13" s="298" t="s">
        <v>1001</v>
      </c>
      <c r="I13" s="298" t="s">
        <v>1001</v>
      </c>
    </row>
    <row r="14" spans="1:9" x14ac:dyDescent="0.2">
      <c r="A14" s="1139" t="s">
        <v>949</v>
      </c>
      <c r="B14" s="298" t="s">
        <v>1001</v>
      </c>
      <c r="C14" s="298" t="s">
        <v>1001</v>
      </c>
      <c r="D14" s="298" t="s">
        <v>1001</v>
      </c>
      <c r="E14" s="298" t="s">
        <v>999</v>
      </c>
      <c r="F14" s="298" t="s">
        <v>1001</v>
      </c>
      <c r="G14" s="298" t="s">
        <v>1001</v>
      </c>
      <c r="H14" s="298" t="s">
        <v>1001</v>
      </c>
      <c r="I14" s="298" t="s">
        <v>1001</v>
      </c>
    </row>
    <row r="15" spans="1:9" x14ac:dyDescent="0.2">
      <c r="A15" s="1139" t="s">
        <v>950</v>
      </c>
      <c r="B15" s="298" t="s">
        <v>1001</v>
      </c>
      <c r="C15" s="298" t="s">
        <v>1001</v>
      </c>
      <c r="D15" s="298" t="s">
        <v>1001</v>
      </c>
      <c r="E15" s="298" t="s">
        <v>999</v>
      </c>
      <c r="F15" s="298" t="s">
        <v>1001</v>
      </c>
      <c r="G15" s="298" t="s">
        <v>1001</v>
      </c>
      <c r="H15" s="298" t="s">
        <v>1001</v>
      </c>
      <c r="I15" s="298" t="s">
        <v>1001</v>
      </c>
    </row>
    <row r="16" spans="1:9" x14ac:dyDescent="0.2">
      <c r="A16" s="1139" t="s">
        <v>951</v>
      </c>
      <c r="B16" s="298" t="s">
        <v>1001</v>
      </c>
      <c r="C16" s="298" t="s">
        <v>1001</v>
      </c>
      <c r="D16" s="298" t="s">
        <v>1001</v>
      </c>
      <c r="E16" s="298" t="s">
        <v>999</v>
      </c>
      <c r="F16" s="298" t="s">
        <v>1001</v>
      </c>
      <c r="G16" s="298" t="s">
        <v>1001</v>
      </c>
      <c r="H16" s="298" t="s">
        <v>1001</v>
      </c>
      <c r="I16" s="298" t="s">
        <v>1001</v>
      </c>
    </row>
    <row r="17" spans="1:9" x14ac:dyDescent="0.2">
      <c r="A17" s="1139" t="s">
        <v>952</v>
      </c>
      <c r="B17" s="298" t="s">
        <v>1001</v>
      </c>
      <c r="C17" s="298" t="s">
        <v>1001</v>
      </c>
      <c r="D17" s="298" t="s">
        <v>1001</v>
      </c>
      <c r="E17" s="298" t="s">
        <v>999</v>
      </c>
      <c r="F17" s="298" t="s">
        <v>1001</v>
      </c>
      <c r="G17" s="298" t="s">
        <v>1001</v>
      </c>
      <c r="H17" s="298" t="s">
        <v>1001</v>
      </c>
      <c r="I17" s="298" t="s">
        <v>1001</v>
      </c>
    </row>
    <row r="18" spans="1:9" x14ac:dyDescent="0.2">
      <c r="A18" s="1139" t="s">
        <v>953</v>
      </c>
      <c r="B18" s="298" t="s">
        <v>1001</v>
      </c>
      <c r="C18" s="298" t="s">
        <v>1001</v>
      </c>
      <c r="D18" s="298" t="s">
        <v>1001</v>
      </c>
      <c r="E18" s="298" t="s">
        <v>999</v>
      </c>
      <c r="F18" s="298" t="s">
        <v>1001</v>
      </c>
      <c r="G18" s="298" t="s">
        <v>1001</v>
      </c>
      <c r="H18" s="298" t="s">
        <v>1001</v>
      </c>
      <c r="I18" s="298" t="s">
        <v>1001</v>
      </c>
    </row>
    <row r="19" spans="1:9" x14ac:dyDescent="0.2">
      <c r="A19" s="1139" t="s">
        <v>954</v>
      </c>
      <c r="B19" s="298" t="s">
        <v>1001</v>
      </c>
      <c r="C19" s="298" t="s">
        <v>1001</v>
      </c>
      <c r="D19" s="298" t="s">
        <v>1001</v>
      </c>
      <c r="E19" s="298" t="s">
        <v>999</v>
      </c>
      <c r="F19" s="298" t="s">
        <v>1001</v>
      </c>
      <c r="G19" s="298" t="s">
        <v>1001</v>
      </c>
      <c r="H19" s="298" t="s">
        <v>1001</v>
      </c>
      <c r="I19" s="298" t="s">
        <v>1001</v>
      </c>
    </row>
    <row r="20" spans="1:9" x14ac:dyDescent="0.2">
      <c r="A20" s="1139" t="s">
        <v>955</v>
      </c>
      <c r="B20" s="298" t="s">
        <v>1001</v>
      </c>
      <c r="C20" s="298" t="s">
        <v>1001</v>
      </c>
      <c r="D20" s="298" t="s">
        <v>1001</v>
      </c>
      <c r="E20" s="298" t="s">
        <v>999</v>
      </c>
      <c r="F20" s="298" t="s">
        <v>1001</v>
      </c>
      <c r="G20" s="298" t="s">
        <v>1001</v>
      </c>
      <c r="H20" s="298" t="s">
        <v>1001</v>
      </c>
      <c r="I20" s="298" t="s">
        <v>1001</v>
      </c>
    </row>
    <row r="21" spans="1:9" x14ac:dyDescent="0.2">
      <c r="A21" s="1139" t="s">
        <v>956</v>
      </c>
      <c r="B21" s="298" t="s">
        <v>1001</v>
      </c>
      <c r="C21" s="298" t="s">
        <v>1001</v>
      </c>
      <c r="D21" s="298" t="s">
        <v>1001</v>
      </c>
      <c r="E21" s="298" t="s">
        <v>999</v>
      </c>
      <c r="F21" s="298" t="s">
        <v>1001</v>
      </c>
      <c r="G21" s="298" t="s">
        <v>1001</v>
      </c>
      <c r="H21" s="298" t="s">
        <v>1001</v>
      </c>
      <c r="I21" s="298" t="s">
        <v>1001</v>
      </c>
    </row>
    <row r="22" spans="1:9" x14ac:dyDescent="0.2">
      <c r="A22" s="1139" t="s">
        <v>957</v>
      </c>
      <c r="B22" s="298" t="s">
        <v>1001</v>
      </c>
      <c r="C22" s="298" t="s">
        <v>1001</v>
      </c>
      <c r="D22" s="298" t="s">
        <v>1001</v>
      </c>
      <c r="E22" s="298" t="s">
        <v>999</v>
      </c>
      <c r="F22" s="298" t="s">
        <v>1001</v>
      </c>
      <c r="G22" s="298" t="s">
        <v>1001</v>
      </c>
      <c r="H22" s="298" t="s">
        <v>1001</v>
      </c>
      <c r="I22" s="298" t="s">
        <v>1001</v>
      </c>
    </row>
    <row r="23" spans="1:9" x14ac:dyDescent="0.2">
      <c r="A23" s="1139" t="s">
        <v>958</v>
      </c>
      <c r="B23" s="298" t="s">
        <v>1001</v>
      </c>
      <c r="C23" s="298" t="s">
        <v>1001</v>
      </c>
      <c r="D23" s="298" t="s">
        <v>1001</v>
      </c>
      <c r="E23" s="298" t="s">
        <v>999</v>
      </c>
      <c r="F23" s="298" t="s">
        <v>1001</v>
      </c>
      <c r="G23" s="298" t="s">
        <v>1001</v>
      </c>
      <c r="H23" s="298" t="s">
        <v>1001</v>
      </c>
      <c r="I23" s="298" t="s">
        <v>1001</v>
      </c>
    </row>
    <row r="24" spans="1:9" x14ac:dyDescent="0.2">
      <c r="A24" s="1139" t="s">
        <v>959</v>
      </c>
      <c r="B24" s="298" t="s">
        <v>1001</v>
      </c>
      <c r="C24" s="298" t="s">
        <v>1001</v>
      </c>
      <c r="D24" s="298" t="s">
        <v>1001</v>
      </c>
      <c r="E24" s="298" t="s">
        <v>999</v>
      </c>
      <c r="F24" s="298" t="s">
        <v>1001</v>
      </c>
      <c r="G24" s="298" t="s">
        <v>1001</v>
      </c>
      <c r="H24" s="298" t="s">
        <v>1001</v>
      </c>
      <c r="I24" s="298" t="s">
        <v>1001</v>
      </c>
    </row>
    <row r="25" spans="1:9" x14ac:dyDescent="0.2">
      <c r="A25" s="1139" t="s">
        <v>960</v>
      </c>
      <c r="B25" s="298" t="s">
        <v>1001</v>
      </c>
      <c r="C25" s="298" t="s">
        <v>1001</v>
      </c>
      <c r="D25" s="298" t="s">
        <v>1001</v>
      </c>
      <c r="E25" s="298" t="s">
        <v>999</v>
      </c>
      <c r="F25" s="298" t="s">
        <v>1001</v>
      </c>
      <c r="G25" s="298" t="s">
        <v>1001</v>
      </c>
      <c r="H25" s="298" t="s">
        <v>1001</v>
      </c>
      <c r="I25" s="298" t="s">
        <v>1001</v>
      </c>
    </row>
    <row r="26" spans="1:9" x14ac:dyDescent="0.2">
      <c r="A26" s="1139" t="s">
        <v>961</v>
      </c>
      <c r="B26" s="298" t="s">
        <v>999</v>
      </c>
      <c r="C26" s="298" t="s">
        <v>999</v>
      </c>
      <c r="D26" s="298" t="s">
        <v>999</v>
      </c>
      <c r="E26" s="298" t="s">
        <v>1001</v>
      </c>
      <c r="F26" s="298" t="s">
        <v>1001</v>
      </c>
      <c r="G26" s="298" t="s">
        <v>999</v>
      </c>
      <c r="H26" s="298" t="s">
        <v>999</v>
      </c>
      <c r="I26" s="298" t="s">
        <v>999</v>
      </c>
    </row>
    <row r="27" spans="1:9" x14ac:dyDescent="0.2">
      <c r="A27" s="1139" t="s">
        <v>962</v>
      </c>
      <c r="B27" s="298" t="s">
        <v>999</v>
      </c>
      <c r="C27" s="298" t="s">
        <v>999</v>
      </c>
      <c r="D27" s="298" t="s">
        <v>1001</v>
      </c>
      <c r="E27" s="298" t="s">
        <v>1001</v>
      </c>
      <c r="F27" s="298" t="s">
        <v>1001</v>
      </c>
      <c r="G27" s="298" t="s">
        <v>999</v>
      </c>
      <c r="H27" s="298" t="s">
        <v>999</v>
      </c>
      <c r="I27" s="298" t="s">
        <v>1001</v>
      </c>
    </row>
    <row r="28" spans="1:9" x14ac:dyDescent="0.2">
      <c r="A28" s="1139" t="s">
        <v>963</v>
      </c>
      <c r="B28" s="298" t="s">
        <v>999</v>
      </c>
      <c r="C28" s="298" t="s">
        <v>999</v>
      </c>
      <c r="D28" s="298" t="s">
        <v>1001</v>
      </c>
      <c r="E28" s="298" t="s">
        <v>1001</v>
      </c>
      <c r="F28" s="298" t="s">
        <v>1001</v>
      </c>
      <c r="G28" s="298" t="s">
        <v>999</v>
      </c>
      <c r="H28" s="298" t="s">
        <v>999</v>
      </c>
      <c r="I28" s="298" t="s">
        <v>1001</v>
      </c>
    </row>
    <row r="29" spans="1:9" x14ac:dyDescent="0.2">
      <c r="A29" s="1139" t="s">
        <v>964</v>
      </c>
      <c r="B29" s="298" t="s">
        <v>999</v>
      </c>
      <c r="C29" s="298" t="s">
        <v>999</v>
      </c>
      <c r="D29" s="298" t="s">
        <v>1001</v>
      </c>
      <c r="E29" s="298" t="s">
        <v>1001</v>
      </c>
      <c r="F29" s="298" t="s">
        <v>1001</v>
      </c>
      <c r="G29" s="298" t="s">
        <v>999</v>
      </c>
      <c r="H29" s="298" t="s">
        <v>999</v>
      </c>
      <c r="I29" s="298" t="s">
        <v>1001</v>
      </c>
    </row>
    <row r="30" spans="1:9" x14ac:dyDescent="0.2">
      <c r="A30" s="1139" t="s">
        <v>965</v>
      </c>
      <c r="B30" s="298" t="s">
        <v>999</v>
      </c>
      <c r="C30" s="298" t="s">
        <v>999</v>
      </c>
      <c r="D30" s="298" t="s">
        <v>1001</v>
      </c>
      <c r="E30" s="298" t="s">
        <v>1001</v>
      </c>
      <c r="F30" s="298" t="s">
        <v>1001</v>
      </c>
      <c r="G30" s="298" t="s">
        <v>999</v>
      </c>
      <c r="H30" s="298" t="s">
        <v>999</v>
      </c>
      <c r="I30" s="298" t="s">
        <v>1001</v>
      </c>
    </row>
    <row r="31" spans="1:9" x14ac:dyDescent="0.2">
      <c r="A31" s="1139" t="s">
        <v>966</v>
      </c>
      <c r="B31" s="298" t="s">
        <v>999</v>
      </c>
      <c r="C31" s="298" t="s">
        <v>1001</v>
      </c>
      <c r="D31" s="298" t="s">
        <v>999</v>
      </c>
      <c r="E31" s="298" t="s">
        <v>1001</v>
      </c>
      <c r="F31" s="298" t="s">
        <v>1001</v>
      </c>
      <c r="G31" s="298" t="s">
        <v>999</v>
      </c>
      <c r="H31" s="298" t="s">
        <v>1001</v>
      </c>
      <c r="I31" s="298" t="s">
        <v>999</v>
      </c>
    </row>
    <row r="32" spans="1:9" x14ac:dyDescent="0.2">
      <c r="A32" s="1139" t="s">
        <v>967</v>
      </c>
      <c r="B32" s="298" t="s">
        <v>999</v>
      </c>
      <c r="C32" s="298" t="s">
        <v>1001</v>
      </c>
      <c r="D32" s="298" t="s">
        <v>999</v>
      </c>
      <c r="E32" s="298" t="s">
        <v>1001</v>
      </c>
      <c r="F32" s="298" t="s">
        <v>1001</v>
      </c>
      <c r="G32" s="298" t="s">
        <v>999</v>
      </c>
      <c r="H32" s="298" t="s">
        <v>1001</v>
      </c>
      <c r="I32" s="298" t="s">
        <v>999</v>
      </c>
    </row>
    <row r="33" spans="1:10" x14ac:dyDescent="0.2">
      <c r="A33" s="1139" t="s">
        <v>968</v>
      </c>
      <c r="B33" s="298" t="s">
        <v>999</v>
      </c>
      <c r="C33" s="298" t="s">
        <v>1001</v>
      </c>
      <c r="D33" s="298" t="s">
        <v>999</v>
      </c>
      <c r="E33" s="298" t="s">
        <v>1001</v>
      </c>
      <c r="F33" s="298" t="s">
        <v>1001</v>
      </c>
      <c r="G33" s="298" t="s">
        <v>999</v>
      </c>
      <c r="H33" s="298" t="s">
        <v>1001</v>
      </c>
      <c r="I33" s="298" t="s">
        <v>999</v>
      </c>
    </row>
    <row r="34" spans="1:10" x14ac:dyDescent="0.2">
      <c r="A34" s="1139" t="s">
        <v>969</v>
      </c>
      <c r="B34" s="298" t="s">
        <v>999</v>
      </c>
      <c r="C34" s="298" t="s">
        <v>1001</v>
      </c>
      <c r="D34" s="298" t="s">
        <v>999</v>
      </c>
      <c r="E34" s="298" t="s">
        <v>1001</v>
      </c>
      <c r="F34" s="298" t="s">
        <v>1001</v>
      </c>
      <c r="G34" s="298" t="s">
        <v>999</v>
      </c>
      <c r="H34" s="298" t="s">
        <v>1001</v>
      </c>
      <c r="I34" s="298" t="s">
        <v>999</v>
      </c>
    </row>
    <row r="35" spans="1:10" x14ac:dyDescent="0.2">
      <c r="A35" s="1139" t="s">
        <v>1006</v>
      </c>
      <c r="B35" s="298" t="s">
        <v>1001</v>
      </c>
      <c r="C35" s="298" t="s">
        <v>1001</v>
      </c>
      <c r="D35" s="298" t="s">
        <v>1001</v>
      </c>
      <c r="E35" s="298" t="s">
        <v>1001</v>
      </c>
      <c r="F35" s="298" t="s">
        <v>999</v>
      </c>
      <c r="G35" s="298" t="s">
        <v>1001</v>
      </c>
      <c r="H35" s="298" t="s">
        <v>1001</v>
      </c>
      <c r="I35" s="298" t="s">
        <v>1001</v>
      </c>
    </row>
    <row r="36" spans="1:10" x14ac:dyDescent="0.2">
      <c r="A36" s="1139" t="s">
        <v>970</v>
      </c>
      <c r="B36" s="298" t="s">
        <v>1001</v>
      </c>
      <c r="C36" s="298" t="s">
        <v>1001</v>
      </c>
      <c r="D36" s="298" t="s">
        <v>1001</v>
      </c>
      <c r="E36" s="298" t="s">
        <v>999</v>
      </c>
      <c r="F36" s="298" t="s">
        <v>1001</v>
      </c>
      <c r="G36" s="298" t="s">
        <v>1001</v>
      </c>
      <c r="H36" s="298" t="s">
        <v>1001</v>
      </c>
      <c r="I36" s="298" t="s">
        <v>1001</v>
      </c>
    </row>
    <row r="37" spans="1:10" x14ac:dyDescent="0.2">
      <c r="A37" s="1139" t="s">
        <v>971</v>
      </c>
      <c r="B37" s="298" t="s">
        <v>999</v>
      </c>
      <c r="C37" s="298" t="s">
        <v>999</v>
      </c>
      <c r="D37" s="298" t="s">
        <v>999</v>
      </c>
      <c r="E37" s="298" t="s">
        <v>1001</v>
      </c>
      <c r="F37" s="298" t="s">
        <v>1001</v>
      </c>
      <c r="G37" s="298" t="s">
        <v>999</v>
      </c>
      <c r="H37" s="298" t="s">
        <v>999</v>
      </c>
      <c r="I37" s="298" t="s">
        <v>999</v>
      </c>
    </row>
    <row r="38" spans="1:10" x14ac:dyDescent="0.2">
      <c r="A38" s="1139" t="s">
        <v>972</v>
      </c>
      <c r="B38" s="298" t="s">
        <v>1001</v>
      </c>
      <c r="C38" s="298" t="s">
        <v>1001</v>
      </c>
      <c r="D38" s="298" t="s">
        <v>1001</v>
      </c>
      <c r="E38" s="298" t="s">
        <v>999</v>
      </c>
      <c r="F38" s="298" t="s">
        <v>999</v>
      </c>
      <c r="G38" s="298" t="s">
        <v>1001</v>
      </c>
      <c r="H38" s="298" t="s">
        <v>1001</v>
      </c>
      <c r="I38" s="298" t="s">
        <v>1001</v>
      </c>
    </row>
    <row r="39" spans="1:10" x14ac:dyDescent="0.2">
      <c r="A39" s="1139" t="s">
        <v>973</v>
      </c>
      <c r="B39" s="298" t="s">
        <v>1001</v>
      </c>
      <c r="C39" s="298" t="s">
        <v>1001</v>
      </c>
      <c r="D39" s="298" t="s">
        <v>1001</v>
      </c>
      <c r="E39" s="298" t="s">
        <v>999</v>
      </c>
      <c r="F39" s="298" t="s">
        <v>999</v>
      </c>
      <c r="G39" s="298" t="s">
        <v>1001</v>
      </c>
      <c r="H39" s="298" t="s">
        <v>1001</v>
      </c>
      <c r="I39" s="298" t="s">
        <v>1001</v>
      </c>
    </row>
    <row r="40" spans="1:10" x14ac:dyDescent="0.2">
      <c r="A40" s="1139" t="s">
        <v>974</v>
      </c>
      <c r="B40" s="298" t="s">
        <v>1001</v>
      </c>
      <c r="C40" s="298" t="s">
        <v>1001</v>
      </c>
      <c r="D40" s="298" t="s">
        <v>1001</v>
      </c>
      <c r="E40" s="298" t="s">
        <v>999</v>
      </c>
      <c r="F40" s="298" t="s">
        <v>999</v>
      </c>
      <c r="G40" s="298" t="s">
        <v>1001</v>
      </c>
      <c r="H40" s="298" t="s">
        <v>1001</v>
      </c>
      <c r="I40" s="298" t="s">
        <v>1001</v>
      </c>
    </row>
    <row r="41" spans="1:10" x14ac:dyDescent="0.2">
      <c r="A41" s="1139" t="s">
        <v>975</v>
      </c>
      <c r="B41" s="298" t="s">
        <v>999</v>
      </c>
      <c r="C41" s="298" t="s">
        <v>999</v>
      </c>
      <c r="D41" s="298" t="s">
        <v>1001</v>
      </c>
      <c r="E41" s="298" t="s">
        <v>999</v>
      </c>
      <c r="F41" s="298" t="s">
        <v>999</v>
      </c>
      <c r="G41" s="298" t="s">
        <v>999</v>
      </c>
      <c r="H41" s="298" t="s">
        <v>999</v>
      </c>
      <c r="I41" s="298" t="s">
        <v>1001</v>
      </c>
    </row>
    <row r="42" spans="1:10" x14ac:dyDescent="0.2">
      <c r="A42" s="1139" t="s">
        <v>976</v>
      </c>
      <c r="B42" s="298" t="s">
        <v>999</v>
      </c>
      <c r="C42" s="298" t="s">
        <v>1001</v>
      </c>
      <c r="D42" s="298" t="s">
        <v>999</v>
      </c>
      <c r="E42" s="298" t="s">
        <v>999</v>
      </c>
      <c r="F42" s="298" t="s">
        <v>999</v>
      </c>
      <c r="G42" s="298" t="s">
        <v>999</v>
      </c>
      <c r="H42" s="298" t="s">
        <v>1001</v>
      </c>
      <c r="I42" s="298" t="s">
        <v>999</v>
      </c>
    </row>
    <row r="43" spans="1:10" x14ac:dyDescent="0.2">
      <c r="A43" s="1139" t="s">
        <v>977</v>
      </c>
      <c r="B43" s="298" t="s">
        <v>1000</v>
      </c>
      <c r="C43" s="298" t="s">
        <v>1000</v>
      </c>
      <c r="D43" s="298" t="s">
        <v>1000</v>
      </c>
      <c r="E43" s="298" t="s">
        <v>1000</v>
      </c>
      <c r="F43" s="298" t="s">
        <v>1000</v>
      </c>
      <c r="G43" s="298" t="s">
        <v>1000</v>
      </c>
      <c r="H43" s="298" t="s">
        <v>1000</v>
      </c>
      <c r="I43" s="298" t="s">
        <v>1000</v>
      </c>
    </row>
    <row r="44" spans="1:10" x14ac:dyDescent="0.2">
      <c r="A44" s="1139" t="s">
        <v>1256</v>
      </c>
      <c r="B44" s="298" t="s">
        <v>1000</v>
      </c>
      <c r="C44" s="298" t="s">
        <v>1000</v>
      </c>
      <c r="D44" s="298" t="s">
        <v>1000</v>
      </c>
      <c r="E44" s="298" t="s">
        <v>1000</v>
      </c>
      <c r="F44" s="298" t="s">
        <v>1000</v>
      </c>
      <c r="G44" s="298" t="s">
        <v>1000</v>
      </c>
      <c r="H44" s="298" t="s">
        <v>1000</v>
      </c>
      <c r="I44" s="298" t="s">
        <v>1000</v>
      </c>
    </row>
    <row r="45" spans="1:10" x14ac:dyDescent="0.2">
      <c r="A45" s="1139" t="s">
        <v>1255</v>
      </c>
      <c r="B45" s="298" t="s">
        <v>1000</v>
      </c>
      <c r="C45" s="298" t="s">
        <v>1000</v>
      </c>
      <c r="D45" s="298" t="s">
        <v>1000</v>
      </c>
      <c r="E45" s="298" t="s">
        <v>1000</v>
      </c>
      <c r="F45" s="298" t="s">
        <v>1000</v>
      </c>
      <c r="G45" s="298" t="s">
        <v>1000</v>
      </c>
      <c r="H45" s="298" t="s">
        <v>1000</v>
      </c>
      <c r="I45" s="298" t="s">
        <v>1000</v>
      </c>
    </row>
    <row r="46" spans="1:10" x14ac:dyDescent="0.2">
      <c r="A46" s="1139" t="s">
        <v>978</v>
      </c>
      <c r="B46" s="298" t="s">
        <v>999</v>
      </c>
      <c r="C46" s="298" t="s">
        <v>999</v>
      </c>
      <c r="D46" s="298" t="s">
        <v>999</v>
      </c>
      <c r="E46" s="298" t="s">
        <v>999</v>
      </c>
      <c r="F46" s="298" t="s">
        <v>999</v>
      </c>
      <c r="G46" s="298" t="s">
        <v>999</v>
      </c>
      <c r="H46" s="298" t="s">
        <v>999</v>
      </c>
      <c r="I46" s="298" t="s">
        <v>999</v>
      </c>
      <c r="J46" s="216"/>
    </row>
    <row r="47" spans="1:10" x14ac:dyDescent="0.2">
      <c r="A47" s="1139" t="s">
        <v>979</v>
      </c>
      <c r="B47" s="298" t="s">
        <v>999</v>
      </c>
      <c r="C47" s="298" t="s">
        <v>999</v>
      </c>
      <c r="D47" s="298" t="s">
        <v>999</v>
      </c>
      <c r="E47" s="298" t="s">
        <v>999</v>
      </c>
      <c r="F47" s="298" t="s">
        <v>999</v>
      </c>
      <c r="G47" s="298" t="s">
        <v>999</v>
      </c>
      <c r="H47" s="298" t="s">
        <v>999</v>
      </c>
      <c r="I47" s="298" t="s">
        <v>999</v>
      </c>
      <c r="J47" s="216"/>
    </row>
    <row r="48" spans="1:10" x14ac:dyDescent="0.2">
      <c r="A48" s="1139" t="s">
        <v>980</v>
      </c>
      <c r="B48" s="298" t="s">
        <v>999</v>
      </c>
      <c r="C48" s="298" t="s">
        <v>999</v>
      </c>
      <c r="D48" s="298" t="s">
        <v>999</v>
      </c>
      <c r="E48" s="298" t="s">
        <v>999</v>
      </c>
      <c r="F48" s="298" t="s">
        <v>999</v>
      </c>
      <c r="G48" s="298" t="s">
        <v>999</v>
      </c>
      <c r="H48" s="298" t="s">
        <v>999</v>
      </c>
      <c r="I48" s="298" t="s">
        <v>999</v>
      </c>
      <c r="J48" s="216"/>
    </row>
    <row r="49" spans="1:10" x14ac:dyDescent="0.2">
      <c r="A49" s="1139" t="s">
        <v>1789</v>
      </c>
      <c r="B49" s="298" t="s">
        <v>999</v>
      </c>
      <c r="C49" s="298" t="s">
        <v>999</v>
      </c>
      <c r="D49" s="298" t="s">
        <v>999</v>
      </c>
      <c r="E49" s="298" t="s">
        <v>999</v>
      </c>
      <c r="F49" s="298" t="s">
        <v>999</v>
      </c>
      <c r="G49" s="298" t="s">
        <v>999</v>
      </c>
      <c r="H49" s="298" t="s">
        <v>999</v>
      </c>
      <c r="I49" s="298" t="s">
        <v>999</v>
      </c>
      <c r="J49" s="877"/>
    </row>
    <row r="50" spans="1:10" x14ac:dyDescent="0.2">
      <c r="A50" s="1139" t="s">
        <v>1790</v>
      </c>
      <c r="B50" s="298" t="s">
        <v>999</v>
      </c>
      <c r="C50" s="298" t="s">
        <v>999</v>
      </c>
      <c r="D50" s="298" t="s">
        <v>999</v>
      </c>
      <c r="E50" s="298" t="s">
        <v>999</v>
      </c>
      <c r="F50" s="298" t="s">
        <v>999</v>
      </c>
      <c r="G50" s="298" t="s">
        <v>999</v>
      </c>
      <c r="H50" s="298" t="s">
        <v>999</v>
      </c>
      <c r="I50" s="298" t="s">
        <v>999</v>
      </c>
      <c r="J50" s="877"/>
    </row>
    <row r="51" spans="1:10" x14ac:dyDescent="0.2">
      <c r="A51" s="1139" t="s">
        <v>1791</v>
      </c>
      <c r="B51" s="298" t="s">
        <v>999</v>
      </c>
      <c r="C51" s="298" t="s">
        <v>999</v>
      </c>
      <c r="D51" s="298" t="s">
        <v>999</v>
      </c>
      <c r="E51" s="298" t="s">
        <v>999</v>
      </c>
      <c r="F51" s="298" t="s">
        <v>999</v>
      </c>
      <c r="G51" s="298" t="s">
        <v>999</v>
      </c>
      <c r="H51" s="298" t="s">
        <v>999</v>
      </c>
      <c r="I51" s="298" t="s">
        <v>999</v>
      </c>
    </row>
    <row r="52" spans="1:10" x14ac:dyDescent="0.2">
      <c r="A52" s="1139" t="s">
        <v>981</v>
      </c>
      <c r="B52" s="298" t="s">
        <v>999</v>
      </c>
      <c r="C52" s="298" t="s">
        <v>999</v>
      </c>
      <c r="D52" s="298" t="s">
        <v>999</v>
      </c>
      <c r="E52" s="298" t="s">
        <v>999</v>
      </c>
      <c r="F52" s="298" t="s">
        <v>999</v>
      </c>
      <c r="G52" s="298" t="s">
        <v>999</v>
      </c>
      <c r="H52" s="298" t="s">
        <v>999</v>
      </c>
      <c r="I52" s="298" t="s">
        <v>999</v>
      </c>
    </row>
    <row r="53" spans="1:10" x14ac:dyDescent="0.2">
      <c r="A53" s="1139" t="s">
        <v>982</v>
      </c>
      <c r="B53" s="298" t="s">
        <v>999</v>
      </c>
      <c r="C53" s="298" t="s">
        <v>999</v>
      </c>
      <c r="D53" s="298" t="s">
        <v>999</v>
      </c>
      <c r="E53" s="298" t="s">
        <v>999</v>
      </c>
      <c r="F53" s="298" t="s">
        <v>999</v>
      </c>
      <c r="G53" s="298" t="s">
        <v>999</v>
      </c>
      <c r="H53" s="298" t="s">
        <v>999</v>
      </c>
      <c r="I53" s="298" t="s">
        <v>999</v>
      </c>
    </row>
    <row r="54" spans="1:10" x14ac:dyDescent="0.2">
      <c r="A54" s="1139" t="s">
        <v>983</v>
      </c>
      <c r="B54" s="298" t="s">
        <v>999</v>
      </c>
      <c r="C54" s="298" t="s">
        <v>999</v>
      </c>
      <c r="D54" s="298" t="s">
        <v>999</v>
      </c>
      <c r="E54" s="298" t="s">
        <v>999</v>
      </c>
      <c r="F54" s="298" t="s">
        <v>999</v>
      </c>
      <c r="G54" s="298" t="s">
        <v>999</v>
      </c>
      <c r="H54" s="298" t="s">
        <v>999</v>
      </c>
      <c r="I54" s="298" t="s">
        <v>999</v>
      </c>
    </row>
    <row r="55" spans="1:10" x14ac:dyDescent="0.2">
      <c r="A55" s="1139" t="s">
        <v>984</v>
      </c>
      <c r="B55" s="298" t="s">
        <v>999</v>
      </c>
      <c r="C55" s="298" t="s">
        <v>999</v>
      </c>
      <c r="D55" s="298" t="s">
        <v>999</v>
      </c>
      <c r="E55" s="298" t="s">
        <v>999</v>
      </c>
      <c r="F55" s="298" t="s">
        <v>999</v>
      </c>
      <c r="G55" s="298" t="s">
        <v>999</v>
      </c>
      <c r="H55" s="298" t="s">
        <v>999</v>
      </c>
      <c r="I55" s="298" t="s">
        <v>999</v>
      </c>
    </row>
    <row r="56" spans="1:10" x14ac:dyDescent="0.2">
      <c r="A56" s="1139" t="s">
        <v>985</v>
      </c>
      <c r="B56" s="298" t="s">
        <v>999</v>
      </c>
      <c r="C56" s="298" t="s">
        <v>999</v>
      </c>
      <c r="D56" s="298" t="s">
        <v>999</v>
      </c>
      <c r="E56" s="298" t="s">
        <v>999</v>
      </c>
      <c r="F56" s="298" t="s">
        <v>999</v>
      </c>
      <c r="G56" s="298" t="s">
        <v>999</v>
      </c>
      <c r="H56" s="298" t="s">
        <v>999</v>
      </c>
      <c r="I56" s="298" t="s">
        <v>999</v>
      </c>
    </row>
    <row r="57" spans="1:10" x14ac:dyDescent="0.2">
      <c r="A57" s="1139" t="s">
        <v>986</v>
      </c>
      <c r="B57" s="298" t="s">
        <v>999</v>
      </c>
      <c r="C57" s="298" t="s">
        <v>999</v>
      </c>
      <c r="D57" s="298" t="s">
        <v>999</v>
      </c>
      <c r="E57" s="298" t="s">
        <v>999</v>
      </c>
      <c r="F57" s="298" t="s">
        <v>999</v>
      </c>
      <c r="G57" s="298" t="s">
        <v>999</v>
      </c>
      <c r="H57" s="298" t="s">
        <v>999</v>
      </c>
      <c r="I57" s="298" t="s">
        <v>999</v>
      </c>
    </row>
    <row r="58" spans="1:10" x14ac:dyDescent="0.2">
      <c r="A58" s="1139" t="s">
        <v>987</v>
      </c>
      <c r="B58" s="298" t="s">
        <v>999</v>
      </c>
      <c r="C58" s="298" t="s">
        <v>999</v>
      </c>
      <c r="D58" s="298" t="s">
        <v>999</v>
      </c>
      <c r="E58" s="298" t="s">
        <v>999</v>
      </c>
      <c r="F58" s="298" t="s">
        <v>999</v>
      </c>
      <c r="G58" s="298" t="s">
        <v>999</v>
      </c>
      <c r="H58" s="298" t="s">
        <v>999</v>
      </c>
      <c r="I58" s="298" t="s">
        <v>999</v>
      </c>
    </row>
    <row r="59" spans="1:10" x14ac:dyDescent="0.2">
      <c r="A59" s="1139" t="s">
        <v>988</v>
      </c>
      <c r="B59" s="298" t="s">
        <v>1793</v>
      </c>
      <c r="C59" s="298" t="s">
        <v>1793</v>
      </c>
      <c r="D59" s="298" t="s">
        <v>1793</v>
      </c>
      <c r="E59" s="298" t="s">
        <v>1793</v>
      </c>
      <c r="F59" s="298" t="s">
        <v>1793</v>
      </c>
      <c r="G59" s="298" t="s">
        <v>1793</v>
      </c>
      <c r="H59" s="298" t="s">
        <v>1793</v>
      </c>
      <c r="I59" s="298" t="s">
        <v>1793</v>
      </c>
    </row>
    <row r="60" spans="1:10" x14ac:dyDescent="0.2">
      <c r="A60" s="1139" t="s">
        <v>989</v>
      </c>
      <c r="B60" s="298" t="s">
        <v>999</v>
      </c>
      <c r="C60" s="298" t="s">
        <v>999</v>
      </c>
      <c r="D60" s="298" t="s">
        <v>999</v>
      </c>
      <c r="E60" s="298" t="s">
        <v>999</v>
      </c>
      <c r="F60" s="298" t="s">
        <v>999</v>
      </c>
      <c r="G60" s="298" t="s">
        <v>999</v>
      </c>
      <c r="H60" s="298" t="s">
        <v>999</v>
      </c>
      <c r="I60" s="298" t="s">
        <v>999</v>
      </c>
    </row>
    <row r="61" spans="1:10" x14ac:dyDescent="0.2">
      <c r="A61" s="1139" t="s">
        <v>990</v>
      </c>
      <c r="B61" s="298" t="s">
        <v>999</v>
      </c>
      <c r="C61" s="298" t="s">
        <v>999</v>
      </c>
      <c r="D61" s="298" t="s">
        <v>999</v>
      </c>
      <c r="E61" s="298" t="s">
        <v>999</v>
      </c>
      <c r="F61" s="298" t="s">
        <v>999</v>
      </c>
      <c r="G61" s="298" t="s">
        <v>999</v>
      </c>
      <c r="H61" s="298" t="s">
        <v>999</v>
      </c>
      <c r="I61" s="298" t="s">
        <v>999</v>
      </c>
    </row>
    <row r="62" spans="1:10" x14ac:dyDescent="0.2">
      <c r="A62" s="1139" t="s">
        <v>991</v>
      </c>
      <c r="B62" s="298" t="s">
        <v>999</v>
      </c>
      <c r="C62" s="298" t="s">
        <v>999</v>
      </c>
      <c r="D62" s="298" t="s">
        <v>999</v>
      </c>
      <c r="E62" s="298" t="s">
        <v>999</v>
      </c>
      <c r="F62" s="298" t="s">
        <v>999</v>
      </c>
      <c r="G62" s="298" t="s">
        <v>999</v>
      </c>
      <c r="H62" s="298" t="s">
        <v>999</v>
      </c>
      <c r="I62" s="298" t="s">
        <v>999</v>
      </c>
    </row>
    <row r="63" spans="1:10" x14ac:dyDescent="0.2">
      <c r="A63" s="1139" t="s">
        <v>992</v>
      </c>
      <c r="B63" s="298" t="s">
        <v>999</v>
      </c>
      <c r="C63" s="298" t="s">
        <v>999</v>
      </c>
      <c r="D63" s="298" t="s">
        <v>999</v>
      </c>
      <c r="E63" s="298" t="s">
        <v>999</v>
      </c>
      <c r="F63" s="298" t="s">
        <v>999</v>
      </c>
      <c r="G63" s="298" t="s">
        <v>999</v>
      </c>
      <c r="H63" s="298" t="s">
        <v>999</v>
      </c>
      <c r="I63" s="298" t="s">
        <v>999</v>
      </c>
    </row>
    <row r="64" spans="1:10" x14ac:dyDescent="0.2">
      <c r="A64" s="1139" t="s">
        <v>993</v>
      </c>
      <c r="B64" s="298" t="s">
        <v>999</v>
      </c>
      <c r="C64" s="298" t="s">
        <v>999</v>
      </c>
      <c r="D64" s="298" t="s">
        <v>999</v>
      </c>
      <c r="E64" s="298" t="s">
        <v>999</v>
      </c>
      <c r="F64" s="298" t="s">
        <v>999</v>
      </c>
      <c r="G64" s="298" t="s">
        <v>999</v>
      </c>
      <c r="H64" s="298" t="s">
        <v>999</v>
      </c>
      <c r="I64" s="298" t="s">
        <v>999</v>
      </c>
    </row>
    <row r="65" spans="1:9" x14ac:dyDescent="0.2">
      <c r="A65" s="1139" t="s">
        <v>994</v>
      </c>
      <c r="B65" s="298" t="s">
        <v>999</v>
      </c>
      <c r="C65" s="298" t="s">
        <v>999</v>
      </c>
      <c r="D65" s="298" t="s">
        <v>999</v>
      </c>
      <c r="E65" s="298" t="s">
        <v>999</v>
      </c>
      <c r="F65" s="298" t="s">
        <v>999</v>
      </c>
      <c r="G65" s="298" t="s">
        <v>999</v>
      </c>
      <c r="H65" s="298" t="s">
        <v>999</v>
      </c>
      <c r="I65" s="298" t="s">
        <v>999</v>
      </c>
    </row>
    <row r="66" spans="1:9" x14ac:dyDescent="0.2">
      <c r="A66" s="119" t="s">
        <v>995</v>
      </c>
      <c r="B66" s="298" t="s">
        <v>999</v>
      </c>
      <c r="C66" s="298" t="s">
        <v>999</v>
      </c>
      <c r="D66" s="298" t="s">
        <v>999</v>
      </c>
      <c r="E66" s="298" t="s">
        <v>999</v>
      </c>
      <c r="F66" s="298" t="s">
        <v>999</v>
      </c>
      <c r="G66" s="298" t="s">
        <v>999</v>
      </c>
      <c r="H66" s="298" t="s">
        <v>999</v>
      </c>
      <c r="I66" s="298" t="s">
        <v>999</v>
      </c>
    </row>
    <row r="67" spans="1:9" x14ac:dyDescent="0.2">
      <c r="A67" s="1139" t="s">
        <v>996</v>
      </c>
      <c r="B67" s="298" t="s">
        <v>1001</v>
      </c>
      <c r="C67" s="298" t="s">
        <v>1001</v>
      </c>
      <c r="D67" s="298" t="s">
        <v>1001</v>
      </c>
      <c r="E67" s="298" t="s">
        <v>999</v>
      </c>
      <c r="F67" s="298" t="s">
        <v>1001</v>
      </c>
      <c r="G67" s="298" t="s">
        <v>1001</v>
      </c>
      <c r="H67" s="298" t="s">
        <v>1001</v>
      </c>
      <c r="I67" s="298" t="s">
        <v>1001</v>
      </c>
    </row>
    <row r="68" spans="1:9" x14ac:dyDescent="0.2">
      <c r="A68" s="1139" t="s">
        <v>997</v>
      </c>
      <c r="B68" s="298" t="s">
        <v>999</v>
      </c>
      <c r="C68" s="298" t="s">
        <v>999</v>
      </c>
      <c r="D68" s="298" t="s">
        <v>999</v>
      </c>
      <c r="E68" s="298" t="s">
        <v>1001</v>
      </c>
      <c r="F68" s="298" t="s">
        <v>1001</v>
      </c>
      <c r="G68" s="298" t="s">
        <v>999</v>
      </c>
      <c r="H68" s="298" t="s">
        <v>999</v>
      </c>
      <c r="I68" s="298" t="s">
        <v>999</v>
      </c>
    </row>
    <row r="69" spans="1:9" x14ac:dyDescent="0.2">
      <c r="A69" s="1139" t="s">
        <v>1048</v>
      </c>
      <c r="B69" s="298" t="s">
        <v>999</v>
      </c>
      <c r="C69" s="298" t="s">
        <v>999</v>
      </c>
      <c r="D69" s="298" t="s">
        <v>999</v>
      </c>
      <c r="E69" s="298" t="s">
        <v>999</v>
      </c>
      <c r="F69" s="298" t="s">
        <v>999</v>
      </c>
      <c r="G69" s="298" t="s">
        <v>999</v>
      </c>
      <c r="H69" s="298" t="s">
        <v>999</v>
      </c>
      <c r="I69" s="298" t="s">
        <v>999</v>
      </c>
    </row>
    <row r="70" spans="1:9" x14ac:dyDescent="0.2">
      <c r="A70" s="1139" t="s">
        <v>1785</v>
      </c>
      <c r="B70" s="298" t="s">
        <v>1001</v>
      </c>
      <c r="C70" s="298" t="s">
        <v>1001</v>
      </c>
      <c r="D70" s="298" t="s">
        <v>1001</v>
      </c>
      <c r="E70" s="298" t="s">
        <v>1001</v>
      </c>
      <c r="F70" s="298" t="s">
        <v>1001</v>
      </c>
      <c r="G70" s="298" t="s">
        <v>1001</v>
      </c>
      <c r="H70" s="298" t="s">
        <v>1001</v>
      </c>
      <c r="I70" s="298" t="s">
        <v>1001</v>
      </c>
    </row>
    <row r="71" spans="1:9" x14ac:dyDescent="0.2">
      <c r="A71" s="1139" t="s">
        <v>1792</v>
      </c>
      <c r="B71" s="298" t="s">
        <v>1001</v>
      </c>
      <c r="C71" s="298" t="s">
        <v>1001</v>
      </c>
      <c r="D71" s="298" t="s">
        <v>1001</v>
      </c>
      <c r="E71" s="298" t="s">
        <v>1001</v>
      </c>
      <c r="F71" s="298" t="s">
        <v>1001</v>
      </c>
      <c r="G71" s="298" t="s">
        <v>1001</v>
      </c>
      <c r="H71" s="298" t="s">
        <v>1001</v>
      </c>
      <c r="I71" s="298" t="s">
        <v>1001</v>
      </c>
    </row>
    <row r="72" spans="1:9" x14ac:dyDescent="0.2">
      <c r="A72" s="1139" t="s">
        <v>998</v>
      </c>
      <c r="B72" s="1142" t="s">
        <v>1001</v>
      </c>
      <c r="C72" s="1142" t="s">
        <v>1001</v>
      </c>
      <c r="D72" s="1142" t="s">
        <v>1001</v>
      </c>
      <c r="E72" s="1142" t="s">
        <v>1001</v>
      </c>
      <c r="F72" s="1142" t="s">
        <v>1001</v>
      </c>
      <c r="G72" s="1142" t="s">
        <v>1001</v>
      </c>
      <c r="H72" s="1142" t="s">
        <v>1001</v>
      </c>
      <c r="I72" s="1142" t="s">
        <v>1001</v>
      </c>
    </row>
  </sheetData>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78"/>
  <sheetViews>
    <sheetView showGridLines="0" topLeftCell="A9" zoomScaleNormal="100" workbookViewId="0">
      <selection activeCell="K33" sqref="K33"/>
    </sheetView>
  </sheetViews>
  <sheetFormatPr defaultColWidth="9.140625" defaultRowHeight="12.75" x14ac:dyDescent="0.2"/>
  <cols>
    <col min="1" max="1" width="7.7109375" style="950" customWidth="1"/>
    <col min="2" max="2" width="6.42578125" style="950" customWidth="1"/>
    <col min="3" max="3" width="37.85546875" style="216" customWidth="1"/>
    <col min="4" max="4" width="14.42578125" style="216" customWidth="1"/>
    <col min="5" max="5" width="13" style="216" customWidth="1"/>
    <col min="6" max="6" width="11.7109375" style="216" customWidth="1"/>
    <col min="7" max="7" width="13.5703125" style="216" customWidth="1"/>
    <col min="8" max="8" width="1.7109375" style="252" customWidth="1"/>
    <col min="9" max="9" width="14.28515625" style="216" customWidth="1"/>
    <col min="10" max="10" width="13.42578125" style="216" customWidth="1"/>
    <col min="11" max="11" width="11.85546875" style="216" customWidth="1"/>
    <col min="12" max="12" width="14.5703125" style="216" bestFit="1" customWidth="1"/>
    <col min="13" max="13" width="14.140625" style="216" bestFit="1" customWidth="1"/>
    <col min="14" max="14" width="10.28515625" style="216" bestFit="1" customWidth="1"/>
    <col min="15" max="16384" width="9.140625" style="216"/>
  </cols>
  <sheetData>
    <row r="1" spans="1:13" x14ac:dyDescent="0.2">
      <c r="L1" s="217" t="s">
        <v>419</v>
      </c>
      <c r="M1" s="208" t="str">
        <f>EBNUMBER</f>
        <v>EB-2014-0113</v>
      </c>
    </row>
    <row r="2" spans="1:13" x14ac:dyDescent="0.2">
      <c r="L2" s="217" t="s">
        <v>420</v>
      </c>
      <c r="M2" s="767">
        <v>2</v>
      </c>
    </row>
    <row r="3" spans="1:13" x14ac:dyDescent="0.2">
      <c r="L3" s="217" t="s">
        <v>421</v>
      </c>
      <c r="M3" s="767">
        <v>2</v>
      </c>
    </row>
    <row r="4" spans="1:13" x14ac:dyDescent="0.2">
      <c r="L4" s="217" t="s">
        <v>422</v>
      </c>
      <c r="M4" s="767">
        <v>2</v>
      </c>
    </row>
    <row r="5" spans="1:13" x14ac:dyDescent="0.2">
      <c r="L5" s="217" t="s">
        <v>423</v>
      </c>
      <c r="M5" s="768"/>
    </row>
    <row r="6" spans="1:13" ht="9" customHeight="1" x14ac:dyDescent="0.2">
      <c r="L6" s="217"/>
      <c r="M6" s="766"/>
    </row>
    <row r="7" spans="1:13" x14ac:dyDescent="0.2">
      <c r="L7" s="217" t="s">
        <v>424</v>
      </c>
      <c r="M7" s="1467">
        <v>42119</v>
      </c>
    </row>
    <row r="8" spans="1:13" ht="9" customHeight="1" x14ac:dyDescent="0.2"/>
    <row r="9" spans="1:13" ht="20.25" customHeight="1" x14ac:dyDescent="0.2">
      <c r="A9" s="1785" t="s">
        <v>745</v>
      </c>
      <c r="B9" s="1785"/>
      <c r="C9" s="1785"/>
      <c r="D9" s="1785"/>
      <c r="E9" s="1785"/>
      <c r="F9" s="1785"/>
      <c r="G9" s="1785"/>
      <c r="H9" s="1785"/>
      <c r="I9" s="1785"/>
      <c r="J9" s="1785"/>
      <c r="K9" s="1785"/>
      <c r="L9" s="1785"/>
      <c r="M9" s="1785"/>
    </row>
    <row r="10" spans="1:13" ht="18" x14ac:dyDescent="0.2">
      <c r="A10" s="1785" t="s">
        <v>1043</v>
      </c>
      <c r="B10" s="1785"/>
      <c r="C10" s="1785"/>
      <c r="D10" s="1785"/>
      <c r="E10" s="1785"/>
      <c r="F10" s="1785"/>
      <c r="G10" s="1785"/>
      <c r="H10" s="1785"/>
      <c r="I10" s="1785"/>
      <c r="J10" s="1785"/>
      <c r="K10" s="1785"/>
      <c r="L10" s="1785"/>
      <c r="M10" s="1785"/>
    </row>
    <row r="11" spans="1:13" x14ac:dyDescent="0.2">
      <c r="K11" s="216" t="s">
        <v>2144</v>
      </c>
    </row>
    <row r="12" spans="1:13" ht="15" x14ac:dyDescent="0.25">
      <c r="C12" s="236"/>
      <c r="E12" s="769" t="s">
        <v>159</v>
      </c>
      <c r="F12" s="770">
        <v>2011</v>
      </c>
      <c r="G12" s="771"/>
    </row>
    <row r="14" spans="1:13" x14ac:dyDescent="0.2">
      <c r="D14" s="1786" t="s">
        <v>380</v>
      </c>
      <c r="E14" s="1787"/>
      <c r="F14" s="1787"/>
      <c r="G14" s="1788"/>
      <c r="I14" s="772"/>
      <c r="J14" s="773" t="s">
        <v>381</v>
      </c>
      <c r="K14" s="773"/>
      <c r="L14" s="774"/>
      <c r="M14" s="252"/>
    </row>
    <row r="15" spans="1:13" ht="25.5" x14ac:dyDescent="0.2">
      <c r="A15" s="775" t="s">
        <v>344</v>
      </c>
      <c r="B15" s="776" t="s">
        <v>345</v>
      </c>
      <c r="C15" s="777" t="s">
        <v>346</v>
      </c>
      <c r="D15" s="775" t="s">
        <v>347</v>
      </c>
      <c r="E15" s="776" t="s">
        <v>348</v>
      </c>
      <c r="F15" s="776" t="s">
        <v>378</v>
      </c>
      <c r="G15" s="775" t="s">
        <v>379</v>
      </c>
      <c r="H15" s="778"/>
      <c r="I15" s="779" t="s">
        <v>347</v>
      </c>
      <c r="J15" s="780" t="s">
        <v>348</v>
      </c>
      <c r="K15" s="780" t="s">
        <v>378</v>
      </c>
      <c r="L15" s="781" t="s">
        <v>379</v>
      </c>
      <c r="M15" s="775" t="s">
        <v>418</v>
      </c>
    </row>
    <row r="16" spans="1:13" ht="25.5" x14ac:dyDescent="0.2">
      <c r="A16" s="782">
        <v>12</v>
      </c>
      <c r="B16" s="782">
        <v>1611</v>
      </c>
      <c r="C16" s="783" t="s">
        <v>515</v>
      </c>
      <c r="D16" s="204"/>
      <c r="E16" s="204"/>
      <c r="F16" s="204"/>
      <c r="G16" s="8">
        <f>D16+E16+F16</f>
        <v>0</v>
      </c>
      <c r="H16" s="248"/>
      <c r="I16" s="206"/>
      <c r="J16" s="204"/>
      <c r="K16" s="204"/>
      <c r="L16" s="8">
        <f>I16+J16+K16</f>
        <v>0</v>
      </c>
      <c r="M16" s="784">
        <f>G16+L16</f>
        <v>0</v>
      </c>
    </row>
    <row r="17" spans="1:15" ht="25.5" x14ac:dyDescent="0.2">
      <c r="A17" s="782" t="s">
        <v>390</v>
      </c>
      <c r="B17" s="782">
        <v>1612</v>
      </c>
      <c r="C17" s="783" t="s">
        <v>650</v>
      </c>
      <c r="D17" s="204"/>
      <c r="E17" s="204"/>
      <c r="F17" s="204"/>
      <c r="G17" s="8">
        <f>D17+E17+F17</f>
        <v>0</v>
      </c>
      <c r="H17" s="248"/>
      <c r="I17" s="206"/>
      <c r="J17" s="204"/>
      <c r="K17" s="204"/>
      <c r="L17" s="8">
        <f>I17+J17+K17</f>
        <v>0</v>
      </c>
      <c r="M17" s="784">
        <f>G17+L17</f>
        <v>0</v>
      </c>
    </row>
    <row r="18" spans="1:15" x14ac:dyDescent="0.2">
      <c r="A18" s="785" t="s">
        <v>382</v>
      </c>
      <c r="B18" s="785">
        <v>1805</v>
      </c>
      <c r="C18" s="786" t="s">
        <v>383</v>
      </c>
      <c r="D18" s="204">
        <v>6733.79</v>
      </c>
      <c r="E18" s="204">
        <v>0</v>
      </c>
      <c r="F18" s="204"/>
      <c r="G18" s="8">
        <f>D18+E18+F18</f>
        <v>6733.79</v>
      </c>
      <c r="H18" s="248"/>
      <c r="I18" s="206"/>
      <c r="J18" s="204"/>
      <c r="K18" s="204"/>
      <c r="L18" s="8">
        <f>I18+J18+K18</f>
        <v>0</v>
      </c>
      <c r="M18" s="784">
        <f>G18+L18</f>
        <v>6733.79</v>
      </c>
    </row>
    <row r="19" spans="1:15" x14ac:dyDescent="0.2">
      <c r="A19" s="782">
        <v>47</v>
      </c>
      <c r="B19" s="782">
        <v>1808</v>
      </c>
      <c r="C19" s="787" t="s">
        <v>384</v>
      </c>
      <c r="D19" s="204">
        <v>0</v>
      </c>
      <c r="E19" s="204"/>
      <c r="F19" s="204"/>
      <c r="G19" s="8">
        <f t="shared" ref="G19:G58" si="0">D19+E19+F19</f>
        <v>0</v>
      </c>
      <c r="H19" s="248"/>
      <c r="I19" s="206"/>
      <c r="J19" s="204"/>
      <c r="K19" s="204"/>
      <c r="L19" s="8">
        <f t="shared" ref="L19:L55" si="1">I19+J19+K19</f>
        <v>0</v>
      </c>
      <c r="M19" s="784">
        <f t="shared" ref="M19:M58" si="2">G19+L19</f>
        <v>0</v>
      </c>
    </row>
    <row r="20" spans="1:15" x14ac:dyDescent="0.2">
      <c r="A20" s="782">
        <v>13</v>
      </c>
      <c r="B20" s="782">
        <v>1810</v>
      </c>
      <c r="C20" s="787" t="s">
        <v>417</v>
      </c>
      <c r="D20" s="204">
        <v>0</v>
      </c>
      <c r="E20" s="204"/>
      <c r="F20" s="204"/>
      <c r="G20" s="8">
        <f t="shared" si="0"/>
        <v>0</v>
      </c>
      <c r="H20" s="248"/>
      <c r="I20" s="206"/>
      <c r="J20" s="204"/>
      <c r="K20" s="204"/>
      <c r="L20" s="8">
        <f t="shared" si="1"/>
        <v>0</v>
      </c>
      <c r="M20" s="784">
        <f t="shared" si="2"/>
        <v>0</v>
      </c>
    </row>
    <row r="21" spans="1:15" x14ac:dyDescent="0.2">
      <c r="A21" s="782">
        <v>47</v>
      </c>
      <c r="B21" s="782">
        <v>1815</v>
      </c>
      <c r="C21" s="787" t="s">
        <v>385</v>
      </c>
      <c r="D21" s="204">
        <v>0</v>
      </c>
      <c r="E21" s="204"/>
      <c r="F21" s="204"/>
      <c r="G21" s="8">
        <f t="shared" si="0"/>
        <v>0</v>
      </c>
      <c r="H21" s="248"/>
      <c r="I21" s="206"/>
      <c r="J21" s="204"/>
      <c r="K21" s="204"/>
      <c r="L21" s="8">
        <f t="shared" si="1"/>
        <v>0</v>
      </c>
      <c r="M21" s="784">
        <f t="shared" si="2"/>
        <v>0</v>
      </c>
      <c r="O21" s="216" t="s">
        <v>2054</v>
      </c>
    </row>
    <row r="22" spans="1:15" x14ac:dyDescent="0.2">
      <c r="A22" s="782">
        <v>47</v>
      </c>
      <c r="B22" s="782">
        <v>1820</v>
      </c>
      <c r="C22" s="783" t="s">
        <v>306</v>
      </c>
      <c r="D22" s="204">
        <v>850124.96</v>
      </c>
      <c r="E22" s="204">
        <v>0</v>
      </c>
      <c r="F22" s="204"/>
      <c r="G22" s="8">
        <f t="shared" si="0"/>
        <v>850124.96</v>
      </c>
      <c r="H22" s="248"/>
      <c r="I22" s="206">
        <v>-826606.66</v>
      </c>
      <c r="J22" s="204">
        <v>-4668.96</v>
      </c>
      <c r="K22" s="204"/>
      <c r="L22" s="8">
        <f t="shared" si="1"/>
        <v>-831275.62</v>
      </c>
      <c r="M22" s="784">
        <f t="shared" si="2"/>
        <v>18849.339999999967</v>
      </c>
    </row>
    <row r="23" spans="1:15" x14ac:dyDescent="0.2">
      <c r="A23" s="782">
        <v>47</v>
      </c>
      <c r="B23" s="782">
        <v>1825</v>
      </c>
      <c r="C23" s="787" t="s">
        <v>386</v>
      </c>
      <c r="D23" s="204">
        <v>0</v>
      </c>
      <c r="E23" s="204"/>
      <c r="F23" s="204"/>
      <c r="G23" s="8">
        <f t="shared" si="0"/>
        <v>0</v>
      </c>
      <c r="H23" s="248"/>
      <c r="I23" s="206"/>
      <c r="J23" s="204"/>
      <c r="K23" s="204"/>
      <c r="L23" s="8">
        <f t="shared" si="1"/>
        <v>0</v>
      </c>
      <c r="M23" s="784">
        <f t="shared" si="2"/>
        <v>0</v>
      </c>
    </row>
    <row r="24" spans="1:15" x14ac:dyDescent="0.2">
      <c r="A24" s="782">
        <v>47</v>
      </c>
      <c r="B24" s="782">
        <v>1830</v>
      </c>
      <c r="C24" s="787" t="s">
        <v>387</v>
      </c>
      <c r="D24" s="204">
        <v>7783182.5700000003</v>
      </c>
      <c r="E24" s="1445">
        <v>675463.56</v>
      </c>
      <c r="F24" s="204"/>
      <c r="G24" s="8">
        <f t="shared" si="0"/>
        <v>8458646.1300000008</v>
      </c>
      <c r="H24" s="248"/>
      <c r="I24" s="206">
        <v>-3571192.63</v>
      </c>
      <c r="J24" s="204">
        <v>-305413.39</v>
      </c>
      <c r="K24" s="204"/>
      <c r="L24" s="8">
        <f t="shared" si="1"/>
        <v>-3876606.02</v>
      </c>
      <c r="M24" s="784">
        <f t="shared" si="2"/>
        <v>4582040.1100000013</v>
      </c>
    </row>
    <row r="25" spans="1:15" x14ac:dyDescent="0.2">
      <c r="A25" s="782">
        <v>47</v>
      </c>
      <c r="B25" s="782">
        <v>1835</v>
      </c>
      <c r="C25" s="787" t="s">
        <v>307</v>
      </c>
      <c r="D25" s="204">
        <v>7161738.96</v>
      </c>
      <c r="E25" s="204">
        <v>321075.38</v>
      </c>
      <c r="F25" s="204"/>
      <c r="G25" s="8">
        <f t="shared" si="0"/>
        <v>7482814.3399999999</v>
      </c>
      <c r="H25" s="248"/>
      <c r="I25" s="206">
        <v>-3648531.81</v>
      </c>
      <c r="J25" s="204">
        <v>-284618.93</v>
      </c>
      <c r="K25" s="204"/>
      <c r="L25" s="8">
        <f t="shared" si="1"/>
        <v>-3933150.74</v>
      </c>
      <c r="M25" s="784">
        <f t="shared" si="2"/>
        <v>3549663.5999999996</v>
      </c>
    </row>
    <row r="26" spans="1:15" x14ac:dyDescent="0.2">
      <c r="A26" s="782">
        <v>47</v>
      </c>
      <c r="B26" s="782">
        <v>1840</v>
      </c>
      <c r="C26" s="787" t="s">
        <v>308</v>
      </c>
      <c r="D26" s="204">
        <v>3822469.11</v>
      </c>
      <c r="E26" s="204">
        <v>114142.6</v>
      </c>
      <c r="F26" s="204"/>
      <c r="G26" s="8">
        <f t="shared" si="0"/>
        <v>3936611.71</v>
      </c>
      <c r="H26" s="248"/>
      <c r="I26" s="206">
        <v>-1773048.68</v>
      </c>
      <c r="J26" s="204">
        <v>-133231.57999999999</v>
      </c>
      <c r="K26" s="204"/>
      <c r="L26" s="8">
        <f t="shared" si="1"/>
        <v>-1906280.26</v>
      </c>
      <c r="M26" s="784">
        <f t="shared" si="2"/>
        <v>2030331.45</v>
      </c>
    </row>
    <row r="27" spans="1:15" x14ac:dyDescent="0.2">
      <c r="A27" s="782">
        <v>47</v>
      </c>
      <c r="B27" s="782">
        <v>1845</v>
      </c>
      <c r="C27" s="787" t="s">
        <v>309</v>
      </c>
      <c r="D27" s="204">
        <v>7760133.6799999997</v>
      </c>
      <c r="E27" s="204">
        <v>257423.03</v>
      </c>
      <c r="F27" s="204"/>
      <c r="G27" s="8">
        <f t="shared" si="0"/>
        <v>8017556.71</v>
      </c>
      <c r="H27" s="248"/>
      <c r="I27" s="206">
        <v>-3453990.34</v>
      </c>
      <c r="J27" s="204">
        <v>-295519.46000000002</v>
      </c>
      <c r="K27" s="204"/>
      <c r="L27" s="8">
        <f t="shared" si="1"/>
        <v>-3749509.8</v>
      </c>
      <c r="M27" s="784">
        <f t="shared" si="2"/>
        <v>4268046.91</v>
      </c>
    </row>
    <row r="28" spans="1:15" x14ac:dyDescent="0.2">
      <c r="A28" s="782">
        <v>47</v>
      </c>
      <c r="B28" s="782">
        <v>1850</v>
      </c>
      <c r="C28" s="787" t="s">
        <v>388</v>
      </c>
      <c r="D28" s="204">
        <f>1453452.47+7392916.55</f>
        <v>8846369.0199999996</v>
      </c>
      <c r="E28" s="204">
        <f>153726.65+153093.14</f>
        <v>306819.79000000004</v>
      </c>
      <c r="F28" s="204"/>
      <c r="G28" s="8">
        <f t="shared" si="0"/>
        <v>9153188.8099999987</v>
      </c>
      <c r="H28" s="248"/>
      <c r="I28" s="206">
        <f>-212322.95-4352947.82</f>
        <v>-4565270.7700000005</v>
      </c>
      <c r="J28" s="204">
        <f>-64287.16-263849.02</f>
        <v>-328136.18000000005</v>
      </c>
      <c r="K28" s="204"/>
      <c r="L28" s="8">
        <f t="shared" si="1"/>
        <v>-4893406.95</v>
      </c>
      <c r="M28" s="784">
        <f t="shared" si="2"/>
        <v>4259781.8599999985</v>
      </c>
    </row>
    <row r="29" spans="1:15" x14ac:dyDescent="0.2">
      <c r="A29" s="782">
        <v>47</v>
      </c>
      <c r="B29" s="782">
        <v>1855</v>
      </c>
      <c r="C29" s="787" t="s">
        <v>310</v>
      </c>
      <c r="D29" s="204">
        <f>3981176.41+1029553.32</f>
        <v>5010729.7300000004</v>
      </c>
      <c r="E29" s="204">
        <f>116099.94+78010.91</f>
        <v>194110.85</v>
      </c>
      <c r="F29" s="204"/>
      <c r="G29" s="8">
        <f t="shared" si="0"/>
        <v>5204840.58</v>
      </c>
      <c r="H29" s="248"/>
      <c r="I29" s="206">
        <f>-1999173.67-142349.53</f>
        <v>-2141523.1999999997</v>
      </c>
      <c r="J29" s="204">
        <f>-149740.42-44302.57</f>
        <v>-194042.99000000002</v>
      </c>
      <c r="K29" s="204"/>
      <c r="L29" s="8">
        <f t="shared" si="1"/>
        <v>-2335566.19</v>
      </c>
      <c r="M29" s="784">
        <f t="shared" si="2"/>
        <v>2869274.39</v>
      </c>
    </row>
    <row r="30" spans="1:15" x14ac:dyDescent="0.2">
      <c r="A30" s="782">
        <v>47</v>
      </c>
      <c r="B30" s="782">
        <v>1860</v>
      </c>
      <c r="C30" s="787" t="s">
        <v>389</v>
      </c>
      <c r="D30" s="204">
        <f>2272023.44+83282.61+73618.78</f>
        <v>2428924.8299999996</v>
      </c>
      <c r="E30" s="204">
        <f>6483.8+6235.14</f>
        <v>12718.94</v>
      </c>
      <c r="F30" s="204"/>
      <c r="G30" s="8">
        <f t="shared" si="0"/>
        <v>2441643.7699999996</v>
      </c>
      <c r="H30" s="248"/>
      <c r="I30" s="206">
        <f>-1426919.38-8983.61-7873.81</f>
        <v>-1443776.8</v>
      </c>
      <c r="J30" s="204">
        <f>-68960.5-3580.71-2944.74</f>
        <v>-75485.950000000012</v>
      </c>
      <c r="K30" s="204"/>
      <c r="L30" s="8">
        <f t="shared" si="1"/>
        <v>-1519262.75</v>
      </c>
      <c r="M30" s="784">
        <f t="shared" si="2"/>
        <v>922381.01999999955</v>
      </c>
    </row>
    <row r="31" spans="1:15" x14ac:dyDescent="0.2">
      <c r="A31" s="785">
        <v>47</v>
      </c>
      <c r="B31" s="785">
        <v>1860</v>
      </c>
      <c r="C31" s="786" t="s">
        <v>311</v>
      </c>
      <c r="D31" s="204"/>
      <c r="E31" s="204"/>
      <c r="F31" s="204"/>
      <c r="G31" s="8">
        <f t="shared" si="0"/>
        <v>0</v>
      </c>
      <c r="H31" s="248"/>
      <c r="I31" s="206"/>
      <c r="J31" s="204"/>
      <c r="K31" s="204"/>
      <c r="L31" s="8">
        <f t="shared" si="1"/>
        <v>0</v>
      </c>
      <c r="M31" s="784">
        <f t="shared" si="2"/>
        <v>0</v>
      </c>
    </row>
    <row r="32" spans="1:15" x14ac:dyDescent="0.2">
      <c r="A32" s="785" t="s">
        <v>382</v>
      </c>
      <c r="B32" s="785">
        <v>1905</v>
      </c>
      <c r="C32" s="786" t="s">
        <v>383</v>
      </c>
      <c r="D32" s="204">
        <v>174187.53</v>
      </c>
      <c r="E32" s="204"/>
      <c r="F32" s="204"/>
      <c r="G32" s="8">
        <f t="shared" si="0"/>
        <v>174187.53</v>
      </c>
      <c r="H32" s="248"/>
      <c r="I32" s="206"/>
      <c r="J32" s="204"/>
      <c r="K32" s="204"/>
      <c r="L32" s="8">
        <f t="shared" si="1"/>
        <v>0</v>
      </c>
      <c r="M32" s="784">
        <f t="shared" si="2"/>
        <v>174187.53</v>
      </c>
    </row>
    <row r="33" spans="1:13" x14ac:dyDescent="0.2">
      <c r="A33" s="782">
        <v>47</v>
      </c>
      <c r="B33" s="782">
        <v>1908</v>
      </c>
      <c r="C33" s="787" t="s">
        <v>391</v>
      </c>
      <c r="D33" s="204">
        <v>2385249.7799999998</v>
      </c>
      <c r="E33" s="204"/>
      <c r="F33" s="204"/>
      <c r="G33" s="8">
        <f t="shared" si="0"/>
        <v>2385249.7799999998</v>
      </c>
      <c r="H33" s="248"/>
      <c r="I33" s="206">
        <v>-850574.08</v>
      </c>
      <c r="J33" s="204">
        <v>-49632.81</v>
      </c>
      <c r="K33" s="204"/>
      <c r="L33" s="8">
        <f t="shared" si="1"/>
        <v>-900206.8899999999</v>
      </c>
      <c r="M33" s="784">
        <f t="shared" si="2"/>
        <v>1485042.89</v>
      </c>
    </row>
    <row r="34" spans="1:13" x14ac:dyDescent="0.2">
      <c r="A34" s="782">
        <v>13</v>
      </c>
      <c r="B34" s="782">
        <v>1910</v>
      </c>
      <c r="C34" s="787" t="s">
        <v>417</v>
      </c>
      <c r="D34" s="204"/>
      <c r="E34" s="204"/>
      <c r="F34" s="204"/>
      <c r="G34" s="8">
        <f t="shared" si="0"/>
        <v>0</v>
      </c>
      <c r="H34" s="248"/>
      <c r="I34" s="206"/>
      <c r="J34" s="204"/>
      <c r="K34" s="204"/>
      <c r="L34" s="8">
        <f t="shared" si="1"/>
        <v>0</v>
      </c>
      <c r="M34" s="784">
        <f t="shared" si="2"/>
        <v>0</v>
      </c>
    </row>
    <row r="35" spans="1:13" x14ac:dyDescent="0.2">
      <c r="A35" s="782">
        <v>8</v>
      </c>
      <c r="B35" s="782">
        <v>1915</v>
      </c>
      <c r="C35" s="787" t="s">
        <v>312</v>
      </c>
      <c r="D35" s="204"/>
      <c r="E35" s="204"/>
      <c r="F35" s="204"/>
      <c r="G35" s="8">
        <f t="shared" si="0"/>
        <v>0</v>
      </c>
      <c r="H35" s="248"/>
      <c r="I35" s="206"/>
      <c r="J35" s="204"/>
      <c r="K35" s="204"/>
      <c r="L35" s="8">
        <f t="shared" si="1"/>
        <v>0</v>
      </c>
      <c r="M35" s="784">
        <f t="shared" si="2"/>
        <v>0</v>
      </c>
    </row>
    <row r="36" spans="1:13" x14ac:dyDescent="0.2">
      <c r="A36" s="782">
        <v>8</v>
      </c>
      <c r="B36" s="782">
        <v>1915</v>
      </c>
      <c r="C36" s="787" t="s">
        <v>313</v>
      </c>
      <c r="D36" s="204"/>
      <c r="E36" s="204"/>
      <c r="F36" s="204"/>
      <c r="G36" s="8">
        <f t="shared" si="0"/>
        <v>0</v>
      </c>
      <c r="H36" s="248"/>
      <c r="I36" s="206"/>
      <c r="J36" s="204"/>
      <c r="K36" s="204"/>
      <c r="L36" s="8">
        <f t="shared" si="1"/>
        <v>0</v>
      </c>
      <c r="M36" s="784">
        <f t="shared" si="2"/>
        <v>0</v>
      </c>
    </row>
    <row r="37" spans="1:13" x14ac:dyDescent="0.2">
      <c r="A37" s="782">
        <v>10</v>
      </c>
      <c r="B37" s="782">
        <v>1920</v>
      </c>
      <c r="C37" s="787" t="s">
        <v>314</v>
      </c>
      <c r="D37" s="204"/>
      <c r="E37" s="204"/>
      <c r="F37" s="204"/>
      <c r="G37" s="8">
        <f t="shared" si="0"/>
        <v>0</v>
      </c>
      <c r="H37" s="248"/>
      <c r="I37" s="206"/>
      <c r="J37" s="204"/>
      <c r="K37" s="204"/>
      <c r="L37" s="8">
        <f t="shared" si="1"/>
        <v>0</v>
      </c>
      <c r="M37" s="784">
        <f t="shared" si="2"/>
        <v>0</v>
      </c>
    </row>
    <row r="38" spans="1:13" ht="25.5" x14ac:dyDescent="0.2">
      <c r="A38" s="782">
        <v>45</v>
      </c>
      <c r="B38" s="788">
        <v>1920</v>
      </c>
      <c r="C38" s="783" t="s">
        <v>316</v>
      </c>
      <c r="D38" s="204"/>
      <c r="E38" s="204"/>
      <c r="F38" s="204"/>
      <c r="G38" s="8">
        <f t="shared" si="0"/>
        <v>0</v>
      </c>
      <c r="H38" s="248"/>
      <c r="I38" s="206"/>
      <c r="J38" s="204"/>
      <c r="K38" s="204"/>
      <c r="L38" s="8">
        <f t="shared" si="1"/>
        <v>0</v>
      </c>
      <c r="M38" s="784">
        <f t="shared" si="2"/>
        <v>0</v>
      </c>
    </row>
    <row r="39" spans="1:13" ht="25.5" x14ac:dyDescent="0.2">
      <c r="A39" s="782">
        <v>45.1</v>
      </c>
      <c r="B39" s="788">
        <v>1920</v>
      </c>
      <c r="C39" s="783" t="s">
        <v>315</v>
      </c>
      <c r="D39" s="204"/>
      <c r="E39" s="204"/>
      <c r="F39" s="204"/>
      <c r="G39" s="8">
        <f t="shared" si="0"/>
        <v>0</v>
      </c>
      <c r="H39" s="248"/>
      <c r="I39" s="206"/>
      <c r="J39" s="204"/>
      <c r="K39" s="204"/>
      <c r="L39" s="8">
        <f t="shared" si="1"/>
        <v>0</v>
      </c>
      <c r="M39" s="784">
        <f t="shared" si="2"/>
        <v>0</v>
      </c>
    </row>
    <row r="40" spans="1:13" x14ac:dyDescent="0.2">
      <c r="A40" s="782">
        <v>10</v>
      </c>
      <c r="B40" s="782">
        <v>1930</v>
      </c>
      <c r="C40" s="787" t="s">
        <v>404</v>
      </c>
      <c r="D40" s="204"/>
      <c r="E40" s="204"/>
      <c r="F40" s="204"/>
      <c r="G40" s="8">
        <f t="shared" si="0"/>
        <v>0</v>
      </c>
      <c r="H40" s="248"/>
      <c r="I40" s="206"/>
      <c r="J40" s="204"/>
      <c r="K40" s="204"/>
      <c r="L40" s="8">
        <f t="shared" si="1"/>
        <v>0</v>
      </c>
      <c r="M40" s="784">
        <f t="shared" si="2"/>
        <v>0</v>
      </c>
    </row>
    <row r="41" spans="1:13" x14ac:dyDescent="0.2">
      <c r="A41" s="782">
        <v>8</v>
      </c>
      <c r="B41" s="782">
        <v>1935</v>
      </c>
      <c r="C41" s="787" t="s">
        <v>405</v>
      </c>
      <c r="D41" s="204"/>
      <c r="E41" s="204"/>
      <c r="F41" s="204"/>
      <c r="G41" s="8">
        <f t="shared" si="0"/>
        <v>0</v>
      </c>
      <c r="H41" s="248"/>
      <c r="I41" s="206"/>
      <c r="J41" s="204"/>
      <c r="K41" s="204"/>
      <c r="L41" s="8">
        <f t="shared" si="1"/>
        <v>0</v>
      </c>
      <c r="M41" s="784">
        <f t="shared" si="2"/>
        <v>0</v>
      </c>
    </row>
    <row r="42" spans="1:13" x14ac:dyDescent="0.2">
      <c r="A42" s="782">
        <v>8</v>
      </c>
      <c r="B42" s="782">
        <v>1940</v>
      </c>
      <c r="C42" s="787" t="s">
        <v>406</v>
      </c>
      <c r="D42" s="204"/>
      <c r="E42" s="204"/>
      <c r="F42" s="204"/>
      <c r="G42" s="8">
        <f t="shared" si="0"/>
        <v>0</v>
      </c>
      <c r="H42" s="248"/>
      <c r="I42" s="206"/>
      <c r="J42" s="204"/>
      <c r="K42" s="204"/>
      <c r="L42" s="8">
        <f t="shared" si="1"/>
        <v>0</v>
      </c>
      <c r="M42" s="784">
        <f t="shared" si="2"/>
        <v>0</v>
      </c>
    </row>
    <row r="43" spans="1:13" x14ac:dyDescent="0.2">
      <c r="A43" s="782">
        <v>8</v>
      </c>
      <c r="B43" s="782">
        <v>1945</v>
      </c>
      <c r="C43" s="787" t="s">
        <v>407</v>
      </c>
      <c r="D43" s="204"/>
      <c r="E43" s="204"/>
      <c r="F43" s="204"/>
      <c r="G43" s="8">
        <f t="shared" si="0"/>
        <v>0</v>
      </c>
      <c r="H43" s="248"/>
      <c r="I43" s="206"/>
      <c r="J43" s="204"/>
      <c r="K43" s="204"/>
      <c r="L43" s="8">
        <f t="shared" si="1"/>
        <v>0</v>
      </c>
      <c r="M43" s="784">
        <f t="shared" si="2"/>
        <v>0</v>
      </c>
    </row>
    <row r="44" spans="1:13" x14ac:dyDescent="0.2">
      <c r="A44" s="782">
        <v>8</v>
      </c>
      <c r="B44" s="782">
        <v>1950</v>
      </c>
      <c r="C44" s="787" t="s">
        <v>317</v>
      </c>
      <c r="D44" s="204"/>
      <c r="E44" s="204"/>
      <c r="F44" s="204"/>
      <c r="G44" s="8">
        <f t="shared" si="0"/>
        <v>0</v>
      </c>
      <c r="H44" s="248"/>
      <c r="I44" s="207"/>
      <c r="J44" s="204"/>
      <c r="K44" s="204"/>
      <c r="L44" s="8">
        <f t="shared" si="1"/>
        <v>0</v>
      </c>
      <c r="M44" s="784">
        <f t="shared" si="2"/>
        <v>0</v>
      </c>
    </row>
    <row r="45" spans="1:13" x14ac:dyDescent="0.2">
      <c r="A45" s="782">
        <v>8</v>
      </c>
      <c r="B45" s="782">
        <v>1955</v>
      </c>
      <c r="C45" s="787" t="s">
        <v>408</v>
      </c>
      <c r="D45" s="204"/>
      <c r="E45" s="204"/>
      <c r="F45" s="204"/>
      <c r="G45" s="8">
        <f t="shared" si="0"/>
        <v>0</v>
      </c>
      <c r="H45" s="248"/>
      <c r="I45" s="206"/>
      <c r="J45" s="204"/>
      <c r="K45" s="204"/>
      <c r="L45" s="8">
        <f t="shared" si="1"/>
        <v>0</v>
      </c>
      <c r="M45" s="784">
        <f t="shared" si="2"/>
        <v>0</v>
      </c>
    </row>
    <row r="46" spans="1:13" x14ac:dyDescent="0.2">
      <c r="A46" s="789">
        <v>8</v>
      </c>
      <c r="B46" s="789">
        <v>1955</v>
      </c>
      <c r="C46" s="790" t="s">
        <v>318</v>
      </c>
      <c r="D46" s="204"/>
      <c r="E46" s="204"/>
      <c r="F46" s="204"/>
      <c r="G46" s="8">
        <f t="shared" si="0"/>
        <v>0</v>
      </c>
      <c r="H46" s="248"/>
      <c r="I46" s="206"/>
      <c r="J46" s="204"/>
      <c r="K46" s="204"/>
      <c r="L46" s="8">
        <f t="shared" si="1"/>
        <v>0</v>
      </c>
      <c r="M46" s="784">
        <f t="shared" si="2"/>
        <v>0</v>
      </c>
    </row>
    <row r="47" spans="1:13" x14ac:dyDescent="0.2">
      <c r="A47" s="788">
        <v>8</v>
      </c>
      <c r="B47" s="788">
        <v>1960</v>
      </c>
      <c r="C47" s="783" t="s">
        <v>319</v>
      </c>
      <c r="D47" s="204"/>
      <c r="E47" s="204"/>
      <c r="F47" s="204"/>
      <c r="G47" s="8">
        <f t="shared" si="0"/>
        <v>0</v>
      </c>
      <c r="H47" s="248"/>
      <c r="I47" s="206"/>
      <c r="J47" s="204"/>
      <c r="K47" s="204"/>
      <c r="L47" s="8">
        <f t="shared" si="1"/>
        <v>0</v>
      </c>
      <c r="M47" s="784">
        <f t="shared" si="2"/>
        <v>0</v>
      </c>
    </row>
    <row r="48" spans="1:13" ht="25.5" x14ac:dyDescent="0.2">
      <c r="A48" s="950">
        <v>47</v>
      </c>
      <c r="B48" s="788">
        <v>1970</v>
      </c>
      <c r="C48" s="787" t="s">
        <v>773</v>
      </c>
      <c r="D48" s="204"/>
      <c r="E48" s="204"/>
      <c r="F48" s="204"/>
      <c r="G48" s="8">
        <f t="shared" si="0"/>
        <v>0</v>
      </c>
      <c r="H48" s="248"/>
      <c r="I48" s="206"/>
      <c r="J48" s="204"/>
      <c r="K48" s="204"/>
      <c r="L48" s="8">
        <f t="shared" si="1"/>
        <v>0</v>
      </c>
      <c r="M48" s="784">
        <f t="shared" si="2"/>
        <v>0</v>
      </c>
    </row>
    <row r="49" spans="1:13" ht="25.5" x14ac:dyDescent="0.2">
      <c r="A49" s="782">
        <v>47</v>
      </c>
      <c r="B49" s="782">
        <v>1975</v>
      </c>
      <c r="C49" s="787" t="s">
        <v>409</v>
      </c>
      <c r="D49" s="204"/>
      <c r="E49" s="204"/>
      <c r="F49" s="204"/>
      <c r="G49" s="8">
        <f t="shared" si="0"/>
        <v>0</v>
      </c>
      <c r="H49" s="248"/>
      <c r="I49" s="206"/>
      <c r="J49" s="204"/>
      <c r="K49" s="204"/>
      <c r="L49" s="8">
        <f t="shared" si="1"/>
        <v>0</v>
      </c>
      <c r="M49" s="784">
        <f t="shared" si="2"/>
        <v>0</v>
      </c>
    </row>
    <row r="50" spans="1:13" x14ac:dyDescent="0.2">
      <c r="A50" s="782">
        <v>47</v>
      </c>
      <c r="B50" s="782">
        <v>1980</v>
      </c>
      <c r="C50" s="787" t="s">
        <v>410</v>
      </c>
      <c r="D50" s="204">
        <v>43592.36</v>
      </c>
      <c r="E50" s="204"/>
      <c r="F50" s="204"/>
      <c r="G50" s="8">
        <f t="shared" si="0"/>
        <v>43592.36</v>
      </c>
      <c r="H50" s="248"/>
      <c r="I50" s="206">
        <v>-28778.48</v>
      </c>
      <c r="J50" s="204">
        <v>-2906.13</v>
      </c>
      <c r="K50" s="204"/>
      <c r="L50" s="8">
        <f t="shared" si="1"/>
        <v>-31684.61</v>
      </c>
      <c r="M50" s="784">
        <f t="shared" si="2"/>
        <v>11907.75</v>
      </c>
    </row>
    <row r="51" spans="1:13" x14ac:dyDescent="0.2">
      <c r="A51" s="782">
        <v>47</v>
      </c>
      <c r="B51" s="782">
        <v>1985</v>
      </c>
      <c r="C51" s="787" t="s">
        <v>411</v>
      </c>
      <c r="D51" s="204"/>
      <c r="E51" s="204"/>
      <c r="F51" s="204"/>
      <c r="G51" s="8">
        <f t="shared" si="0"/>
        <v>0</v>
      </c>
      <c r="H51" s="248"/>
      <c r="I51" s="206"/>
      <c r="J51" s="204"/>
      <c r="K51" s="204"/>
      <c r="L51" s="8">
        <f t="shared" si="1"/>
        <v>0</v>
      </c>
      <c r="M51" s="784">
        <f t="shared" si="2"/>
        <v>0</v>
      </c>
    </row>
    <row r="52" spans="1:13" x14ac:dyDescent="0.2">
      <c r="A52" s="950">
        <v>47</v>
      </c>
      <c r="B52" s="782">
        <v>1990</v>
      </c>
      <c r="C52" s="791" t="s">
        <v>774</v>
      </c>
      <c r="D52" s="204"/>
      <c r="E52" s="204"/>
      <c r="F52" s="204"/>
      <c r="G52" s="8">
        <f t="shared" si="0"/>
        <v>0</v>
      </c>
      <c r="H52" s="248"/>
      <c r="I52" s="206"/>
      <c r="J52" s="204"/>
      <c r="K52" s="204"/>
      <c r="L52" s="8">
        <f t="shared" si="1"/>
        <v>0</v>
      </c>
      <c r="M52" s="784">
        <f t="shared" si="2"/>
        <v>0</v>
      </c>
    </row>
    <row r="53" spans="1:13" x14ac:dyDescent="0.2">
      <c r="A53" s="782">
        <v>47</v>
      </c>
      <c r="B53" s="782">
        <v>1995</v>
      </c>
      <c r="C53" s="787" t="s">
        <v>412</v>
      </c>
      <c r="D53" s="204">
        <v>-6911138.6699999999</v>
      </c>
      <c r="E53" s="204">
        <v>-266363.18</v>
      </c>
      <c r="F53" s="204"/>
      <c r="G53" s="8">
        <f t="shared" si="0"/>
        <v>-7177501.8499999996</v>
      </c>
      <c r="H53" s="248"/>
      <c r="I53" s="206">
        <v>1688377.41</v>
      </c>
      <c r="J53" s="204">
        <v>287320.17</v>
      </c>
      <c r="K53" s="204"/>
      <c r="L53" s="8">
        <f t="shared" si="1"/>
        <v>1975697.5799999998</v>
      </c>
      <c r="M53" s="784">
        <f t="shared" si="2"/>
        <v>-5201804.2699999996</v>
      </c>
    </row>
    <row r="54" spans="1:13" x14ac:dyDescent="0.2">
      <c r="A54" s="792"/>
      <c r="B54" s="792" t="s">
        <v>13</v>
      </c>
      <c r="C54" s="793"/>
      <c r="D54" s="204"/>
      <c r="E54" s="204"/>
      <c r="F54" s="204"/>
      <c r="G54" s="8">
        <f t="shared" si="0"/>
        <v>0</v>
      </c>
      <c r="I54" s="204"/>
      <c r="J54" s="204"/>
      <c r="K54" s="204"/>
      <c r="L54" s="8">
        <f t="shared" si="1"/>
        <v>0</v>
      </c>
      <c r="M54" s="784">
        <f t="shared" si="2"/>
        <v>0</v>
      </c>
    </row>
    <row r="55" spans="1:13" x14ac:dyDescent="0.2">
      <c r="A55" s="792"/>
      <c r="B55" s="792"/>
      <c r="C55" s="793"/>
      <c r="D55" s="794"/>
      <c r="E55" s="794"/>
      <c r="F55" s="794"/>
      <c r="G55" s="8">
        <f t="shared" si="0"/>
        <v>0</v>
      </c>
      <c r="I55" s="794"/>
      <c r="J55" s="794"/>
      <c r="K55" s="794"/>
      <c r="L55" s="8">
        <f t="shared" si="1"/>
        <v>0</v>
      </c>
      <c r="M55" s="784">
        <f t="shared" si="2"/>
        <v>0</v>
      </c>
    </row>
    <row r="56" spans="1:13" x14ac:dyDescent="0.2">
      <c r="A56" s="792"/>
      <c r="B56" s="792"/>
      <c r="C56" s="795" t="s">
        <v>284</v>
      </c>
      <c r="D56" s="796">
        <f>SUM(D16:D55)</f>
        <v>39362297.650000006</v>
      </c>
      <c r="E56" s="796">
        <f t="shared" ref="E56:G56" si="3">SUM(E16:E55)</f>
        <v>1615390.9700000002</v>
      </c>
      <c r="F56" s="796">
        <f t="shared" si="3"/>
        <v>0</v>
      </c>
      <c r="G56" s="796">
        <f t="shared" si="3"/>
        <v>40977688.619999997</v>
      </c>
      <c r="H56" s="796"/>
      <c r="I56" s="796">
        <f>SUM(I16:I55)</f>
        <v>-20614916.039999999</v>
      </c>
      <c r="J56" s="796">
        <f t="shared" ref="J56:M56" si="4">SUM(J16:J55)</f>
        <v>-1386336.21</v>
      </c>
      <c r="K56" s="796">
        <f t="shared" si="4"/>
        <v>0</v>
      </c>
      <c r="L56" s="796">
        <f t="shared" si="4"/>
        <v>-22001252.25</v>
      </c>
      <c r="M56" s="796">
        <f t="shared" si="4"/>
        <v>18976436.370000001</v>
      </c>
    </row>
    <row r="57" spans="1:13" ht="37.5" x14ac:dyDescent="0.2">
      <c r="A57" s="792"/>
      <c r="B57" s="792"/>
      <c r="C57" s="930" t="s">
        <v>1010</v>
      </c>
      <c r="D57" s="794"/>
      <c r="E57" s="794"/>
      <c r="F57" s="794"/>
      <c r="G57" s="8">
        <f t="shared" ref="G57" si="5">D57+E57+F57</f>
        <v>0</v>
      </c>
      <c r="I57" s="794"/>
      <c r="J57" s="794"/>
      <c r="K57" s="794"/>
      <c r="L57" s="8">
        <f t="shared" ref="L57:L58" si="6">I57+J57+K57</f>
        <v>0</v>
      </c>
      <c r="M57" s="784">
        <f t="shared" ref="M57" si="7">G57+L57</f>
        <v>0</v>
      </c>
    </row>
    <row r="58" spans="1:13" ht="25.5" x14ac:dyDescent="0.2">
      <c r="A58" s="792"/>
      <c r="B58" s="792"/>
      <c r="C58" s="918" t="s">
        <v>1009</v>
      </c>
      <c r="D58" s="794"/>
      <c r="E58" s="794"/>
      <c r="F58" s="794"/>
      <c r="G58" s="8">
        <f t="shared" si="0"/>
        <v>0</v>
      </c>
      <c r="I58" s="794"/>
      <c r="J58" s="794"/>
      <c r="K58" s="794"/>
      <c r="L58" s="8">
        <f t="shared" si="6"/>
        <v>0</v>
      </c>
      <c r="M58" s="784">
        <f t="shared" si="2"/>
        <v>0</v>
      </c>
    </row>
    <row r="59" spans="1:13" x14ac:dyDescent="0.2">
      <c r="A59" s="792"/>
      <c r="B59" s="792"/>
      <c r="C59" s="795" t="s">
        <v>775</v>
      </c>
      <c r="D59" s="796">
        <f>SUM(D56:D58)</f>
        <v>39362297.650000006</v>
      </c>
      <c r="E59" s="796">
        <f t="shared" ref="E59:G59" si="8">SUM(E56:E58)</f>
        <v>1615390.9700000002</v>
      </c>
      <c r="F59" s="796">
        <f t="shared" si="8"/>
        <v>0</v>
      </c>
      <c r="G59" s="796">
        <f t="shared" si="8"/>
        <v>40977688.619999997</v>
      </c>
      <c r="H59" s="796"/>
      <c r="I59" s="796">
        <f t="shared" ref="I59:M59" si="9">SUM(I56:I58)</f>
        <v>-20614916.039999999</v>
      </c>
      <c r="J59" s="796">
        <f t="shared" si="9"/>
        <v>-1386336.21</v>
      </c>
      <c r="K59" s="796">
        <f t="shared" si="9"/>
        <v>0</v>
      </c>
      <c r="L59" s="796">
        <f t="shared" si="9"/>
        <v>-22001252.25</v>
      </c>
      <c r="M59" s="796">
        <f t="shared" si="9"/>
        <v>18976436.370000001</v>
      </c>
    </row>
    <row r="60" spans="1:13" x14ac:dyDescent="0.2">
      <c r="A60" s="792"/>
      <c r="B60" s="792"/>
      <c r="C60" s="1791" t="s">
        <v>1840</v>
      </c>
      <c r="D60" s="1792"/>
      <c r="E60" s="1792"/>
      <c r="F60" s="1792"/>
      <c r="G60" s="1792"/>
      <c r="H60" s="1792"/>
      <c r="I60" s="1793"/>
      <c r="J60" s="794"/>
      <c r="K60" s="804"/>
      <c r="L60" s="805"/>
      <c r="M60" s="806"/>
    </row>
    <row r="61" spans="1:13" x14ac:dyDescent="0.2">
      <c r="A61" s="792"/>
      <c r="B61" s="792"/>
      <c r="C61" s="1791" t="s">
        <v>413</v>
      </c>
      <c r="D61" s="1792"/>
      <c r="E61" s="1792"/>
      <c r="F61" s="1792"/>
      <c r="G61" s="1792"/>
      <c r="H61" s="1792"/>
      <c r="I61" s="1793"/>
      <c r="J61" s="796">
        <f>J59+J60</f>
        <v>-1386336.21</v>
      </c>
      <c r="K61" s="804"/>
      <c r="L61" s="805"/>
      <c r="M61" s="806"/>
    </row>
    <row r="63" spans="1:13" x14ac:dyDescent="0.2">
      <c r="I63" s="318" t="s">
        <v>604</v>
      </c>
      <c r="J63" s="951"/>
    </row>
    <row r="64" spans="1:13" x14ac:dyDescent="0.2">
      <c r="A64" s="792">
        <v>10</v>
      </c>
      <c r="B64" s="792"/>
      <c r="C64" s="793" t="s">
        <v>414</v>
      </c>
      <c r="I64" s="951" t="s">
        <v>414</v>
      </c>
      <c r="J64" s="951"/>
      <c r="K64" s="213"/>
    </row>
    <row r="65" spans="1:14" x14ac:dyDescent="0.2">
      <c r="A65" s="792">
        <v>8</v>
      </c>
      <c r="B65" s="792"/>
      <c r="C65" s="793" t="s">
        <v>405</v>
      </c>
      <c r="I65" s="951" t="s">
        <v>405</v>
      </c>
      <c r="J65" s="951"/>
      <c r="K65" s="211"/>
    </row>
    <row r="66" spans="1:14" x14ac:dyDescent="0.2">
      <c r="I66" s="797" t="s">
        <v>415</v>
      </c>
      <c r="K66" s="10">
        <f>J61-K64-K65</f>
        <v>-1386336.21</v>
      </c>
    </row>
    <row r="67" spans="1:14" x14ac:dyDescent="0.2">
      <c r="N67" s="807"/>
    </row>
    <row r="68" spans="1:14" x14ac:dyDescent="0.2">
      <c r="A68" s="798" t="s">
        <v>15</v>
      </c>
      <c r="N68" s="807"/>
    </row>
    <row r="70" spans="1:14" x14ac:dyDescent="0.2">
      <c r="A70" s="950">
        <v>1</v>
      </c>
      <c r="B70" s="1789" t="s">
        <v>277</v>
      </c>
      <c r="C70" s="1789"/>
      <c r="D70" s="1789"/>
      <c r="E70" s="1789"/>
      <c r="F70" s="1789"/>
      <c r="G70" s="1789"/>
      <c r="H70" s="1789"/>
      <c r="I70" s="1789"/>
      <c r="J70" s="1789"/>
      <c r="K70" s="1789"/>
      <c r="L70" s="1789"/>
      <c r="M70" s="1789"/>
    </row>
    <row r="71" spans="1:14" x14ac:dyDescent="0.2">
      <c r="B71" s="1789"/>
      <c r="C71" s="1789"/>
      <c r="D71" s="1789"/>
      <c r="E71" s="1789"/>
      <c r="F71" s="1789"/>
      <c r="G71" s="1789"/>
      <c r="H71" s="1789"/>
      <c r="I71" s="1789"/>
      <c r="J71" s="1789"/>
      <c r="K71" s="1789"/>
      <c r="L71" s="1789"/>
      <c r="M71" s="1789"/>
    </row>
    <row r="72" spans="1:14" ht="12.75" customHeight="1" x14ac:dyDescent="0.2"/>
    <row r="73" spans="1:14" x14ac:dyDescent="0.2">
      <c r="A73" s="950">
        <v>2</v>
      </c>
      <c r="B73" s="1790" t="s">
        <v>96</v>
      </c>
      <c r="C73" s="1790"/>
      <c r="D73" s="1790"/>
      <c r="E73" s="1790"/>
      <c r="F73" s="1790"/>
      <c r="G73" s="1790"/>
      <c r="H73" s="1790"/>
      <c r="I73" s="1790"/>
      <c r="J73" s="1790"/>
      <c r="K73" s="1790"/>
      <c r="L73" s="1790"/>
      <c r="M73" s="1790"/>
    </row>
    <row r="74" spans="1:14" x14ac:dyDescent="0.2">
      <c r="B74" s="1790"/>
      <c r="C74" s="1790"/>
      <c r="D74" s="1790"/>
      <c r="E74" s="1790"/>
      <c r="F74" s="1790"/>
      <c r="G74" s="1790"/>
      <c r="H74" s="1790"/>
      <c r="I74" s="1790"/>
      <c r="J74" s="1790"/>
      <c r="K74" s="1790"/>
      <c r="L74" s="1790"/>
      <c r="M74" s="1790"/>
    </row>
    <row r="76" spans="1:14" x14ac:dyDescent="0.2">
      <c r="A76" s="950">
        <v>3</v>
      </c>
      <c r="B76" s="1784" t="s">
        <v>287</v>
      </c>
      <c r="C76" s="1784"/>
      <c r="D76" s="1784"/>
      <c r="E76" s="1784"/>
      <c r="F76" s="1784"/>
      <c r="G76" s="1784"/>
      <c r="H76" s="1784"/>
      <c r="I76" s="1784"/>
      <c r="J76" s="1784"/>
      <c r="K76" s="1784"/>
      <c r="L76" s="1784"/>
      <c r="M76" s="1784"/>
    </row>
    <row r="78" spans="1:14" x14ac:dyDescent="0.2">
      <c r="A78" s="950">
        <v>4</v>
      </c>
      <c r="B78" s="800" t="s">
        <v>723</v>
      </c>
      <c r="C78" s="236"/>
    </row>
  </sheetData>
  <mergeCells count="8">
    <mergeCell ref="B73:M74"/>
    <mergeCell ref="B76:M76"/>
    <mergeCell ref="A9:M9"/>
    <mergeCell ref="A10:M10"/>
    <mergeCell ref="D14:G14"/>
    <mergeCell ref="C60:I60"/>
    <mergeCell ref="C61:I61"/>
    <mergeCell ref="B70:M71"/>
  </mergeCells>
  <printOptions horizontalCentered="1"/>
  <pageMargins left="0.74803149606299213" right="0.74803149606299213" top="0.74803149606299213" bottom="0.70866141732283472" header="0.51181102362204722" footer="0.51181102362204722"/>
  <pageSetup scale="5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R112"/>
  <sheetViews>
    <sheetView showGridLines="0" topLeftCell="A15" zoomScaleNormal="100" workbookViewId="0">
      <selection activeCell="K46" sqref="K46"/>
    </sheetView>
  </sheetViews>
  <sheetFormatPr defaultRowHeight="12.75" x14ac:dyDescent="0.2"/>
  <cols>
    <col min="1" max="1" width="2.42578125" customWidth="1"/>
    <col min="4" max="4" width="34" bestFit="1" customWidth="1"/>
    <col min="5" max="5" width="19.7109375" customWidth="1"/>
    <col min="6" max="6" width="11.85546875" customWidth="1"/>
    <col min="10" max="10" width="1.85546875" customWidth="1"/>
    <col min="11" max="11" width="15" customWidth="1"/>
    <col min="12" max="12" width="42" bestFit="1" customWidth="1"/>
  </cols>
  <sheetData>
    <row r="1" spans="2:16" s="216" customFormat="1" x14ac:dyDescent="0.2">
      <c r="B1" s="1284"/>
      <c r="C1" s="1284"/>
      <c r="D1" s="1284"/>
      <c r="N1" s="217" t="s">
        <v>419</v>
      </c>
      <c r="P1" s="208" t="str">
        <f>EBNUMBER</f>
        <v>EB-2014-0113</v>
      </c>
    </row>
    <row r="2" spans="2:16" s="216" customFormat="1" x14ac:dyDescent="0.2">
      <c r="B2" s="1284"/>
      <c r="C2" s="1284"/>
      <c r="D2" s="1284"/>
      <c r="N2" s="217" t="s">
        <v>420</v>
      </c>
      <c r="P2" s="767">
        <v>2</v>
      </c>
    </row>
    <row r="3" spans="2:16" s="216" customFormat="1" x14ac:dyDescent="0.2">
      <c r="B3" s="1284"/>
      <c r="C3" s="1284"/>
      <c r="D3" s="1284"/>
      <c r="N3" s="217" t="s">
        <v>421</v>
      </c>
      <c r="P3" s="767">
        <v>2</v>
      </c>
    </row>
    <row r="4" spans="2:16" s="216" customFormat="1" x14ac:dyDescent="0.2">
      <c r="B4" s="1284"/>
      <c r="C4" s="1284"/>
      <c r="D4" s="1284"/>
      <c r="N4" s="217" t="s">
        <v>422</v>
      </c>
      <c r="P4" s="767">
        <v>2</v>
      </c>
    </row>
    <row r="5" spans="2:16" s="216" customFormat="1" x14ac:dyDescent="0.2">
      <c r="B5" s="1284"/>
      <c r="C5" s="1284"/>
      <c r="D5" s="1284"/>
      <c r="N5" s="217" t="s">
        <v>423</v>
      </c>
      <c r="P5" s="1309"/>
    </row>
    <row r="6" spans="2:16" s="216" customFormat="1" ht="9" customHeight="1" x14ac:dyDescent="0.2">
      <c r="B6" s="1284"/>
      <c r="C6" s="1284"/>
      <c r="D6" s="1284"/>
      <c r="N6" s="217"/>
      <c r="P6" s="1308"/>
    </row>
    <row r="7" spans="2:16" s="216" customFormat="1" x14ac:dyDescent="0.2">
      <c r="B7" s="1284"/>
      <c r="C7" s="1284"/>
      <c r="D7" s="1284"/>
      <c r="N7" s="217" t="s">
        <v>424</v>
      </c>
      <c r="P7" s="1467">
        <v>42119</v>
      </c>
    </row>
    <row r="8" spans="2:16" s="216" customFormat="1" ht="9" customHeight="1" x14ac:dyDescent="0.2">
      <c r="B8" s="1284"/>
      <c r="C8" s="1284"/>
      <c r="D8" s="1284"/>
      <c r="J8" s="252"/>
    </row>
    <row r="9" spans="2:16" s="216" customFormat="1" ht="20.25" customHeight="1" x14ac:dyDescent="0.2">
      <c r="B9" s="1810" t="s">
        <v>776</v>
      </c>
      <c r="C9" s="1810"/>
      <c r="D9" s="1810"/>
      <c r="E9" s="1810"/>
      <c r="F9" s="1810"/>
      <c r="G9" s="1810"/>
      <c r="H9" s="1810"/>
      <c r="I9" s="1810"/>
      <c r="J9" s="1404"/>
      <c r="K9" s="1404"/>
      <c r="L9" s="802"/>
      <c r="M9" s="802"/>
      <c r="N9" s="802"/>
      <c r="O9" s="802"/>
    </row>
    <row r="10" spans="2:16" s="216" customFormat="1" ht="18" customHeight="1" x14ac:dyDescent="0.2">
      <c r="B10" s="1809" t="s">
        <v>777</v>
      </c>
      <c r="C10" s="1809"/>
      <c r="D10" s="1809"/>
      <c r="E10" s="1809"/>
      <c r="F10" s="1809"/>
      <c r="G10" s="1809"/>
      <c r="H10" s="1809"/>
      <c r="I10" s="1809"/>
      <c r="J10" s="1403"/>
      <c r="K10" s="1403"/>
      <c r="L10" s="802"/>
      <c r="M10" s="802"/>
      <c r="N10" s="802"/>
      <c r="O10" s="802"/>
    </row>
    <row r="11" spans="2:16" s="216" customFormat="1" ht="18" customHeight="1" x14ac:dyDescent="0.2">
      <c r="B11" s="1811" t="s">
        <v>1927</v>
      </c>
      <c r="C11" s="1811"/>
      <c r="D11" s="1811"/>
      <c r="E11" s="1811"/>
      <c r="F11" s="1811"/>
      <c r="G11" s="1811"/>
      <c r="H11" s="1811"/>
      <c r="I11" s="1811"/>
      <c r="J11" s="1283"/>
      <c r="K11" s="1403"/>
      <c r="L11" s="802"/>
      <c r="M11" s="802"/>
      <c r="N11" s="802"/>
      <c r="O11" s="802"/>
    </row>
    <row r="12" spans="2:16" s="216" customFormat="1" ht="18" customHeight="1" x14ac:dyDescent="0.2">
      <c r="B12" s="1406"/>
      <c r="C12" s="1406"/>
      <c r="D12" s="1406"/>
      <c r="E12" s="1406"/>
      <c r="F12" s="1406"/>
      <c r="G12" s="1406"/>
      <c r="H12" s="1406"/>
      <c r="I12" s="1406"/>
      <c r="J12" s="1283"/>
      <c r="K12" s="1403"/>
      <c r="L12" s="802"/>
      <c r="M12" s="802"/>
      <c r="N12" s="802"/>
      <c r="O12" s="802"/>
    </row>
    <row r="13" spans="2:16" s="216" customFormat="1" ht="18" customHeight="1" x14ac:dyDescent="0.2">
      <c r="B13" s="1406"/>
      <c r="C13" s="1406"/>
      <c r="D13" s="1406"/>
      <c r="E13" s="1406"/>
      <c r="F13" s="1406"/>
      <c r="G13" s="1406"/>
      <c r="H13" s="1406"/>
      <c r="I13" s="1406"/>
      <c r="J13" s="1283"/>
      <c r="K13" s="1403"/>
      <c r="L13" s="802"/>
      <c r="M13" s="802"/>
      <c r="N13" s="802"/>
      <c r="O13" s="802"/>
    </row>
    <row r="14" spans="2:16" ht="15.75" customHeight="1" x14ac:dyDescent="0.2"/>
    <row r="15" spans="2:16" ht="15" x14ac:dyDescent="0.2">
      <c r="B15" s="1376"/>
      <c r="C15" s="1376"/>
      <c r="D15" s="1812" t="s">
        <v>1834</v>
      </c>
      <c r="E15" s="1812"/>
      <c r="F15" s="1812"/>
      <c r="G15" s="1812" t="s">
        <v>1835</v>
      </c>
      <c r="H15" s="1812"/>
      <c r="I15" s="1813"/>
      <c r="J15" s="1375"/>
      <c r="K15" s="1837" t="s">
        <v>1836</v>
      </c>
      <c r="L15" s="1837" t="s">
        <v>1837</v>
      </c>
      <c r="M15" s="1834" t="s">
        <v>747</v>
      </c>
      <c r="N15" s="1834"/>
      <c r="O15" s="1835" t="s">
        <v>19</v>
      </c>
      <c r="P15" s="1836"/>
    </row>
    <row r="16" spans="2:16" ht="15.75" thickBot="1" x14ac:dyDescent="0.25">
      <c r="B16" s="1389" t="s">
        <v>1839</v>
      </c>
      <c r="C16" s="1389" t="s">
        <v>1812</v>
      </c>
      <c r="D16" s="1833" t="s">
        <v>1813</v>
      </c>
      <c r="E16" s="1833"/>
      <c r="F16" s="1833"/>
      <c r="G16" s="1384" t="s">
        <v>1815</v>
      </c>
      <c r="H16" s="1384" t="s">
        <v>746</v>
      </c>
      <c r="I16" s="1390" t="s">
        <v>1816</v>
      </c>
      <c r="J16" s="1385"/>
      <c r="K16" s="1838"/>
      <c r="L16" s="1838"/>
      <c r="M16" s="1378" t="s">
        <v>8</v>
      </c>
      <c r="N16" s="1378" t="s">
        <v>22</v>
      </c>
      <c r="O16" s="1379" t="s">
        <v>8</v>
      </c>
      <c r="P16" s="1380" t="s">
        <v>22</v>
      </c>
    </row>
    <row r="17" spans="2:16" x14ac:dyDescent="0.2">
      <c r="B17" s="1794" t="s">
        <v>1801</v>
      </c>
      <c r="C17" s="1845">
        <v>1</v>
      </c>
      <c r="D17" s="1844" t="s">
        <v>1811</v>
      </c>
      <c r="E17" s="1804" t="s">
        <v>1805</v>
      </c>
      <c r="F17" s="1804"/>
      <c r="G17" s="946">
        <v>35</v>
      </c>
      <c r="H17" s="946">
        <v>45</v>
      </c>
      <c r="I17" s="1391">
        <v>75</v>
      </c>
      <c r="J17" s="1388"/>
      <c r="K17" s="1381">
        <v>1830</v>
      </c>
      <c r="L17" s="1382" t="s">
        <v>1973</v>
      </c>
      <c r="M17" s="1383">
        <v>25</v>
      </c>
      <c r="N17" s="1418">
        <f>IF(ISERROR(1/M17), "", 1/M17)</f>
        <v>0.04</v>
      </c>
      <c r="O17" s="1383">
        <v>45</v>
      </c>
      <c r="P17" s="1418">
        <f>IF(ISERROR(1/O17), "", 1/O17)</f>
        <v>2.2222222222222223E-2</v>
      </c>
    </row>
    <row r="18" spans="2:16" x14ac:dyDescent="0.2">
      <c r="B18" s="1795"/>
      <c r="C18" s="1805"/>
      <c r="D18" s="1802"/>
      <c r="E18" s="1802" t="s">
        <v>1802</v>
      </c>
      <c r="F18" s="1374" t="s">
        <v>1806</v>
      </c>
      <c r="G18" s="1142">
        <v>20</v>
      </c>
      <c r="H18" s="1142">
        <v>40</v>
      </c>
      <c r="I18" s="1392">
        <v>55</v>
      </c>
      <c r="J18" s="1388"/>
      <c r="K18" s="1381"/>
      <c r="L18" s="1382"/>
      <c r="M18" s="1383"/>
      <c r="N18" s="1418" t="str">
        <f t="shared" ref="N18:N72" si="0">IF(ISERROR(1/M18), "", 1/M18)</f>
        <v/>
      </c>
      <c r="O18" s="1383"/>
      <c r="P18" s="1418" t="str">
        <f t="shared" ref="P18:P72" si="1">IF(ISERROR(1/O18), "", 1/O18)</f>
        <v/>
      </c>
    </row>
    <row r="19" spans="2:16" x14ac:dyDescent="0.2">
      <c r="B19" s="1795"/>
      <c r="C19" s="1805"/>
      <c r="D19" s="1802"/>
      <c r="E19" s="1802"/>
      <c r="F19" s="1374" t="s">
        <v>1807</v>
      </c>
      <c r="G19" s="1142">
        <v>30</v>
      </c>
      <c r="H19" s="1142">
        <v>70</v>
      </c>
      <c r="I19" s="1392">
        <v>95</v>
      </c>
      <c r="J19" s="1388"/>
      <c r="K19" s="1381"/>
      <c r="L19" s="1382"/>
      <c r="M19" s="1383"/>
      <c r="N19" s="1418" t="str">
        <f t="shared" si="0"/>
        <v/>
      </c>
      <c r="O19" s="1383"/>
      <c r="P19" s="1418" t="str">
        <f t="shared" si="1"/>
        <v/>
      </c>
    </row>
    <row r="20" spans="2:16" x14ac:dyDescent="0.2">
      <c r="B20" s="1795"/>
      <c r="C20" s="1805">
        <v>2</v>
      </c>
      <c r="D20" s="1802" t="s">
        <v>1814</v>
      </c>
      <c r="E20" s="1803" t="s">
        <v>1805</v>
      </c>
      <c r="F20" s="1803"/>
      <c r="G20" s="1142">
        <v>50</v>
      </c>
      <c r="H20" s="1142">
        <v>60</v>
      </c>
      <c r="I20" s="1392">
        <v>80</v>
      </c>
      <c r="J20" s="1388"/>
      <c r="K20" s="1381"/>
      <c r="L20" s="1382"/>
      <c r="M20" s="1383"/>
      <c r="N20" s="1418" t="str">
        <f t="shared" si="0"/>
        <v/>
      </c>
      <c r="O20" s="1383"/>
      <c r="P20" s="1418" t="str">
        <f t="shared" si="1"/>
        <v/>
      </c>
    </row>
    <row r="21" spans="2:16" x14ac:dyDescent="0.2">
      <c r="B21" s="1795"/>
      <c r="C21" s="1805"/>
      <c r="D21" s="1802"/>
      <c r="E21" s="1802" t="s">
        <v>1802</v>
      </c>
      <c r="F21" s="1374" t="s">
        <v>1806</v>
      </c>
      <c r="G21" s="1142">
        <v>20</v>
      </c>
      <c r="H21" s="1142">
        <v>40</v>
      </c>
      <c r="I21" s="1392">
        <v>55</v>
      </c>
      <c r="J21" s="1388"/>
      <c r="K21" s="1381"/>
      <c r="L21" s="1382"/>
      <c r="M21" s="1383"/>
      <c r="N21" s="1418" t="str">
        <f t="shared" si="0"/>
        <v/>
      </c>
      <c r="O21" s="1383"/>
      <c r="P21" s="1418" t="str">
        <f t="shared" si="1"/>
        <v/>
      </c>
    </row>
    <row r="22" spans="2:16" x14ac:dyDescent="0.2">
      <c r="B22" s="1795"/>
      <c r="C22" s="1805"/>
      <c r="D22" s="1802"/>
      <c r="E22" s="1802"/>
      <c r="F22" s="1374" t="s">
        <v>1807</v>
      </c>
      <c r="G22" s="1142">
        <v>30</v>
      </c>
      <c r="H22" s="1142">
        <v>70</v>
      </c>
      <c r="I22" s="1392">
        <v>95</v>
      </c>
      <c r="J22" s="1388"/>
      <c r="K22" s="1381"/>
      <c r="L22" s="1382"/>
      <c r="M22" s="1383"/>
      <c r="N22" s="1418" t="str">
        <f t="shared" si="0"/>
        <v/>
      </c>
      <c r="O22" s="1383"/>
      <c r="P22" s="1418" t="str">
        <f t="shared" si="1"/>
        <v/>
      </c>
    </row>
    <row r="23" spans="2:16" x14ac:dyDescent="0.2">
      <c r="B23" s="1795"/>
      <c r="C23" s="1805">
        <v>3</v>
      </c>
      <c r="D23" s="1802" t="s">
        <v>1804</v>
      </c>
      <c r="E23" s="1803" t="s">
        <v>1805</v>
      </c>
      <c r="F23" s="1803"/>
      <c r="G23" s="1142">
        <v>60</v>
      </c>
      <c r="H23" s="1142">
        <v>60</v>
      </c>
      <c r="I23" s="1392">
        <v>80</v>
      </c>
      <c r="J23" s="1388"/>
      <c r="K23" s="1381"/>
      <c r="L23" s="1382"/>
      <c r="M23" s="1383"/>
      <c r="N23" s="1418" t="str">
        <f t="shared" si="0"/>
        <v/>
      </c>
      <c r="O23" s="1383"/>
      <c r="P23" s="1418" t="str">
        <f t="shared" si="1"/>
        <v/>
      </c>
    </row>
    <row r="24" spans="2:16" x14ac:dyDescent="0.2">
      <c r="B24" s="1795"/>
      <c r="C24" s="1805"/>
      <c r="D24" s="1802"/>
      <c r="E24" s="1802" t="s">
        <v>1802</v>
      </c>
      <c r="F24" s="1374" t="s">
        <v>1806</v>
      </c>
      <c r="G24" s="1142">
        <v>20</v>
      </c>
      <c r="H24" s="1142">
        <v>40</v>
      </c>
      <c r="I24" s="1392">
        <v>55</v>
      </c>
      <c r="J24" s="1388"/>
      <c r="K24" s="1381"/>
      <c r="L24" s="1382"/>
      <c r="M24" s="1383"/>
      <c r="N24" s="1418" t="str">
        <f t="shared" si="0"/>
        <v/>
      </c>
      <c r="O24" s="1383"/>
      <c r="P24" s="1418" t="str">
        <f t="shared" si="1"/>
        <v/>
      </c>
    </row>
    <row r="25" spans="2:16" x14ac:dyDescent="0.2">
      <c r="B25" s="1795"/>
      <c r="C25" s="1805"/>
      <c r="D25" s="1802"/>
      <c r="E25" s="1802"/>
      <c r="F25" s="1374" t="s">
        <v>1807</v>
      </c>
      <c r="G25" s="1142">
        <v>30</v>
      </c>
      <c r="H25" s="1142">
        <v>70</v>
      </c>
      <c r="I25" s="1392">
        <v>95</v>
      </c>
      <c r="J25" s="1388"/>
      <c r="K25" s="1381"/>
      <c r="L25" s="1382"/>
      <c r="M25" s="1383"/>
      <c r="N25" s="1418" t="str">
        <f t="shared" si="0"/>
        <v/>
      </c>
      <c r="O25" s="1383"/>
      <c r="P25" s="1418" t="str">
        <f t="shared" si="1"/>
        <v/>
      </c>
    </row>
    <row r="26" spans="2:16" x14ac:dyDescent="0.2">
      <c r="B26" s="1795"/>
      <c r="C26" s="1142">
        <v>4</v>
      </c>
      <c r="D26" s="1796" t="s">
        <v>1817</v>
      </c>
      <c r="E26" s="1797"/>
      <c r="F26" s="1798"/>
      <c r="G26" s="1142">
        <v>30</v>
      </c>
      <c r="H26" s="1142">
        <v>45</v>
      </c>
      <c r="I26" s="1392">
        <v>55</v>
      </c>
      <c r="J26" s="1388"/>
      <c r="K26" s="1381">
        <v>1855</v>
      </c>
      <c r="L26" s="1462" t="s">
        <v>2019</v>
      </c>
      <c r="M26" s="1383">
        <v>25</v>
      </c>
      <c r="N26" s="1418">
        <f t="shared" si="0"/>
        <v>0.04</v>
      </c>
      <c r="O26" s="1383">
        <v>40</v>
      </c>
      <c r="P26" s="1418">
        <f t="shared" si="1"/>
        <v>2.5000000000000001E-2</v>
      </c>
    </row>
    <row r="27" spans="2:16" x14ac:dyDescent="0.2">
      <c r="B27" s="1795"/>
      <c r="C27" s="1142">
        <v>5</v>
      </c>
      <c r="D27" s="1796" t="s">
        <v>1818</v>
      </c>
      <c r="E27" s="1797"/>
      <c r="F27" s="1798"/>
      <c r="G27" s="1142">
        <v>15</v>
      </c>
      <c r="H27" s="1142">
        <v>25</v>
      </c>
      <c r="I27" s="1392">
        <v>25</v>
      </c>
      <c r="J27" s="1388"/>
      <c r="K27" s="1381"/>
      <c r="L27" s="1382"/>
      <c r="M27" s="1383"/>
      <c r="N27" s="1418" t="str">
        <f t="shared" si="0"/>
        <v/>
      </c>
      <c r="O27" s="1383"/>
      <c r="P27" s="1418" t="str">
        <f t="shared" si="1"/>
        <v/>
      </c>
    </row>
    <row r="28" spans="2:16" x14ac:dyDescent="0.2">
      <c r="B28" s="1795"/>
      <c r="C28" s="1142">
        <v>6</v>
      </c>
      <c r="D28" s="1796" t="s">
        <v>1819</v>
      </c>
      <c r="E28" s="1797"/>
      <c r="F28" s="1798"/>
      <c r="G28" s="1142">
        <v>15</v>
      </c>
      <c r="H28" s="1142">
        <v>20</v>
      </c>
      <c r="I28" s="1392">
        <v>20</v>
      </c>
      <c r="J28" s="1388"/>
      <c r="K28" s="1381"/>
      <c r="L28" s="1382"/>
      <c r="M28" s="1383"/>
      <c r="N28" s="1418" t="str">
        <f t="shared" si="0"/>
        <v/>
      </c>
      <c r="O28" s="1383"/>
      <c r="P28" s="1418" t="str">
        <f t="shared" si="1"/>
        <v/>
      </c>
    </row>
    <row r="29" spans="2:16" x14ac:dyDescent="0.2">
      <c r="B29" s="1795"/>
      <c r="C29" s="1142">
        <v>7</v>
      </c>
      <c r="D29" s="1796" t="s">
        <v>1820</v>
      </c>
      <c r="E29" s="1797"/>
      <c r="F29" s="1798"/>
      <c r="G29" s="1142">
        <v>35</v>
      </c>
      <c r="H29" s="1142">
        <v>45</v>
      </c>
      <c r="I29" s="1392">
        <v>60</v>
      </c>
      <c r="J29" s="1388"/>
      <c r="K29" s="1381"/>
      <c r="L29" s="1382"/>
      <c r="M29" s="1383"/>
      <c r="N29" s="1418" t="str">
        <f t="shared" si="0"/>
        <v/>
      </c>
      <c r="O29" s="1383"/>
      <c r="P29" s="1418" t="str">
        <f t="shared" si="1"/>
        <v/>
      </c>
    </row>
    <row r="30" spans="2:16" x14ac:dyDescent="0.2">
      <c r="B30" s="1795"/>
      <c r="C30" s="1142">
        <v>8</v>
      </c>
      <c r="D30" s="1796" t="s">
        <v>1821</v>
      </c>
      <c r="E30" s="1797"/>
      <c r="F30" s="1798"/>
      <c r="G30" s="1142">
        <v>50</v>
      </c>
      <c r="H30" s="1142">
        <v>60</v>
      </c>
      <c r="I30" s="1392">
        <v>75</v>
      </c>
      <c r="J30" s="1388"/>
      <c r="K30" s="1463">
        <v>1835</v>
      </c>
      <c r="L30" s="1462" t="s">
        <v>1974</v>
      </c>
      <c r="M30" s="1383">
        <v>25</v>
      </c>
      <c r="N30" s="1418">
        <f t="shared" si="0"/>
        <v>0.04</v>
      </c>
      <c r="O30" s="1383">
        <v>60</v>
      </c>
      <c r="P30" s="1418">
        <f t="shared" si="1"/>
        <v>1.6666666666666666E-2</v>
      </c>
    </row>
    <row r="31" spans="2:16" x14ac:dyDescent="0.2">
      <c r="B31" s="1795"/>
      <c r="C31" s="1142">
        <v>9</v>
      </c>
      <c r="D31" s="1796" t="s">
        <v>1822</v>
      </c>
      <c r="E31" s="1797"/>
      <c r="F31" s="1798"/>
      <c r="G31" s="1142">
        <v>30</v>
      </c>
      <c r="H31" s="1142">
        <v>40</v>
      </c>
      <c r="I31" s="1392">
        <v>60</v>
      </c>
      <c r="J31" s="1388"/>
      <c r="K31" s="1381">
        <v>1850</v>
      </c>
      <c r="L31" s="1462" t="s">
        <v>2018</v>
      </c>
      <c r="M31" s="1383">
        <v>25</v>
      </c>
      <c r="N31" s="1418">
        <f t="shared" si="0"/>
        <v>0.04</v>
      </c>
      <c r="O31" s="1383">
        <v>40</v>
      </c>
      <c r="P31" s="1418">
        <f t="shared" si="1"/>
        <v>2.5000000000000001E-2</v>
      </c>
    </row>
    <row r="32" spans="2:16" x14ac:dyDescent="0.2">
      <c r="B32" s="1795"/>
      <c r="C32" s="1142">
        <v>10</v>
      </c>
      <c r="D32" s="1796" t="s">
        <v>1823</v>
      </c>
      <c r="E32" s="1797"/>
      <c r="F32" s="1798"/>
      <c r="G32" s="1142">
        <v>25</v>
      </c>
      <c r="H32" s="1142">
        <v>30</v>
      </c>
      <c r="I32" s="1392">
        <v>40</v>
      </c>
      <c r="J32" s="1388"/>
      <c r="K32" s="1381"/>
      <c r="L32" s="1382"/>
      <c r="M32" s="1383"/>
      <c r="N32" s="1418" t="str">
        <f t="shared" si="0"/>
        <v/>
      </c>
      <c r="O32" s="1383"/>
      <c r="P32" s="1418" t="str">
        <f t="shared" si="1"/>
        <v/>
      </c>
    </row>
    <row r="33" spans="2:18" ht="13.5" thickBot="1" x14ac:dyDescent="0.25">
      <c r="B33" s="1795"/>
      <c r="C33" s="1396">
        <v>11</v>
      </c>
      <c r="D33" s="1799" t="s">
        <v>1824</v>
      </c>
      <c r="E33" s="1800"/>
      <c r="F33" s="1801"/>
      <c r="G33" s="1396">
        <v>25</v>
      </c>
      <c r="H33" s="1396">
        <v>40</v>
      </c>
      <c r="I33" s="1397">
        <v>55</v>
      </c>
      <c r="J33" s="1388"/>
      <c r="K33" s="1381"/>
      <c r="L33" s="1382"/>
      <c r="M33" s="1383"/>
      <c r="N33" s="1418" t="str">
        <f t="shared" si="0"/>
        <v/>
      </c>
      <c r="O33" s="1383"/>
      <c r="P33" s="1418" t="str">
        <f t="shared" si="1"/>
        <v/>
      </c>
    </row>
    <row r="34" spans="2:18" x14ac:dyDescent="0.2">
      <c r="B34" s="1806" t="s">
        <v>1803</v>
      </c>
      <c r="C34" s="1839">
        <v>12</v>
      </c>
      <c r="D34" s="1843" t="s">
        <v>1825</v>
      </c>
      <c r="E34" s="1824" t="s">
        <v>1805</v>
      </c>
      <c r="F34" s="1846"/>
      <c r="G34" s="946">
        <v>30</v>
      </c>
      <c r="H34" s="946">
        <v>45</v>
      </c>
      <c r="I34" s="1391">
        <v>60</v>
      </c>
      <c r="J34" s="1388"/>
      <c r="K34" s="1381">
        <v>1820</v>
      </c>
      <c r="L34" s="1382" t="s">
        <v>1972</v>
      </c>
      <c r="M34" s="1383">
        <v>30</v>
      </c>
      <c r="N34" s="1418">
        <f t="shared" si="0"/>
        <v>3.3333333333333333E-2</v>
      </c>
      <c r="O34" s="1383">
        <v>45</v>
      </c>
      <c r="P34" s="1418">
        <f t="shared" si="1"/>
        <v>2.2222222222222223E-2</v>
      </c>
    </row>
    <row r="35" spans="2:18" x14ac:dyDescent="0.2">
      <c r="B35" s="1807"/>
      <c r="C35" s="1840"/>
      <c r="D35" s="1832"/>
      <c r="E35" s="1818" t="s">
        <v>1826</v>
      </c>
      <c r="F35" s="1820"/>
      <c r="G35" s="1142">
        <v>10</v>
      </c>
      <c r="H35" s="1142">
        <v>20</v>
      </c>
      <c r="I35" s="1392">
        <v>30</v>
      </c>
      <c r="J35" s="1388"/>
      <c r="K35" s="1381"/>
      <c r="L35" s="1382"/>
      <c r="M35" s="1383"/>
      <c r="N35" s="1418" t="str">
        <f t="shared" si="0"/>
        <v/>
      </c>
      <c r="O35" s="1383"/>
      <c r="P35" s="1418" t="str">
        <f t="shared" si="1"/>
        <v/>
      </c>
    </row>
    <row r="36" spans="2:18" x14ac:dyDescent="0.2">
      <c r="B36" s="1807"/>
      <c r="C36" s="1841"/>
      <c r="D36" s="1832"/>
      <c r="E36" s="1818" t="s">
        <v>1827</v>
      </c>
      <c r="F36" s="1820"/>
      <c r="G36" s="1142">
        <v>20</v>
      </c>
      <c r="H36" s="1142">
        <v>30</v>
      </c>
      <c r="I36" s="1392">
        <v>60</v>
      </c>
      <c r="J36" s="1388"/>
      <c r="K36" s="1381"/>
      <c r="L36" s="1382"/>
      <c r="M36" s="1383"/>
      <c r="N36" s="1418" t="str">
        <f t="shared" si="0"/>
        <v/>
      </c>
      <c r="O36" s="1383"/>
      <c r="P36" s="1418" t="str">
        <f t="shared" si="1"/>
        <v/>
      </c>
    </row>
    <row r="37" spans="2:18" x14ac:dyDescent="0.2">
      <c r="B37" s="1807"/>
      <c r="C37" s="3">
        <v>13</v>
      </c>
      <c r="D37" s="1815" t="s">
        <v>1808</v>
      </c>
      <c r="E37" s="1816"/>
      <c r="F37" s="1817"/>
      <c r="G37" s="1142">
        <v>30</v>
      </c>
      <c r="H37" s="1142">
        <v>45</v>
      </c>
      <c r="I37" s="1392">
        <v>55</v>
      </c>
      <c r="J37" s="1388"/>
      <c r="K37" s="1381"/>
      <c r="L37" s="1382"/>
      <c r="M37" s="1383"/>
      <c r="N37" s="1418" t="str">
        <f t="shared" si="0"/>
        <v/>
      </c>
      <c r="O37" s="1383"/>
      <c r="P37" s="1418" t="str">
        <f t="shared" si="1"/>
        <v/>
      </c>
    </row>
    <row r="38" spans="2:18" x14ac:dyDescent="0.2">
      <c r="B38" s="1807"/>
      <c r="C38" s="3">
        <v>14</v>
      </c>
      <c r="D38" s="1815" t="s">
        <v>1828</v>
      </c>
      <c r="E38" s="1816"/>
      <c r="F38" s="1817"/>
      <c r="G38" s="1142">
        <v>30</v>
      </c>
      <c r="H38" s="1142">
        <v>40</v>
      </c>
      <c r="I38" s="1392">
        <v>40</v>
      </c>
      <c r="J38" s="1388"/>
      <c r="K38" s="1381"/>
      <c r="L38" s="1382"/>
      <c r="M38" s="1383"/>
      <c r="N38" s="1418" t="str">
        <f t="shared" si="0"/>
        <v/>
      </c>
      <c r="O38" s="1383"/>
      <c r="P38" s="1418" t="str">
        <f t="shared" si="1"/>
        <v/>
      </c>
    </row>
    <row r="39" spans="2:18" x14ac:dyDescent="0.2">
      <c r="B39" s="1807"/>
      <c r="C39" s="1842">
        <v>15</v>
      </c>
      <c r="D39" s="1832" t="s">
        <v>1809</v>
      </c>
      <c r="E39" s="1818" t="s">
        <v>1805</v>
      </c>
      <c r="F39" s="1820"/>
      <c r="G39" s="1142">
        <v>10</v>
      </c>
      <c r="H39" s="1142">
        <v>20</v>
      </c>
      <c r="I39" s="1392">
        <v>30</v>
      </c>
      <c r="J39" s="1388"/>
      <c r="K39" s="1381"/>
      <c r="L39" s="1382"/>
      <c r="M39" s="1383"/>
      <c r="N39" s="1418" t="str">
        <f t="shared" si="0"/>
        <v/>
      </c>
      <c r="O39" s="1383"/>
      <c r="P39" s="1418" t="str">
        <f t="shared" si="1"/>
        <v/>
      </c>
    </row>
    <row r="40" spans="2:18" x14ac:dyDescent="0.2">
      <c r="B40" s="1807"/>
      <c r="C40" s="1840"/>
      <c r="D40" s="1832"/>
      <c r="E40" s="1818" t="s">
        <v>1829</v>
      </c>
      <c r="F40" s="1820"/>
      <c r="G40" s="1142">
        <v>10</v>
      </c>
      <c r="H40" s="1142">
        <v>15</v>
      </c>
      <c r="I40" s="1392">
        <v>15</v>
      </c>
      <c r="J40" s="1388"/>
      <c r="K40" s="1381"/>
      <c r="L40" s="1382"/>
      <c r="M40" s="1383"/>
      <c r="N40" s="1418" t="str">
        <f t="shared" si="0"/>
        <v/>
      </c>
      <c r="O40" s="1383"/>
      <c r="P40" s="1418" t="str">
        <f t="shared" si="1"/>
        <v/>
      </c>
      <c r="R40" s="120" t="s">
        <v>2015</v>
      </c>
    </row>
    <row r="41" spans="2:18" x14ac:dyDescent="0.2">
      <c r="B41" s="1807"/>
      <c r="C41" s="1841"/>
      <c r="D41" s="1832"/>
      <c r="E41" s="1818" t="s">
        <v>1810</v>
      </c>
      <c r="F41" s="1820"/>
      <c r="G41" s="1142">
        <v>20</v>
      </c>
      <c r="H41" s="1142">
        <v>20</v>
      </c>
      <c r="I41" s="1392">
        <v>30</v>
      </c>
      <c r="J41" s="1388"/>
      <c r="K41" s="1381"/>
      <c r="L41" s="1382"/>
      <c r="M41" s="1383"/>
      <c r="N41" s="1418" t="str">
        <f t="shared" si="0"/>
        <v/>
      </c>
      <c r="O41" s="1383"/>
      <c r="P41" s="1418" t="str">
        <f t="shared" si="1"/>
        <v/>
      </c>
    </row>
    <row r="42" spans="2:18" x14ac:dyDescent="0.2">
      <c r="B42" s="1807"/>
      <c r="C42" s="1842">
        <v>16</v>
      </c>
      <c r="D42" s="1139" t="s">
        <v>1830</v>
      </c>
      <c r="E42" s="1818" t="s">
        <v>1805</v>
      </c>
      <c r="F42" s="1820"/>
      <c r="G42" s="1142">
        <v>30</v>
      </c>
      <c r="H42" s="1142">
        <v>40</v>
      </c>
      <c r="I42" s="1392">
        <v>60</v>
      </c>
      <c r="J42" s="1388"/>
      <c r="K42" s="1381"/>
      <c r="L42" s="1382"/>
      <c r="M42" s="1383"/>
      <c r="N42" s="1418" t="str">
        <f t="shared" si="0"/>
        <v/>
      </c>
      <c r="O42" s="1383"/>
      <c r="P42" s="1418" t="str">
        <f t="shared" si="1"/>
        <v/>
      </c>
    </row>
    <row r="43" spans="2:18" x14ac:dyDescent="0.2">
      <c r="B43" s="1807"/>
      <c r="C43" s="1841"/>
      <c r="D43" s="1139"/>
      <c r="E43" s="1818" t="s">
        <v>1831</v>
      </c>
      <c r="F43" s="1820"/>
      <c r="G43" s="1142">
        <v>25</v>
      </c>
      <c r="H43" s="1142">
        <v>40</v>
      </c>
      <c r="I43" s="1392">
        <v>60</v>
      </c>
      <c r="J43" s="1388"/>
      <c r="K43" s="1381"/>
      <c r="L43" s="1382"/>
      <c r="M43" s="1383"/>
      <c r="N43" s="1418" t="str">
        <f t="shared" si="0"/>
        <v/>
      </c>
      <c r="O43" s="1383"/>
      <c r="P43" s="1418" t="str">
        <f t="shared" si="1"/>
        <v/>
      </c>
    </row>
    <row r="44" spans="2:18" x14ac:dyDescent="0.2">
      <c r="B44" s="1807"/>
      <c r="C44" s="1142">
        <v>17</v>
      </c>
      <c r="D44" s="1818" t="s">
        <v>1832</v>
      </c>
      <c r="E44" s="1819"/>
      <c r="F44" s="1820"/>
      <c r="G44" s="1142">
        <v>35</v>
      </c>
      <c r="H44" s="1142">
        <v>45</v>
      </c>
      <c r="I44" s="1392">
        <v>65</v>
      </c>
      <c r="J44" s="1388"/>
      <c r="K44" s="1381"/>
      <c r="L44" s="1382"/>
      <c r="M44" s="1383"/>
      <c r="N44" s="1418" t="str">
        <f t="shared" si="0"/>
        <v/>
      </c>
      <c r="O44" s="1383"/>
      <c r="P44" s="1418" t="str">
        <f t="shared" si="1"/>
        <v/>
      </c>
    </row>
    <row r="45" spans="2:18" ht="20.25" customHeight="1" x14ac:dyDescent="0.2">
      <c r="B45" s="1807"/>
      <c r="C45" s="1142">
        <v>18</v>
      </c>
      <c r="D45" s="1815" t="s">
        <v>1833</v>
      </c>
      <c r="E45" s="1816"/>
      <c r="F45" s="1817"/>
      <c r="G45" s="1142">
        <v>30</v>
      </c>
      <c r="H45" s="1142">
        <v>50</v>
      </c>
      <c r="I45" s="1392">
        <v>60</v>
      </c>
      <c r="J45" s="1395"/>
      <c r="K45" s="1381">
        <v>1820</v>
      </c>
      <c r="L45" s="1382" t="s">
        <v>1972</v>
      </c>
      <c r="M45" s="1383">
        <v>30</v>
      </c>
      <c r="N45" s="1418">
        <f t="shared" si="0"/>
        <v>3.3333333333333333E-2</v>
      </c>
      <c r="O45" s="1383">
        <v>45</v>
      </c>
      <c r="P45" s="1418">
        <f t="shared" si="1"/>
        <v>2.2222222222222223E-2</v>
      </c>
    </row>
    <row r="46" spans="2:18" x14ac:dyDescent="0.2">
      <c r="B46" s="1807"/>
      <c r="C46" s="1142">
        <v>19</v>
      </c>
      <c r="D46" s="1818" t="s">
        <v>1853</v>
      </c>
      <c r="E46" s="1816"/>
      <c r="F46" s="1817"/>
      <c r="G46" s="1142">
        <v>25</v>
      </c>
      <c r="H46" s="1142">
        <v>35</v>
      </c>
      <c r="I46" s="1392">
        <v>50</v>
      </c>
      <c r="J46" s="1386"/>
      <c r="K46" s="1381"/>
      <c r="L46" s="1382"/>
      <c r="M46" s="1383"/>
      <c r="N46" s="1418" t="str">
        <f t="shared" si="0"/>
        <v/>
      </c>
      <c r="O46" s="1383"/>
      <c r="P46" s="1418" t="str">
        <f t="shared" si="1"/>
        <v/>
      </c>
    </row>
    <row r="47" spans="2:18" x14ac:dyDescent="0.2">
      <c r="B47" s="1807"/>
      <c r="C47" s="1142">
        <v>20</v>
      </c>
      <c r="D47" s="1818" t="s">
        <v>1854</v>
      </c>
      <c r="E47" s="1816"/>
      <c r="F47" s="1817"/>
      <c r="G47" s="1142">
        <v>10</v>
      </c>
      <c r="H47" s="1142">
        <v>30</v>
      </c>
      <c r="I47" s="1392">
        <v>45</v>
      </c>
      <c r="J47" s="1386"/>
      <c r="K47" s="1381"/>
      <c r="L47" s="1382"/>
      <c r="M47" s="1383"/>
      <c r="N47" s="1418" t="str">
        <f t="shared" si="0"/>
        <v/>
      </c>
      <c r="O47" s="1383"/>
      <c r="P47" s="1418" t="str">
        <f t="shared" si="1"/>
        <v/>
      </c>
    </row>
    <row r="48" spans="2:18" x14ac:dyDescent="0.2">
      <c r="B48" s="1807"/>
      <c r="C48" s="1142">
        <v>21</v>
      </c>
      <c r="D48" s="1818" t="s">
        <v>1855</v>
      </c>
      <c r="E48" s="1816"/>
      <c r="F48" s="1817"/>
      <c r="G48" s="1142">
        <v>15</v>
      </c>
      <c r="H48" s="1142">
        <v>20</v>
      </c>
      <c r="I48" s="1392">
        <v>20</v>
      </c>
      <c r="J48" s="1386"/>
      <c r="K48" s="1381"/>
      <c r="L48" s="1382"/>
      <c r="M48" s="1383"/>
      <c r="N48" s="1418" t="str">
        <f t="shared" si="0"/>
        <v/>
      </c>
      <c r="O48" s="1383"/>
      <c r="P48" s="1418" t="str">
        <f t="shared" si="1"/>
        <v/>
      </c>
    </row>
    <row r="49" spans="2:16" x14ac:dyDescent="0.2">
      <c r="B49" s="1807"/>
      <c r="C49" s="1142">
        <v>22</v>
      </c>
      <c r="D49" s="1818" t="s">
        <v>1856</v>
      </c>
      <c r="E49" s="1816"/>
      <c r="F49" s="1817"/>
      <c r="G49" s="1142">
        <v>30</v>
      </c>
      <c r="H49" s="1142">
        <v>55</v>
      </c>
      <c r="I49" s="1392">
        <v>60</v>
      </c>
      <c r="J49" s="1386"/>
      <c r="K49" s="1381"/>
      <c r="L49" s="1382"/>
      <c r="M49" s="1383"/>
      <c r="N49" s="1418" t="str">
        <f t="shared" si="0"/>
        <v/>
      </c>
      <c r="O49" s="1383"/>
      <c r="P49" s="1418" t="str">
        <f t="shared" si="1"/>
        <v/>
      </c>
    </row>
    <row r="50" spans="2:16" ht="13.5" thickBot="1" x14ac:dyDescent="0.25">
      <c r="B50" s="1808"/>
      <c r="C50" s="1393">
        <v>23</v>
      </c>
      <c r="D50" s="1821" t="s">
        <v>1857</v>
      </c>
      <c r="E50" s="1822"/>
      <c r="F50" s="1823"/>
      <c r="G50" s="1393">
        <v>35</v>
      </c>
      <c r="H50" s="1393">
        <v>50</v>
      </c>
      <c r="I50" s="1394">
        <v>90</v>
      </c>
      <c r="J50" s="1386"/>
      <c r="K50" s="1381"/>
      <c r="L50" s="1382"/>
      <c r="M50" s="1383"/>
      <c r="N50" s="1418" t="str">
        <f t="shared" si="0"/>
        <v/>
      </c>
      <c r="O50" s="1383"/>
      <c r="P50" s="1418" t="str">
        <f t="shared" si="1"/>
        <v/>
      </c>
    </row>
    <row r="51" spans="2:16" x14ac:dyDescent="0.2">
      <c r="B51" s="1806" t="s">
        <v>1880</v>
      </c>
      <c r="C51" s="946">
        <v>24</v>
      </c>
      <c r="D51" s="1824" t="s">
        <v>1858</v>
      </c>
      <c r="E51" s="1825"/>
      <c r="F51" s="1826"/>
      <c r="G51" s="946">
        <v>60</v>
      </c>
      <c r="H51" s="946">
        <v>65</v>
      </c>
      <c r="I51" s="1391">
        <v>75</v>
      </c>
      <c r="J51" s="1386"/>
      <c r="K51" s="1381"/>
      <c r="L51" s="1382"/>
      <c r="M51" s="1383"/>
      <c r="N51" s="1418" t="str">
        <f t="shared" si="0"/>
        <v/>
      </c>
      <c r="O51" s="1383"/>
      <c r="P51" s="1418" t="str">
        <f t="shared" si="1"/>
        <v/>
      </c>
    </row>
    <row r="52" spans="2:16" x14ac:dyDescent="0.2">
      <c r="B52" s="1847"/>
      <c r="C52" s="1142">
        <v>25</v>
      </c>
      <c r="D52" s="1818" t="s">
        <v>1859</v>
      </c>
      <c r="E52" s="1816"/>
      <c r="F52" s="1817"/>
      <c r="G52" s="1142">
        <v>20</v>
      </c>
      <c r="H52" s="1142">
        <v>25</v>
      </c>
      <c r="I52" s="1392">
        <v>25</v>
      </c>
      <c r="J52" s="1386"/>
      <c r="K52" s="1381"/>
      <c r="L52" s="1382"/>
      <c r="M52" s="1383"/>
      <c r="N52" s="1418" t="str">
        <f t="shared" si="0"/>
        <v/>
      </c>
      <c r="O52" s="1383"/>
      <c r="P52" s="1418" t="str">
        <f t="shared" si="1"/>
        <v/>
      </c>
    </row>
    <row r="53" spans="2:16" ht="27" customHeight="1" x14ac:dyDescent="0.2">
      <c r="B53" s="1847"/>
      <c r="C53" s="1142">
        <v>26</v>
      </c>
      <c r="D53" s="1827" t="s">
        <v>1879</v>
      </c>
      <c r="E53" s="1828"/>
      <c r="F53" s="1829"/>
      <c r="G53" s="1142">
        <v>20</v>
      </c>
      <c r="H53" s="1142">
        <v>25</v>
      </c>
      <c r="I53" s="1392">
        <v>30</v>
      </c>
      <c r="J53" s="1386"/>
      <c r="K53" s="1381"/>
      <c r="L53" s="1382"/>
      <c r="M53" s="1383"/>
      <c r="N53" s="1418" t="str">
        <f t="shared" si="0"/>
        <v/>
      </c>
      <c r="O53" s="1383"/>
      <c r="P53" s="1418" t="str">
        <f t="shared" si="1"/>
        <v/>
      </c>
    </row>
    <row r="54" spans="2:16" x14ac:dyDescent="0.2">
      <c r="B54" s="1847"/>
      <c r="C54" s="1142">
        <v>27</v>
      </c>
      <c r="D54" s="1818" t="s">
        <v>1860</v>
      </c>
      <c r="E54" s="1816"/>
      <c r="F54" s="1817"/>
      <c r="G54" s="1142">
        <v>20</v>
      </c>
      <c r="H54" s="1142">
        <v>25</v>
      </c>
      <c r="I54" s="1392">
        <v>30</v>
      </c>
      <c r="J54" s="1386"/>
      <c r="K54" s="1381"/>
      <c r="L54" s="1382"/>
      <c r="M54" s="1383"/>
      <c r="N54" s="1418" t="str">
        <f t="shared" si="0"/>
        <v/>
      </c>
      <c r="O54" s="1383"/>
      <c r="P54" s="1418" t="str">
        <f t="shared" si="1"/>
        <v/>
      </c>
    </row>
    <row r="55" spans="2:16" x14ac:dyDescent="0.2">
      <c r="B55" s="1847"/>
      <c r="C55" s="1142">
        <v>28</v>
      </c>
      <c r="D55" s="1802" t="s">
        <v>1861</v>
      </c>
      <c r="E55" s="1832"/>
      <c r="F55" s="1832"/>
      <c r="G55" s="1387">
        <v>25</v>
      </c>
      <c r="H55" s="1142">
        <v>30</v>
      </c>
      <c r="I55" s="1392">
        <v>35</v>
      </c>
      <c r="J55" s="1386"/>
      <c r="K55" s="1381"/>
      <c r="L55" s="1382"/>
      <c r="M55" s="1383"/>
      <c r="N55" s="1418" t="str">
        <f t="shared" si="0"/>
        <v/>
      </c>
      <c r="O55" s="1383"/>
      <c r="P55" s="1418" t="str">
        <f t="shared" si="1"/>
        <v/>
      </c>
    </row>
    <row r="56" spans="2:16" x14ac:dyDescent="0.2">
      <c r="B56" s="1847"/>
      <c r="C56" s="1142">
        <v>29</v>
      </c>
      <c r="D56" s="1802" t="s">
        <v>1862</v>
      </c>
      <c r="E56" s="1832"/>
      <c r="F56" s="1832"/>
      <c r="G56" s="1387">
        <v>35</v>
      </c>
      <c r="H56" s="1142">
        <v>40</v>
      </c>
      <c r="I56" s="1392">
        <v>55</v>
      </c>
      <c r="J56" s="1386"/>
      <c r="K56" s="1381">
        <v>1840</v>
      </c>
      <c r="L56" s="1382" t="s">
        <v>308</v>
      </c>
      <c r="M56" s="1383">
        <v>25</v>
      </c>
      <c r="N56" s="1418">
        <f t="shared" si="0"/>
        <v>0.04</v>
      </c>
      <c r="O56" s="1383">
        <v>40</v>
      </c>
      <c r="P56" s="1418">
        <f t="shared" si="1"/>
        <v>2.5000000000000001E-2</v>
      </c>
    </row>
    <row r="57" spans="2:16" x14ac:dyDescent="0.2">
      <c r="B57" s="1847"/>
      <c r="C57" s="1142">
        <v>30</v>
      </c>
      <c r="D57" s="1802" t="s">
        <v>1863</v>
      </c>
      <c r="E57" s="1832"/>
      <c r="F57" s="1832"/>
      <c r="G57" s="1387">
        <v>70</v>
      </c>
      <c r="H57" s="1142">
        <v>75</v>
      </c>
      <c r="I57" s="1392">
        <v>80</v>
      </c>
      <c r="J57" s="1386"/>
      <c r="K57" s="1381"/>
      <c r="L57" s="1382"/>
      <c r="M57" s="1383"/>
      <c r="N57" s="1418" t="str">
        <f t="shared" si="0"/>
        <v/>
      </c>
      <c r="O57" s="1383"/>
      <c r="P57" s="1418" t="str">
        <f t="shared" si="1"/>
        <v/>
      </c>
    </row>
    <row r="58" spans="2:16" x14ac:dyDescent="0.2">
      <c r="B58" s="1847"/>
      <c r="C58" s="1142">
        <v>31</v>
      </c>
      <c r="D58" s="1802" t="s">
        <v>1864</v>
      </c>
      <c r="E58" s="1832"/>
      <c r="F58" s="1832"/>
      <c r="G58" s="1387">
        <v>25</v>
      </c>
      <c r="H58" s="1142">
        <v>35</v>
      </c>
      <c r="I58" s="1392">
        <v>40</v>
      </c>
      <c r="J58" s="1386"/>
      <c r="K58" s="1381">
        <v>1855</v>
      </c>
      <c r="L58" s="1462" t="s">
        <v>2020</v>
      </c>
      <c r="M58" s="1383">
        <v>25</v>
      </c>
      <c r="N58" s="1418">
        <f t="shared" si="0"/>
        <v>0.04</v>
      </c>
      <c r="O58" s="1383">
        <v>40</v>
      </c>
      <c r="P58" s="1418">
        <f t="shared" si="1"/>
        <v>2.5000000000000001E-2</v>
      </c>
    </row>
    <row r="59" spans="2:16" x14ac:dyDescent="0.2">
      <c r="B59" s="1847"/>
      <c r="C59" s="1142">
        <v>32</v>
      </c>
      <c r="D59" s="1802" t="s">
        <v>1865</v>
      </c>
      <c r="E59" s="1832"/>
      <c r="F59" s="1832"/>
      <c r="G59" s="1387">
        <v>35</v>
      </c>
      <c r="H59" s="1142">
        <v>40</v>
      </c>
      <c r="I59" s="1392">
        <v>60</v>
      </c>
      <c r="J59" s="1386"/>
      <c r="K59" s="1381"/>
      <c r="L59" s="1382"/>
      <c r="M59" s="1383"/>
      <c r="N59" s="1418" t="str">
        <f t="shared" si="0"/>
        <v/>
      </c>
      <c r="O59" s="1383"/>
      <c r="P59" s="1418" t="str">
        <f t="shared" si="1"/>
        <v/>
      </c>
    </row>
    <row r="60" spans="2:16" x14ac:dyDescent="0.2">
      <c r="B60" s="1847"/>
      <c r="C60" s="1842">
        <v>33</v>
      </c>
      <c r="D60" s="1802" t="s">
        <v>1866</v>
      </c>
      <c r="E60" s="1796" t="s">
        <v>1805</v>
      </c>
      <c r="F60" s="1798"/>
      <c r="G60" s="1387">
        <v>20</v>
      </c>
      <c r="H60" s="1142">
        <v>35</v>
      </c>
      <c r="I60" s="1392">
        <v>50</v>
      </c>
      <c r="J60" s="1386"/>
      <c r="K60" s="1381">
        <v>1850</v>
      </c>
      <c r="L60" s="1462" t="s">
        <v>2017</v>
      </c>
      <c r="M60" s="1383">
        <v>25</v>
      </c>
      <c r="N60" s="1418">
        <f t="shared" si="0"/>
        <v>0.04</v>
      </c>
      <c r="O60" s="1383">
        <v>40</v>
      </c>
      <c r="P60" s="1418">
        <f t="shared" si="1"/>
        <v>2.5000000000000001E-2</v>
      </c>
    </row>
    <row r="61" spans="2:16" x14ac:dyDescent="0.2">
      <c r="B61" s="1847"/>
      <c r="C61" s="1841"/>
      <c r="D61" s="1802"/>
      <c r="E61" s="1796" t="s">
        <v>1867</v>
      </c>
      <c r="F61" s="1798"/>
      <c r="G61" s="1387">
        <v>20</v>
      </c>
      <c r="H61" s="1142">
        <v>35</v>
      </c>
      <c r="I61" s="1392">
        <v>40</v>
      </c>
      <c r="J61" s="1386"/>
      <c r="K61" s="1381"/>
      <c r="L61" s="1462"/>
      <c r="M61" s="1383"/>
      <c r="N61" s="1418" t="str">
        <f t="shared" si="0"/>
        <v/>
      </c>
      <c r="O61" s="1383"/>
      <c r="P61" s="1418" t="str">
        <f t="shared" si="1"/>
        <v/>
      </c>
    </row>
    <row r="62" spans="2:16" x14ac:dyDescent="0.2">
      <c r="B62" s="1847"/>
      <c r="C62" s="1142">
        <v>34</v>
      </c>
      <c r="D62" s="1818" t="s">
        <v>1868</v>
      </c>
      <c r="E62" s="1819"/>
      <c r="F62" s="1820"/>
      <c r="G62" s="1387">
        <v>25</v>
      </c>
      <c r="H62" s="1142">
        <v>40</v>
      </c>
      <c r="I62" s="1392">
        <v>45</v>
      </c>
      <c r="J62" s="1386"/>
      <c r="K62" s="1381"/>
      <c r="L62" s="1382"/>
      <c r="M62" s="1383"/>
      <c r="N62" s="1418" t="str">
        <f t="shared" si="0"/>
        <v/>
      </c>
      <c r="O62" s="1383"/>
      <c r="P62" s="1418" t="str">
        <f t="shared" si="1"/>
        <v/>
      </c>
    </row>
    <row r="63" spans="2:16" x14ac:dyDescent="0.2">
      <c r="B63" s="1847"/>
      <c r="C63" s="1142">
        <v>35</v>
      </c>
      <c r="D63" s="1818" t="s">
        <v>1869</v>
      </c>
      <c r="E63" s="1819"/>
      <c r="F63" s="1820"/>
      <c r="G63" s="1387">
        <v>25</v>
      </c>
      <c r="H63" s="1142">
        <v>35</v>
      </c>
      <c r="I63" s="1392">
        <v>45</v>
      </c>
      <c r="J63" s="1386"/>
      <c r="K63" s="1381"/>
      <c r="L63" s="1382"/>
      <c r="M63" s="1383"/>
      <c r="N63" s="1418" t="str">
        <f t="shared" si="0"/>
        <v/>
      </c>
      <c r="O63" s="1383"/>
      <c r="P63" s="1418" t="str">
        <f t="shared" si="1"/>
        <v/>
      </c>
    </row>
    <row r="64" spans="2:16" x14ac:dyDescent="0.2">
      <c r="B64" s="1847"/>
      <c r="C64" s="1142">
        <v>36</v>
      </c>
      <c r="D64" s="1818" t="s">
        <v>1870</v>
      </c>
      <c r="E64" s="1819"/>
      <c r="F64" s="1820"/>
      <c r="G64" s="1387">
        <v>35</v>
      </c>
      <c r="H64" s="1142">
        <v>55</v>
      </c>
      <c r="I64" s="1392">
        <v>70</v>
      </c>
      <c r="J64" s="1386"/>
      <c r="K64" s="1381">
        <v>1845</v>
      </c>
      <c r="L64" s="1462" t="s">
        <v>2016</v>
      </c>
      <c r="M64" s="1383">
        <v>25</v>
      </c>
      <c r="N64" s="1418">
        <f t="shared" si="0"/>
        <v>0.04</v>
      </c>
      <c r="O64" s="1383">
        <v>40</v>
      </c>
      <c r="P64" s="1418">
        <f t="shared" si="1"/>
        <v>2.5000000000000001E-2</v>
      </c>
    </row>
    <row r="65" spans="2:16" x14ac:dyDescent="0.2">
      <c r="B65" s="1847"/>
      <c r="C65" s="1842">
        <v>37</v>
      </c>
      <c r="D65" s="1830" t="s">
        <v>1871</v>
      </c>
      <c r="E65" s="1796" t="s">
        <v>1805</v>
      </c>
      <c r="F65" s="1798"/>
      <c r="G65" s="1387">
        <v>40</v>
      </c>
      <c r="H65" s="1142">
        <v>60</v>
      </c>
      <c r="I65" s="1392">
        <v>80</v>
      </c>
      <c r="J65" s="1386"/>
      <c r="K65" s="1381"/>
      <c r="L65" s="1382"/>
      <c r="M65" s="1383"/>
      <c r="N65" s="1418" t="str">
        <f t="shared" si="0"/>
        <v/>
      </c>
      <c r="O65" s="1383"/>
      <c r="P65" s="1418" t="str">
        <f t="shared" si="1"/>
        <v/>
      </c>
    </row>
    <row r="66" spans="2:16" x14ac:dyDescent="0.2">
      <c r="B66" s="1847"/>
      <c r="C66" s="1841"/>
      <c r="D66" s="1831"/>
      <c r="E66" s="1796" t="s">
        <v>1872</v>
      </c>
      <c r="F66" s="1798"/>
      <c r="G66" s="1387">
        <v>20</v>
      </c>
      <c r="H66" s="1142">
        <v>30</v>
      </c>
      <c r="I66" s="1392">
        <v>45</v>
      </c>
      <c r="J66" s="1386"/>
      <c r="K66" s="1381"/>
      <c r="L66" s="1382"/>
      <c r="M66" s="1383"/>
      <c r="N66" s="1418" t="str">
        <f t="shared" si="0"/>
        <v/>
      </c>
      <c r="O66" s="1383"/>
      <c r="P66" s="1418" t="str">
        <f t="shared" si="1"/>
        <v/>
      </c>
    </row>
    <row r="67" spans="2:16" x14ac:dyDescent="0.2">
      <c r="B67" s="1847"/>
      <c r="C67" s="1142">
        <v>38</v>
      </c>
      <c r="D67" s="1802" t="s">
        <v>1878</v>
      </c>
      <c r="E67" s="1832"/>
      <c r="F67" s="1832"/>
      <c r="G67" s="1387">
        <v>20</v>
      </c>
      <c r="H67" s="1142">
        <v>35</v>
      </c>
      <c r="I67" s="1392">
        <v>50</v>
      </c>
      <c r="J67" s="1386"/>
      <c r="K67" s="1381">
        <v>1845</v>
      </c>
      <c r="L67" s="1462" t="s">
        <v>2016</v>
      </c>
      <c r="M67" s="1383">
        <v>25</v>
      </c>
      <c r="N67" s="1418">
        <f t="shared" si="0"/>
        <v>0.04</v>
      </c>
      <c r="O67" s="1383">
        <v>40</v>
      </c>
      <c r="P67" s="1418">
        <f t="shared" si="1"/>
        <v>2.5000000000000001E-2</v>
      </c>
    </row>
    <row r="68" spans="2:16" x14ac:dyDescent="0.2">
      <c r="B68" s="1847"/>
      <c r="C68" s="1142">
        <v>39</v>
      </c>
      <c r="D68" s="1802" t="s">
        <v>1873</v>
      </c>
      <c r="E68" s="1832"/>
      <c r="F68" s="1832"/>
      <c r="G68" s="1387">
        <v>20</v>
      </c>
      <c r="H68" s="1142">
        <v>30</v>
      </c>
      <c r="I68" s="1392">
        <v>45</v>
      </c>
      <c r="J68" s="1386"/>
      <c r="K68" s="1381">
        <v>1845</v>
      </c>
      <c r="L68" s="1462" t="s">
        <v>2016</v>
      </c>
      <c r="M68" s="1383">
        <v>25</v>
      </c>
      <c r="N68" s="1418">
        <f t="shared" si="0"/>
        <v>0.04</v>
      </c>
      <c r="O68" s="1383">
        <v>40</v>
      </c>
      <c r="P68" s="1418">
        <f t="shared" si="1"/>
        <v>2.5000000000000001E-2</v>
      </c>
    </row>
    <row r="69" spans="2:16" x14ac:dyDescent="0.2">
      <c r="B69" s="1847"/>
      <c r="C69" s="1142">
        <v>40</v>
      </c>
      <c r="D69" s="1802" t="s">
        <v>1874</v>
      </c>
      <c r="E69" s="1832"/>
      <c r="F69" s="1832"/>
      <c r="G69" s="1387">
        <v>30</v>
      </c>
      <c r="H69" s="1142">
        <v>50</v>
      </c>
      <c r="I69" s="1392">
        <v>85</v>
      </c>
      <c r="J69" s="1386"/>
      <c r="K69" s="1381"/>
      <c r="L69" s="1382"/>
      <c r="M69" s="1383"/>
      <c r="N69" s="1418" t="str">
        <f t="shared" si="0"/>
        <v/>
      </c>
      <c r="O69" s="1383"/>
      <c r="P69" s="1418" t="str">
        <f t="shared" si="1"/>
        <v/>
      </c>
    </row>
    <row r="70" spans="2:16" x14ac:dyDescent="0.2">
      <c r="B70" s="1847"/>
      <c r="C70" s="1142">
        <v>41</v>
      </c>
      <c r="D70" s="1802" t="s">
        <v>1875</v>
      </c>
      <c r="E70" s="1832"/>
      <c r="F70" s="1832"/>
      <c r="G70" s="1387">
        <v>35</v>
      </c>
      <c r="H70" s="1142">
        <v>55</v>
      </c>
      <c r="I70" s="1392">
        <v>80</v>
      </c>
      <c r="J70" s="1386"/>
      <c r="K70" s="1381"/>
      <c r="L70" s="1382"/>
      <c r="M70" s="1383"/>
      <c r="N70" s="1418" t="str">
        <f t="shared" si="0"/>
        <v/>
      </c>
      <c r="O70" s="1383"/>
      <c r="P70" s="1418" t="str">
        <f t="shared" si="1"/>
        <v/>
      </c>
    </row>
    <row r="71" spans="2:16" ht="13.5" thickBot="1" x14ac:dyDescent="0.25">
      <c r="B71" s="1848"/>
      <c r="C71" s="1393">
        <v>42</v>
      </c>
      <c r="D71" s="1849" t="s">
        <v>1876</v>
      </c>
      <c r="E71" s="1850"/>
      <c r="F71" s="1850"/>
      <c r="G71" s="1398">
        <v>50</v>
      </c>
      <c r="H71" s="1393">
        <v>60</v>
      </c>
      <c r="I71" s="1394">
        <v>80</v>
      </c>
      <c r="J71" s="1386"/>
      <c r="K71" s="1381"/>
      <c r="L71" s="1382"/>
      <c r="M71" s="1383"/>
      <c r="N71" s="1418" t="str">
        <f t="shared" si="0"/>
        <v/>
      </c>
      <c r="O71" s="1383"/>
      <c r="P71" s="1418" t="str">
        <f t="shared" si="1"/>
        <v/>
      </c>
    </row>
    <row r="72" spans="2:16" ht="13.5" thickBot="1" x14ac:dyDescent="0.25">
      <c r="B72" s="1399" t="s">
        <v>1881</v>
      </c>
      <c r="C72" s="1400">
        <v>43</v>
      </c>
      <c r="D72" s="1851" t="s">
        <v>1877</v>
      </c>
      <c r="E72" s="1852"/>
      <c r="F72" s="1852"/>
      <c r="G72" s="1401">
        <v>15</v>
      </c>
      <c r="H72" s="1400">
        <v>20</v>
      </c>
      <c r="I72" s="1402">
        <v>30</v>
      </c>
      <c r="J72" s="1386"/>
      <c r="K72" s="1381">
        <v>1980</v>
      </c>
      <c r="L72" s="1462" t="s">
        <v>2023</v>
      </c>
      <c r="M72" s="1383">
        <v>15</v>
      </c>
      <c r="N72" s="1418">
        <f t="shared" si="0"/>
        <v>6.6666666666666666E-2</v>
      </c>
      <c r="O72" s="1383">
        <v>20</v>
      </c>
      <c r="P72" s="1418">
        <f t="shared" si="1"/>
        <v>0.05</v>
      </c>
    </row>
    <row r="73" spans="2:16" x14ac:dyDescent="0.2">
      <c r="J73" s="1386"/>
    </row>
    <row r="74" spans="2:16" x14ac:dyDescent="0.2">
      <c r="J74" s="1386"/>
    </row>
    <row r="75" spans="2:16" ht="18" x14ac:dyDescent="0.2">
      <c r="B75" s="1811" t="s">
        <v>1928</v>
      </c>
      <c r="C75" s="1811"/>
      <c r="D75" s="1811"/>
      <c r="E75" s="1811"/>
      <c r="F75" s="1811"/>
      <c r="G75" s="1811"/>
      <c r="H75" s="1811"/>
      <c r="I75" s="1811"/>
      <c r="J75" s="1386"/>
    </row>
    <row r="76" spans="2:16" x14ac:dyDescent="0.2">
      <c r="J76" s="1386"/>
    </row>
    <row r="77" spans="2:16" ht="15" x14ac:dyDescent="0.2">
      <c r="C77" s="1376"/>
      <c r="D77" s="1812" t="s">
        <v>1834</v>
      </c>
      <c r="E77" s="1812"/>
      <c r="F77" s="1812"/>
      <c r="G77" s="1812" t="s">
        <v>1884</v>
      </c>
      <c r="H77" s="1812"/>
      <c r="I77" s="1812"/>
      <c r="J77" s="1386"/>
      <c r="K77" s="1837" t="s">
        <v>1836</v>
      </c>
      <c r="L77" s="1837" t="s">
        <v>1837</v>
      </c>
      <c r="M77" s="1834" t="s">
        <v>747</v>
      </c>
      <c r="N77" s="1834"/>
      <c r="O77" s="1835" t="s">
        <v>19</v>
      </c>
      <c r="P77" s="1836"/>
    </row>
    <row r="78" spans="2:16" ht="15" x14ac:dyDescent="0.2">
      <c r="C78" s="1377" t="s">
        <v>1812</v>
      </c>
      <c r="D78" s="1812" t="s">
        <v>1813</v>
      </c>
      <c r="E78" s="1812"/>
      <c r="F78" s="1812"/>
      <c r="G78" s="1812"/>
      <c r="H78" s="1812"/>
      <c r="I78" s="1812"/>
      <c r="J78" s="1386"/>
      <c r="K78" s="1838"/>
      <c r="L78" s="1838"/>
      <c r="M78" s="1378" t="s">
        <v>8</v>
      </c>
      <c r="N78" s="1378" t="s">
        <v>22</v>
      </c>
      <c r="O78" s="1379" t="s">
        <v>8</v>
      </c>
      <c r="P78" s="1380" t="s">
        <v>22</v>
      </c>
    </row>
    <row r="79" spans="2:16" x14ac:dyDescent="0.2">
      <c r="C79" s="1142">
        <v>1</v>
      </c>
      <c r="D79" s="1818" t="s">
        <v>1883</v>
      </c>
      <c r="E79" s="1819"/>
      <c r="F79" s="1820"/>
      <c r="G79" s="1853" t="s">
        <v>1885</v>
      </c>
      <c r="H79" s="1854"/>
      <c r="I79" s="1854"/>
      <c r="J79" s="1386"/>
      <c r="K79" s="1381">
        <v>1915</v>
      </c>
      <c r="L79" s="1382" t="str">
        <f>+D79</f>
        <v>Office Equipment</v>
      </c>
      <c r="M79" s="1383">
        <v>10</v>
      </c>
      <c r="N79" s="1418">
        <f>IF(ISERROR(1/M79), "", 1/M79)</f>
        <v>0.1</v>
      </c>
      <c r="O79" s="1383">
        <v>10</v>
      </c>
      <c r="P79" s="1418">
        <f>IF(ISERROR(1/O79), "", 1/O79)</f>
        <v>0.1</v>
      </c>
    </row>
    <row r="80" spans="2:16" x14ac:dyDescent="0.2">
      <c r="C80" s="1842">
        <v>2</v>
      </c>
      <c r="D80" s="1830" t="s">
        <v>1886</v>
      </c>
      <c r="E80" s="1818" t="s">
        <v>1887</v>
      </c>
      <c r="F80" s="1820"/>
      <c r="G80" s="1853" t="s">
        <v>1885</v>
      </c>
      <c r="H80" s="1854"/>
      <c r="I80" s="1854"/>
      <c r="J80" s="1386"/>
      <c r="K80" s="1381">
        <v>1930</v>
      </c>
      <c r="L80" s="1462" t="s">
        <v>1886</v>
      </c>
      <c r="M80" s="1383"/>
      <c r="N80" s="1418" t="str">
        <f t="shared" ref="N80:N103" si="2">IF(ISERROR(1/M80), "", 1/M80)</f>
        <v/>
      </c>
      <c r="O80" s="1383">
        <v>15</v>
      </c>
      <c r="P80" s="1418">
        <f t="shared" ref="P80:P103" si="3">IF(ISERROR(1/O80), "", 1/O80)</f>
        <v>6.6666666666666666E-2</v>
      </c>
    </row>
    <row r="81" spans="3:16" x14ac:dyDescent="0.2">
      <c r="C81" s="1840"/>
      <c r="D81" s="1855"/>
      <c r="E81" s="1818" t="s">
        <v>1888</v>
      </c>
      <c r="F81" s="1820"/>
      <c r="G81" s="1853" t="s">
        <v>1911</v>
      </c>
      <c r="H81" s="1854"/>
      <c r="I81" s="1854"/>
      <c r="J81" s="1386"/>
      <c r="K81" s="1381">
        <v>1930</v>
      </c>
      <c r="L81" s="1462" t="s">
        <v>1886</v>
      </c>
      <c r="M81" s="1383"/>
      <c r="N81" s="1418" t="str">
        <f t="shared" si="2"/>
        <v/>
      </c>
      <c r="O81" s="1383">
        <v>20</v>
      </c>
      <c r="P81" s="1418">
        <f t="shared" si="3"/>
        <v>0.05</v>
      </c>
    </row>
    <row r="82" spans="3:16" x14ac:dyDescent="0.2">
      <c r="C82" s="1841"/>
      <c r="D82" s="1831"/>
      <c r="E82" s="1818" t="s">
        <v>1889</v>
      </c>
      <c r="F82" s="1820"/>
      <c r="G82" s="1853" t="s">
        <v>1913</v>
      </c>
      <c r="H82" s="1854"/>
      <c r="I82" s="1854"/>
      <c r="J82" s="1386"/>
      <c r="K82" s="1381">
        <v>1930</v>
      </c>
      <c r="L82" s="1462" t="s">
        <v>1886</v>
      </c>
      <c r="M82" s="1383"/>
      <c r="N82" s="1418" t="str">
        <f t="shared" si="2"/>
        <v/>
      </c>
      <c r="O82" s="1383">
        <v>10</v>
      </c>
      <c r="P82" s="1418">
        <f t="shared" si="3"/>
        <v>0.1</v>
      </c>
    </row>
    <row r="83" spans="3:16" x14ac:dyDescent="0.2">
      <c r="C83" s="1142">
        <v>3</v>
      </c>
      <c r="D83" s="1818" t="s">
        <v>1890</v>
      </c>
      <c r="E83" s="1819"/>
      <c r="F83" s="1820"/>
      <c r="G83" s="1853" t="s">
        <v>1914</v>
      </c>
      <c r="H83" s="1854"/>
      <c r="I83" s="1854"/>
      <c r="J83" s="1386"/>
      <c r="K83" s="1381">
        <v>1908</v>
      </c>
      <c r="L83" s="1382" t="str">
        <f>+D83</f>
        <v>Administrative Buildings</v>
      </c>
      <c r="M83" s="1383">
        <v>50</v>
      </c>
      <c r="N83" s="1418">
        <f t="shared" si="2"/>
        <v>0.02</v>
      </c>
      <c r="O83" s="1383">
        <v>60</v>
      </c>
      <c r="P83" s="1418">
        <f t="shared" si="3"/>
        <v>1.6666666666666666E-2</v>
      </c>
    </row>
    <row r="84" spans="3:16" x14ac:dyDescent="0.2">
      <c r="C84" s="3">
        <v>4</v>
      </c>
      <c r="D84" s="1818" t="s">
        <v>417</v>
      </c>
      <c r="E84" s="1819"/>
      <c r="F84" s="1820"/>
      <c r="G84" s="1853" t="s">
        <v>1912</v>
      </c>
      <c r="H84" s="1854"/>
      <c r="I84" s="1854"/>
      <c r="J84" s="1386"/>
      <c r="K84" s="1381"/>
      <c r="L84" s="1382"/>
      <c r="M84" s="1383"/>
      <c r="N84" s="1418" t="str">
        <f t="shared" si="2"/>
        <v/>
      </c>
      <c r="O84" s="1383"/>
      <c r="P84" s="1418" t="str">
        <f t="shared" si="3"/>
        <v/>
      </c>
    </row>
    <row r="85" spans="3:16" x14ac:dyDescent="0.2">
      <c r="C85" s="1842">
        <v>5</v>
      </c>
      <c r="D85" s="1830" t="s">
        <v>1891</v>
      </c>
      <c r="E85" s="1818" t="s">
        <v>1891</v>
      </c>
      <c r="F85" s="1820"/>
      <c r="G85" s="1853" t="s">
        <v>1914</v>
      </c>
      <c r="H85" s="1854"/>
      <c r="I85" s="1854"/>
      <c r="J85" s="1386"/>
      <c r="K85" s="1381"/>
      <c r="L85" s="1382"/>
      <c r="M85" s="1383"/>
      <c r="N85" s="1418" t="str">
        <f t="shared" si="2"/>
        <v/>
      </c>
      <c r="O85" s="1383"/>
      <c r="P85" s="1418" t="str">
        <f t="shared" si="3"/>
        <v/>
      </c>
    </row>
    <row r="86" spans="3:16" x14ac:dyDescent="0.2">
      <c r="C86" s="1840"/>
      <c r="D86" s="1855"/>
      <c r="E86" s="1818" t="s">
        <v>1892</v>
      </c>
      <c r="F86" s="1820"/>
      <c r="G86" s="1853" t="s">
        <v>1915</v>
      </c>
      <c r="H86" s="1854"/>
      <c r="I86" s="1854"/>
      <c r="J86" s="1386"/>
      <c r="K86" s="1381"/>
      <c r="L86" s="1382"/>
      <c r="M86" s="1383"/>
      <c r="N86" s="1418" t="str">
        <f t="shared" si="2"/>
        <v/>
      </c>
      <c r="O86" s="1383"/>
      <c r="P86" s="1418" t="str">
        <f t="shared" si="3"/>
        <v/>
      </c>
    </row>
    <row r="87" spans="3:16" x14ac:dyDescent="0.2">
      <c r="C87" s="1840"/>
      <c r="D87" s="1855"/>
      <c r="E87" s="1818" t="s">
        <v>1893</v>
      </c>
      <c r="F87" s="1820"/>
      <c r="G87" s="1853" t="s">
        <v>1916</v>
      </c>
      <c r="H87" s="1854"/>
      <c r="I87" s="1854"/>
      <c r="J87" s="1386"/>
      <c r="K87" s="1381"/>
      <c r="L87" s="1382"/>
      <c r="M87" s="1383"/>
      <c r="N87" s="1418" t="str">
        <f t="shared" si="2"/>
        <v/>
      </c>
      <c r="O87" s="1383"/>
      <c r="P87" s="1418" t="str">
        <f t="shared" si="3"/>
        <v/>
      </c>
    </row>
    <row r="88" spans="3:16" x14ac:dyDescent="0.2">
      <c r="C88" s="1841"/>
      <c r="D88" s="1831"/>
      <c r="E88" s="1818" t="s">
        <v>1872</v>
      </c>
      <c r="F88" s="1820"/>
      <c r="G88" s="1853" t="s">
        <v>1917</v>
      </c>
      <c r="H88" s="1854"/>
      <c r="I88" s="1854"/>
      <c r="J88" s="1386"/>
      <c r="K88" s="1381"/>
      <c r="L88" s="1382"/>
      <c r="M88" s="1383"/>
      <c r="N88" s="1418" t="str">
        <f t="shared" si="2"/>
        <v/>
      </c>
      <c r="O88" s="1383"/>
      <c r="P88" s="1418" t="str">
        <f t="shared" si="3"/>
        <v/>
      </c>
    </row>
    <row r="89" spans="3:16" x14ac:dyDescent="0.2">
      <c r="C89" s="1842">
        <v>6</v>
      </c>
      <c r="D89" s="1830" t="s">
        <v>1896</v>
      </c>
      <c r="E89" s="1818" t="s">
        <v>1894</v>
      </c>
      <c r="F89" s="1820"/>
      <c r="G89" s="1853" t="s">
        <v>1918</v>
      </c>
      <c r="H89" s="1854"/>
      <c r="I89" s="1854"/>
      <c r="J89" s="1386"/>
      <c r="K89" s="1381">
        <v>1925</v>
      </c>
      <c r="L89" s="1382" t="str">
        <f>+E89</f>
        <v>Hardware</v>
      </c>
      <c r="M89" s="1383">
        <v>5</v>
      </c>
      <c r="N89" s="1418">
        <f t="shared" si="2"/>
        <v>0.2</v>
      </c>
      <c r="O89" s="1383">
        <v>5</v>
      </c>
      <c r="P89" s="1418">
        <f t="shared" si="3"/>
        <v>0.2</v>
      </c>
    </row>
    <row r="90" spans="3:16" x14ac:dyDescent="0.2">
      <c r="C90" s="1841"/>
      <c r="D90" s="1831"/>
      <c r="E90" s="1818" t="s">
        <v>1895</v>
      </c>
      <c r="F90" s="1820"/>
      <c r="G90" s="1853" t="s">
        <v>1919</v>
      </c>
      <c r="H90" s="1854"/>
      <c r="I90" s="1854"/>
      <c r="J90" s="1386"/>
      <c r="K90" s="1381">
        <v>1925</v>
      </c>
      <c r="L90" s="1382" t="str">
        <f>+E90</f>
        <v>Software</v>
      </c>
      <c r="M90" s="1383">
        <v>5</v>
      </c>
      <c r="N90" s="1418">
        <f t="shared" si="2"/>
        <v>0.2</v>
      </c>
      <c r="O90" s="1383">
        <v>5</v>
      </c>
      <c r="P90" s="1418">
        <f t="shared" si="3"/>
        <v>0.2</v>
      </c>
    </row>
    <row r="91" spans="3:16" x14ac:dyDescent="0.2">
      <c r="C91" s="1842">
        <v>7</v>
      </c>
      <c r="D91" s="1830" t="s">
        <v>1903</v>
      </c>
      <c r="E91" s="1818" t="s">
        <v>1897</v>
      </c>
      <c r="F91" s="1820"/>
      <c r="G91" s="1853" t="s">
        <v>1913</v>
      </c>
      <c r="H91" s="1854"/>
      <c r="I91" s="1854"/>
      <c r="J91" s="1386"/>
      <c r="K91" s="1381"/>
      <c r="L91" s="1382"/>
      <c r="M91" s="1383"/>
      <c r="N91" s="1418" t="str">
        <f t="shared" si="2"/>
        <v/>
      </c>
      <c r="O91" s="1383"/>
      <c r="P91" s="1418" t="str">
        <f t="shared" si="3"/>
        <v/>
      </c>
    </row>
    <row r="92" spans="3:16" x14ac:dyDescent="0.2">
      <c r="C92" s="1840"/>
      <c r="D92" s="1855"/>
      <c r="E92" s="1818" t="s">
        <v>1898</v>
      </c>
      <c r="F92" s="1820"/>
      <c r="G92" s="1853" t="s">
        <v>1913</v>
      </c>
      <c r="H92" s="1854"/>
      <c r="I92" s="1854"/>
      <c r="J92" s="1386"/>
      <c r="K92" s="1381"/>
      <c r="L92" s="1382"/>
      <c r="M92" s="1383"/>
      <c r="N92" s="1418" t="str">
        <f t="shared" si="2"/>
        <v/>
      </c>
      <c r="O92" s="1383"/>
      <c r="P92" s="1418" t="str">
        <f t="shared" si="3"/>
        <v/>
      </c>
    </row>
    <row r="93" spans="3:16" x14ac:dyDescent="0.2">
      <c r="C93" s="1840"/>
      <c r="D93" s="1855"/>
      <c r="E93" s="1818" t="s">
        <v>1899</v>
      </c>
      <c r="F93" s="1820"/>
      <c r="G93" s="1853" t="s">
        <v>1913</v>
      </c>
      <c r="H93" s="1854"/>
      <c r="I93" s="1854"/>
      <c r="J93" s="1386"/>
      <c r="K93" s="1381">
        <v>1940</v>
      </c>
      <c r="L93" s="1382" t="str">
        <f>+E93</f>
        <v>Tools, Shop, Garage Equipment</v>
      </c>
      <c r="M93" s="1383">
        <v>10</v>
      </c>
      <c r="N93" s="1418">
        <f t="shared" si="2"/>
        <v>0.1</v>
      </c>
      <c r="O93" s="1383">
        <v>10</v>
      </c>
      <c r="P93" s="1418">
        <f t="shared" si="3"/>
        <v>0.1</v>
      </c>
    </row>
    <row r="94" spans="3:16" x14ac:dyDescent="0.2">
      <c r="C94" s="1841"/>
      <c r="D94" s="1831"/>
      <c r="E94" s="1818" t="s">
        <v>407</v>
      </c>
      <c r="F94" s="1820"/>
      <c r="G94" s="1853" t="s">
        <v>1913</v>
      </c>
      <c r="H94" s="1854"/>
      <c r="I94" s="1854"/>
      <c r="J94" s="1386"/>
      <c r="K94" s="1381"/>
      <c r="L94" s="1382"/>
      <c r="M94" s="1383"/>
      <c r="N94" s="1418" t="str">
        <f t="shared" si="2"/>
        <v/>
      </c>
      <c r="O94" s="1383"/>
      <c r="P94" s="1418" t="str">
        <f t="shared" si="3"/>
        <v/>
      </c>
    </row>
    <row r="95" spans="3:16" x14ac:dyDescent="0.2">
      <c r="C95" s="1842">
        <v>8</v>
      </c>
      <c r="D95" s="1830" t="s">
        <v>1902</v>
      </c>
      <c r="E95" s="1818" t="s">
        <v>1900</v>
      </c>
      <c r="F95" s="1820"/>
      <c r="G95" s="1853" t="s">
        <v>1920</v>
      </c>
      <c r="H95" s="1854"/>
      <c r="I95" s="1854"/>
      <c r="J95" s="1386"/>
      <c r="K95" s="1381"/>
      <c r="L95" s="1382"/>
      <c r="M95" s="1383"/>
      <c r="N95" s="1418" t="str">
        <f t="shared" si="2"/>
        <v/>
      </c>
      <c r="O95" s="1383"/>
      <c r="P95" s="1418" t="str">
        <f t="shared" si="3"/>
        <v/>
      </c>
    </row>
    <row r="96" spans="3:16" x14ac:dyDescent="0.2">
      <c r="C96" s="1841"/>
      <c r="D96" s="1831"/>
      <c r="E96" s="1818" t="s">
        <v>1901</v>
      </c>
      <c r="F96" s="1820"/>
      <c r="G96" s="1853" t="s">
        <v>1921</v>
      </c>
      <c r="H96" s="1854"/>
      <c r="I96" s="1854"/>
      <c r="J96" s="1386"/>
      <c r="K96" s="1381">
        <v>1955</v>
      </c>
      <c r="L96" s="1382" t="str">
        <f>+E96</f>
        <v>Wireless</v>
      </c>
      <c r="M96" s="1383">
        <v>5</v>
      </c>
      <c r="N96" s="1418">
        <f t="shared" si="2"/>
        <v>0.2</v>
      </c>
      <c r="O96" s="1383">
        <v>5</v>
      </c>
      <c r="P96" s="1418">
        <f t="shared" si="3"/>
        <v>0.2</v>
      </c>
    </row>
    <row r="97" spans="2:16" x14ac:dyDescent="0.2">
      <c r="C97" s="3">
        <v>9</v>
      </c>
      <c r="D97" s="1818" t="s">
        <v>1904</v>
      </c>
      <c r="E97" s="1819"/>
      <c r="F97" s="1820"/>
      <c r="G97" s="1853" t="s">
        <v>1922</v>
      </c>
      <c r="H97" s="1854"/>
      <c r="I97" s="1854"/>
      <c r="J97" s="1386"/>
      <c r="K97" s="1381"/>
      <c r="L97" s="1382"/>
      <c r="M97" s="1383"/>
      <c r="N97" s="1418" t="str">
        <f t="shared" si="2"/>
        <v/>
      </c>
      <c r="O97" s="1383"/>
      <c r="P97" s="1418" t="str">
        <f t="shared" si="3"/>
        <v/>
      </c>
    </row>
    <row r="98" spans="2:16" x14ac:dyDescent="0.2">
      <c r="C98" s="3">
        <v>10</v>
      </c>
      <c r="D98" s="1818" t="s">
        <v>1905</v>
      </c>
      <c r="E98" s="1819"/>
      <c r="F98" s="1820"/>
      <c r="G98" s="1853" t="s">
        <v>1922</v>
      </c>
      <c r="H98" s="1854"/>
      <c r="I98" s="1854"/>
      <c r="J98" s="1386"/>
      <c r="K98" s="1381">
        <v>1860</v>
      </c>
      <c r="L98" s="1462" t="s">
        <v>2021</v>
      </c>
      <c r="M98" s="1383">
        <v>25</v>
      </c>
      <c r="N98" s="1418">
        <f t="shared" si="2"/>
        <v>0.04</v>
      </c>
      <c r="O98" s="1383">
        <v>15</v>
      </c>
      <c r="P98" s="1418">
        <f t="shared" si="3"/>
        <v>6.6666666666666666E-2</v>
      </c>
    </row>
    <row r="99" spans="2:16" x14ac:dyDescent="0.2">
      <c r="C99" s="3">
        <v>11</v>
      </c>
      <c r="D99" s="1818" t="s">
        <v>1906</v>
      </c>
      <c r="E99" s="1819"/>
      <c r="F99" s="1820"/>
      <c r="G99" s="1853" t="s">
        <v>1923</v>
      </c>
      <c r="H99" s="1854"/>
      <c r="I99" s="1854"/>
      <c r="J99" s="1386"/>
      <c r="K99" s="1381">
        <v>1860</v>
      </c>
      <c r="L99" s="1462" t="s">
        <v>2022</v>
      </c>
      <c r="M99" s="1383">
        <v>25</v>
      </c>
      <c r="N99" s="1418">
        <f t="shared" si="2"/>
        <v>0.04</v>
      </c>
      <c r="O99" s="1383">
        <v>30</v>
      </c>
      <c r="P99" s="1418">
        <f t="shared" si="3"/>
        <v>3.3333333333333333E-2</v>
      </c>
    </row>
    <row r="100" spans="2:16" x14ac:dyDescent="0.2">
      <c r="C100" s="3">
        <v>12</v>
      </c>
      <c r="D100" s="1818" t="s">
        <v>1907</v>
      </c>
      <c r="E100" s="1819"/>
      <c r="F100" s="1820"/>
      <c r="G100" s="1853" t="s">
        <v>1924</v>
      </c>
      <c r="H100" s="1854"/>
      <c r="I100" s="1854"/>
      <c r="J100" s="1386"/>
      <c r="K100" s="1381"/>
      <c r="L100" s="1382"/>
      <c r="M100" s="1383"/>
      <c r="N100" s="1418" t="str">
        <f t="shared" si="2"/>
        <v/>
      </c>
      <c r="O100" s="1383"/>
      <c r="P100" s="1418" t="str">
        <f t="shared" si="3"/>
        <v/>
      </c>
    </row>
    <row r="101" spans="2:16" x14ac:dyDescent="0.2">
      <c r="C101" s="3">
        <v>13</v>
      </c>
      <c r="D101" s="1818" t="s">
        <v>1908</v>
      </c>
      <c r="E101" s="1819"/>
      <c r="F101" s="1820"/>
      <c r="G101" s="1853" t="s">
        <v>1885</v>
      </c>
      <c r="H101" s="1854"/>
      <c r="I101" s="1854"/>
      <c r="J101" s="1386"/>
      <c r="K101" s="1381">
        <v>1860</v>
      </c>
      <c r="L101" s="1462" t="s">
        <v>1908</v>
      </c>
      <c r="M101" s="1383">
        <v>15</v>
      </c>
      <c r="N101" s="1418">
        <f t="shared" si="2"/>
        <v>6.6666666666666666E-2</v>
      </c>
      <c r="O101" s="1383">
        <v>15</v>
      </c>
      <c r="P101" s="1418">
        <f t="shared" si="3"/>
        <v>6.6666666666666666E-2</v>
      </c>
    </row>
    <row r="102" spans="2:16" x14ac:dyDescent="0.2">
      <c r="C102" s="3">
        <v>14</v>
      </c>
      <c r="D102" s="1818" t="s">
        <v>1909</v>
      </c>
      <c r="E102" s="1819"/>
      <c r="F102" s="1820"/>
      <c r="G102" s="1853" t="s">
        <v>1925</v>
      </c>
      <c r="H102" s="1854"/>
      <c r="I102" s="1854"/>
      <c r="J102" s="1386"/>
      <c r="K102" s="1381"/>
      <c r="L102" s="1382"/>
      <c r="M102" s="1383"/>
      <c r="N102" s="1418" t="str">
        <f t="shared" si="2"/>
        <v/>
      </c>
      <c r="O102" s="1383"/>
      <c r="P102" s="1418" t="str">
        <f t="shared" si="3"/>
        <v/>
      </c>
    </row>
    <row r="103" spans="2:16" x14ac:dyDescent="0.2">
      <c r="C103" s="3">
        <v>15</v>
      </c>
      <c r="D103" s="1818" t="s">
        <v>1910</v>
      </c>
      <c r="E103" s="1819"/>
      <c r="F103" s="1820"/>
      <c r="G103" s="1853" t="s">
        <v>1926</v>
      </c>
      <c r="H103" s="1854"/>
      <c r="I103" s="1854"/>
      <c r="J103" s="1386"/>
      <c r="K103" s="1381"/>
      <c r="L103" s="1382"/>
      <c r="M103" s="1383"/>
      <c r="N103" s="1418" t="str">
        <f t="shared" si="2"/>
        <v/>
      </c>
      <c r="O103" s="1383"/>
      <c r="P103" s="1418" t="str">
        <f t="shared" si="3"/>
        <v/>
      </c>
    </row>
    <row r="106" spans="2:16" x14ac:dyDescent="0.2">
      <c r="B106" s="1814" t="s">
        <v>1882</v>
      </c>
      <c r="C106" s="1814"/>
      <c r="D106" s="1814"/>
      <c r="E106" s="1814"/>
      <c r="F106" s="1814"/>
      <c r="G106" s="1814"/>
      <c r="H106" s="1814"/>
      <c r="I106" s="1814"/>
    </row>
    <row r="107" spans="2:16" x14ac:dyDescent="0.2">
      <c r="B107" s="1405"/>
      <c r="C107" s="1405"/>
      <c r="D107" s="1405"/>
      <c r="E107" s="1405"/>
      <c r="F107" s="1405"/>
      <c r="G107" s="1405"/>
      <c r="H107" s="1405"/>
      <c r="I107" s="1405"/>
    </row>
    <row r="108" spans="2:16" x14ac:dyDescent="0.2">
      <c r="B108" s="14" t="s">
        <v>1838</v>
      </c>
      <c r="C108" s="120" t="s">
        <v>1930</v>
      </c>
    </row>
    <row r="109" spans="2:16" x14ac:dyDescent="0.2">
      <c r="C109" s="612" t="s">
        <v>1929</v>
      </c>
    </row>
    <row r="112" spans="2:16" x14ac:dyDescent="0.2">
      <c r="B112" s="612"/>
    </row>
  </sheetData>
  <mergeCells count="150">
    <mergeCell ref="K77:K78"/>
    <mergeCell ref="L77:L78"/>
    <mergeCell ref="M77:N77"/>
    <mergeCell ref="O77:P77"/>
    <mergeCell ref="D103:F103"/>
    <mergeCell ref="C95:C96"/>
    <mergeCell ref="C91:C94"/>
    <mergeCell ref="C89:C90"/>
    <mergeCell ref="C85:C88"/>
    <mergeCell ref="C80:C82"/>
    <mergeCell ref="D83:F83"/>
    <mergeCell ref="D84:F84"/>
    <mergeCell ref="D97:F97"/>
    <mergeCell ref="D98:F98"/>
    <mergeCell ref="D99:F99"/>
    <mergeCell ref="D100:F100"/>
    <mergeCell ref="D101:F101"/>
    <mergeCell ref="D102:F102"/>
    <mergeCell ref="E91:F91"/>
    <mergeCell ref="E92:F92"/>
    <mergeCell ref="E93:F93"/>
    <mergeCell ref="E94:F94"/>
    <mergeCell ref="E95:F95"/>
    <mergeCell ref="E96:F96"/>
    <mergeCell ref="G103:I103"/>
    <mergeCell ref="D80:D82"/>
    <mergeCell ref="D95:D96"/>
    <mergeCell ref="D91:D94"/>
    <mergeCell ref="D89:D90"/>
    <mergeCell ref="D85:D88"/>
    <mergeCell ref="E87:F87"/>
    <mergeCell ref="E88:F88"/>
    <mergeCell ref="E89:F89"/>
    <mergeCell ref="E90:F90"/>
    <mergeCell ref="G97:I97"/>
    <mergeCell ref="G98:I98"/>
    <mergeCell ref="G99:I99"/>
    <mergeCell ref="G100:I100"/>
    <mergeCell ref="G101:I101"/>
    <mergeCell ref="G102:I102"/>
    <mergeCell ref="G91:I91"/>
    <mergeCell ref="G92:I92"/>
    <mergeCell ref="G93:I93"/>
    <mergeCell ref="G94:I94"/>
    <mergeCell ref="G95:I95"/>
    <mergeCell ref="G96:I96"/>
    <mergeCell ref="G85:I85"/>
    <mergeCell ref="G86:I86"/>
    <mergeCell ref="G87:I87"/>
    <mergeCell ref="G88:I88"/>
    <mergeCell ref="G89:I89"/>
    <mergeCell ref="G90:I90"/>
    <mergeCell ref="G83:I83"/>
    <mergeCell ref="G84:I84"/>
    <mergeCell ref="C65:C66"/>
    <mergeCell ref="D79:F79"/>
    <mergeCell ref="E80:F80"/>
    <mergeCell ref="E81:F81"/>
    <mergeCell ref="E82:F82"/>
    <mergeCell ref="G79:I79"/>
    <mergeCell ref="G80:I80"/>
    <mergeCell ref="G81:I81"/>
    <mergeCell ref="G82:I82"/>
    <mergeCell ref="E85:F85"/>
    <mergeCell ref="E86:F86"/>
    <mergeCell ref="C60:C61"/>
    <mergeCell ref="B51:B71"/>
    <mergeCell ref="D77:F77"/>
    <mergeCell ref="D78:F78"/>
    <mergeCell ref="G77:I78"/>
    <mergeCell ref="B75:I75"/>
    <mergeCell ref="D68:F68"/>
    <mergeCell ref="D69:F69"/>
    <mergeCell ref="D70:F70"/>
    <mergeCell ref="D71:F71"/>
    <mergeCell ref="D72:F72"/>
    <mergeCell ref="D62:F62"/>
    <mergeCell ref="D63:F63"/>
    <mergeCell ref="D64:F64"/>
    <mergeCell ref="E66:F66"/>
    <mergeCell ref="E65:F65"/>
    <mergeCell ref="E61:F61"/>
    <mergeCell ref="D56:F56"/>
    <mergeCell ref="D57:F57"/>
    <mergeCell ref="D58:F58"/>
    <mergeCell ref="D59:F59"/>
    <mergeCell ref="D60:D61"/>
    <mergeCell ref="M15:N15"/>
    <mergeCell ref="O15:P15"/>
    <mergeCell ref="L15:L16"/>
    <mergeCell ref="K15:K16"/>
    <mergeCell ref="E40:F40"/>
    <mergeCell ref="E41:F41"/>
    <mergeCell ref="E42:F42"/>
    <mergeCell ref="E43:F43"/>
    <mergeCell ref="C34:C36"/>
    <mergeCell ref="C39:C41"/>
    <mergeCell ref="C42:C43"/>
    <mergeCell ref="D39:D41"/>
    <mergeCell ref="D34:D36"/>
    <mergeCell ref="D38:F38"/>
    <mergeCell ref="D37:F37"/>
    <mergeCell ref="D17:D19"/>
    <mergeCell ref="C17:C19"/>
    <mergeCell ref="E21:E22"/>
    <mergeCell ref="E34:F34"/>
    <mergeCell ref="E35:F35"/>
    <mergeCell ref="E36:F36"/>
    <mergeCell ref="E39:F39"/>
    <mergeCell ref="B34:B50"/>
    <mergeCell ref="B10:I10"/>
    <mergeCell ref="B9:I9"/>
    <mergeCell ref="B11:I11"/>
    <mergeCell ref="G15:I15"/>
    <mergeCell ref="D15:F15"/>
    <mergeCell ref="B106:I106"/>
    <mergeCell ref="D45:F45"/>
    <mergeCell ref="D44:F44"/>
    <mergeCell ref="D49:F49"/>
    <mergeCell ref="D50:F50"/>
    <mergeCell ref="D51:F51"/>
    <mergeCell ref="D52:F52"/>
    <mergeCell ref="D53:F53"/>
    <mergeCell ref="D54:F54"/>
    <mergeCell ref="D46:F46"/>
    <mergeCell ref="D47:F47"/>
    <mergeCell ref="D48:F48"/>
    <mergeCell ref="E60:F60"/>
    <mergeCell ref="D65:D66"/>
    <mergeCell ref="D67:F67"/>
    <mergeCell ref="D55:F55"/>
    <mergeCell ref="D16:F16"/>
    <mergeCell ref="D20:D22"/>
    <mergeCell ref="B17:B33"/>
    <mergeCell ref="D26:F26"/>
    <mergeCell ref="D27:F27"/>
    <mergeCell ref="D28:F28"/>
    <mergeCell ref="D29:F29"/>
    <mergeCell ref="D30:F30"/>
    <mergeCell ref="D31:F31"/>
    <mergeCell ref="D32:F32"/>
    <mergeCell ref="D33:F33"/>
    <mergeCell ref="D23:D25"/>
    <mergeCell ref="E24:E25"/>
    <mergeCell ref="E23:F23"/>
    <mergeCell ref="E20:F20"/>
    <mergeCell ref="E17:F17"/>
    <mergeCell ref="C20:C22"/>
    <mergeCell ref="C23:C25"/>
    <mergeCell ref="E18:E19"/>
  </mergeCells>
  <hyperlinks>
    <hyperlink ref="C109" r:id="rId1" display="see pages 17-19 of Kinetrics Report"/>
  </hyperlinks>
  <pageMargins left="0.11811023622047245" right="0.11811023622047245" top="0.15748031496062992" bottom="0.15748031496062992" header="0.31496062992125984" footer="0.31496062992125984"/>
  <pageSetup scale="4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69</vt:i4>
      </vt:variant>
    </vt:vector>
  </HeadingPairs>
  <TitlesOfParts>
    <vt:vector size="139" baseType="lpstr">
      <vt:lpstr>LDC Info</vt:lpstr>
      <vt:lpstr>Table of Contents</vt:lpstr>
      <vt:lpstr>COS Flowchart</vt:lpstr>
      <vt:lpstr>List of Key References</vt:lpstr>
      <vt:lpstr>App.2-AA_Capital Projects</vt:lpstr>
      <vt:lpstr>App.2-AB_Capital Expenditures</vt:lpstr>
      <vt:lpstr>App.2-BA1_Fix Asset Cont.CGAAP</vt:lpstr>
      <vt:lpstr>App.2-BA2_Fix Asset Cont.MIFRS</vt:lpstr>
      <vt:lpstr>Appendix 2-BB Service Life Comp</vt:lpstr>
      <vt:lpstr>Instruction for App. 2-C MIFRS</vt:lpstr>
      <vt:lpstr>App.2-CA_CGAAP_DepExp_2011</vt:lpstr>
      <vt:lpstr>App.2-CB_MIFRS_DepExp_2011</vt:lpstr>
      <vt:lpstr>App.2-CC_MIFRS_DepExp_2012</vt:lpstr>
      <vt:lpstr>App.2-CD_MIFRS_DepExp_2013</vt:lpstr>
      <vt:lpstr>App.2-CE_MIFRS_DepExp_2014</vt:lpstr>
      <vt:lpstr>App.2-CF_CGAAP_DepExp_2012</vt:lpstr>
      <vt:lpstr>App.2-CG_MIFRS_DepExp_2012</vt:lpstr>
      <vt:lpstr>App.2-CH_MIFRS_DepExp_2013</vt:lpstr>
      <vt:lpstr>App.2-CI_MIFRS_DepExp_2014</vt:lpstr>
      <vt:lpstr>App.2-CJ_CGAAP_DepExp_2012</vt:lpstr>
      <vt:lpstr>App.2-CK_CGAAP_DepExp_2013</vt:lpstr>
      <vt:lpstr>App.2-CL_MIFRS_DepExp_2013</vt:lpstr>
      <vt:lpstr>App.2-CM_MIFRS_DepExp_2014</vt:lpstr>
      <vt:lpstr>Instruction for App. 2-C CGAAP</vt:lpstr>
      <vt:lpstr>App.2-CN_OldCGAAP_DepExp_2012</vt:lpstr>
      <vt:lpstr>App.2-CO_NewCGAAP_DepExp_2012</vt:lpstr>
      <vt:lpstr>App.2-CP_NewCGAAP_DepExp_2013</vt:lpstr>
      <vt:lpstr>App.2-CQ NewCGAAP_DepExp_2014</vt:lpstr>
      <vt:lpstr>App.2-CR_OldCGAAP_DepExp_2012</vt:lpstr>
      <vt:lpstr>App.2-CS_OldCGAAP_DepExp_2013</vt:lpstr>
      <vt:lpstr>App.2-CT_NewCGAAP_DepExp_2013</vt:lpstr>
      <vt:lpstr>App.2-CU_NewCGAAP_DepExp_2014</vt:lpstr>
      <vt:lpstr>App.2-CV_USGAAP_DepExp</vt:lpstr>
      <vt:lpstr>App.2-DA_Overhead</vt:lpstr>
      <vt:lpstr>App.2-DB_Overhead</vt:lpstr>
      <vt:lpstr>App.2-EA_PP&amp;E Deferral Account</vt:lpstr>
      <vt:lpstr>App.2-EB_PP&amp;E Deferral Account</vt:lpstr>
      <vt:lpstr>App.2-EC_PP&amp;E Deferral Account</vt:lpstr>
      <vt:lpstr>App.2-ED_Account 1576 (2012)</vt:lpstr>
      <vt:lpstr>App.2-EE_Account 1576 (2013)</vt:lpstr>
      <vt:lpstr>App.2-FA Proposed REG Invest.</vt:lpstr>
      <vt:lpstr>App.2-FB Calc of REG Improvemnt</vt:lpstr>
      <vt:lpstr>App.2-FC Calc of REG Expansion</vt:lpstr>
      <vt:lpstr>App.2-G SQI</vt:lpstr>
      <vt:lpstr>App.2-H_Other_Oper_Rev</vt:lpstr>
      <vt:lpstr>App.2-I LF_CDM_WF</vt:lpstr>
      <vt:lpstr>App.2-JA_OM&amp;A_Summary_Analys</vt:lpstr>
      <vt:lpstr>App.2-JB_OM&amp;A_Cost _Drivers</vt:lpstr>
      <vt:lpstr>App.2-JC_OMA Programs</vt:lpstr>
      <vt:lpstr>App.2-K_Employee Costs</vt:lpstr>
      <vt:lpstr>App.2-L_OM&amp;A_per_Cust_FTEE</vt:lpstr>
      <vt:lpstr>App.2-M_Regulatory_Costs</vt:lpstr>
      <vt:lpstr>App.2-N_Corp_Cost_Allocation</vt:lpstr>
      <vt:lpstr>App.2-OA Capital Structure</vt:lpstr>
      <vt:lpstr>App.2-OB_Debt Instruments</vt:lpstr>
      <vt:lpstr>App.2-P_Cost_Allocation</vt:lpstr>
      <vt:lpstr>App.2-Q_Cost of Serv. Emb. Dx</vt:lpstr>
      <vt:lpstr>App.2-R_Loss Factors</vt:lpstr>
      <vt:lpstr>App.2-S_Stranded Meters</vt:lpstr>
      <vt:lpstr>App.2-TA_1592_Tax_Variance</vt:lpstr>
      <vt:lpstr>App.2-TB_1592_HST-OVAT</vt:lpstr>
      <vt:lpstr>App.2-U_IFRS Transition Costs</vt:lpstr>
      <vt:lpstr>App.2-V_Rev_Reconciliation</vt:lpstr>
      <vt:lpstr>App.2-W_Bill Impacts</vt:lpstr>
      <vt:lpstr>App.2-YA_MIFRS Summary Impacts</vt:lpstr>
      <vt:lpstr>App. 2-YB_CGAAP Summary Impacts</vt:lpstr>
      <vt:lpstr>App. 2-Z_Tariff</vt:lpstr>
      <vt:lpstr>lists</vt:lpstr>
      <vt:lpstr>lists2</vt:lpstr>
      <vt:lpstr>Sheet19</vt:lpstr>
      <vt:lpstr>BridgeYear</vt:lpstr>
      <vt:lpstr>CustomerAdministration</vt:lpstr>
      <vt:lpstr>EBNUMBER</vt:lpstr>
      <vt:lpstr>Fixed_Charges</vt:lpstr>
      <vt:lpstr>'List of Key References'!infra</vt:lpstr>
      <vt:lpstr>lists!LDC_LIST</vt:lpstr>
      <vt:lpstr>LDCLIST</vt:lpstr>
      <vt:lpstr>LDCNAMES</vt:lpstr>
      <vt:lpstr>LossFactors</vt:lpstr>
      <vt:lpstr>NonPayment</vt:lpstr>
      <vt:lpstr>'List of Key References'!OLE_LINK1</vt:lpstr>
      <vt:lpstr>'List of Key References'!OLE_LINK7</vt:lpstr>
      <vt:lpstr>'App. 2-Z_Tariff'!Print_Area</vt:lpstr>
      <vt:lpstr>'App.2-AA_Capital Projects'!Print_Area</vt:lpstr>
      <vt:lpstr>'App.2-BA1_Fix Asset Cont.CGAAP'!Print_Area</vt:lpstr>
      <vt:lpstr>'App.2-BA2_Fix Asset Cont.MIFRS'!Print_Area</vt:lpstr>
      <vt:lpstr>'App.2-CA_CGAAP_DepExp_2011'!Print_Area</vt:lpstr>
      <vt:lpstr>'App.2-CB_MIFRS_DepExp_2011'!Print_Area</vt:lpstr>
      <vt:lpstr>'App.2-CC_MIFRS_DepExp_2012'!Print_Area</vt:lpstr>
      <vt:lpstr>'App.2-CD_MIFRS_DepExp_2013'!Print_Area</vt:lpstr>
      <vt:lpstr>'App.2-CE_MIFRS_DepExp_2014'!Print_Area</vt:lpstr>
      <vt:lpstr>'App.2-CF_CGAAP_DepExp_2012'!Print_Area</vt:lpstr>
      <vt:lpstr>'App.2-CG_MIFRS_DepExp_2012'!Print_Area</vt:lpstr>
      <vt:lpstr>'App.2-CH_MIFRS_DepExp_2013'!Print_Area</vt:lpstr>
      <vt:lpstr>'App.2-CI_MIFRS_DepExp_2014'!Print_Area</vt:lpstr>
      <vt:lpstr>'App.2-CJ_CGAAP_DepExp_2012'!Print_Area</vt:lpstr>
      <vt:lpstr>'App.2-CK_CGAAP_DepExp_2013'!Print_Area</vt:lpstr>
      <vt:lpstr>'App.2-CL_MIFRS_DepExp_2013'!Print_Area</vt:lpstr>
      <vt:lpstr>'App.2-CM_MIFRS_DepExp_2014'!Print_Area</vt:lpstr>
      <vt:lpstr>'App.2-CN_OldCGAAP_DepExp_2012'!Print_Area</vt:lpstr>
      <vt:lpstr>'App.2-CO_NewCGAAP_DepExp_2012'!Print_Area</vt:lpstr>
      <vt:lpstr>'App.2-CP_NewCGAAP_DepExp_2013'!Print_Area</vt:lpstr>
      <vt:lpstr>'App.2-CQ NewCGAAP_DepExp_2014'!Print_Area</vt:lpstr>
      <vt:lpstr>'App.2-CR_OldCGAAP_DepExp_2012'!Print_Area</vt:lpstr>
      <vt:lpstr>'App.2-CS_OldCGAAP_DepExp_2013'!Print_Area</vt:lpstr>
      <vt:lpstr>'App.2-CT_NewCGAAP_DepExp_2013'!Print_Area</vt:lpstr>
      <vt:lpstr>'App.2-CU_NewCGAAP_DepExp_2014'!Print_Area</vt:lpstr>
      <vt:lpstr>'App.2-CV_USGAAP_DepExp'!Print_Area</vt:lpstr>
      <vt:lpstr>'App.2-DA_Overhead'!Print_Area</vt:lpstr>
      <vt:lpstr>'App.2-DB_Overhead'!Print_Area</vt:lpstr>
      <vt:lpstr>'App.2-H_Other_Oper_Rev'!Print_Area</vt:lpstr>
      <vt:lpstr>'App.2-JA_OM&amp;A_Summary_Analys'!Print_Area</vt:lpstr>
      <vt:lpstr>'App.2-JB_OM&amp;A_Cost _Drivers'!Print_Area</vt:lpstr>
      <vt:lpstr>'App.2-JC_OMA Programs'!Print_Area</vt:lpstr>
      <vt:lpstr>'App.2-K_Employee Costs'!Print_Area</vt:lpstr>
      <vt:lpstr>'App.2-L_OM&amp;A_per_Cust_FTEE'!Print_Area</vt:lpstr>
      <vt:lpstr>'App.2-M_Regulatory_Costs'!Print_Area</vt:lpstr>
      <vt:lpstr>'App.2-N_Corp_Cost_Allocation'!Print_Area</vt:lpstr>
      <vt:lpstr>'App.2-OA Capital Structure'!Print_Area</vt:lpstr>
      <vt:lpstr>'App.2-OB_Debt Instruments'!Print_Area</vt:lpstr>
      <vt:lpstr>'App.2-P_Cost_Allocation'!Print_Area</vt:lpstr>
      <vt:lpstr>'App.2-Q_Cost of Serv. Emb. Dx'!Print_Area</vt:lpstr>
      <vt:lpstr>'App.2-R_Loss Factors'!Print_Area</vt:lpstr>
      <vt:lpstr>'App.2-S_Stranded Meters'!Print_Area</vt:lpstr>
      <vt:lpstr>'App.2-TA_1592_Tax_Variance'!Print_Area</vt:lpstr>
      <vt:lpstr>'App.2-TB_1592_HST-OVAT'!Print_Area</vt:lpstr>
      <vt:lpstr>'App.2-U_IFRS Transition Costs'!Print_Area</vt:lpstr>
      <vt:lpstr>'App.2-V_Rev_Reconciliation'!Print_Area</vt:lpstr>
      <vt:lpstr>'App.2-W_Bill Impacts'!Print_Area</vt:lpstr>
      <vt:lpstr>'Appendix 2-BB Service Life Comp'!Print_Area</vt:lpstr>
      <vt:lpstr>'COS Flowchart'!Print_Area</vt:lpstr>
      <vt:lpstr>'LDC Info'!Print_Area</vt:lpstr>
      <vt:lpstr>'Table of Contents'!Print_Area</vt:lpstr>
      <vt:lpstr>Rate_Class</vt:lpstr>
      <vt:lpstr>RebaseYear</vt:lpstr>
      <vt:lpstr>TestYear</vt:lpstr>
      <vt:lpstr>Units</vt:lpstr>
      <vt:lpstr>Units1</vt:lpstr>
      <vt:lpstr>Units2</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ArmstrBi</dc:creator>
  <cp:lastModifiedBy>Sladjana Krljanac</cp:lastModifiedBy>
  <cp:lastPrinted>2014-04-29T22:17:45Z</cp:lastPrinted>
  <dcterms:created xsi:type="dcterms:W3CDTF">2009-03-26T15:32:04Z</dcterms:created>
  <dcterms:modified xsi:type="dcterms:W3CDTF">2014-04-30T18:48:49Z</dcterms:modified>
</cp:coreProperties>
</file>