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995"/>
  </bookViews>
  <sheets>
    <sheet name="Appendix 2-AA" sheetId="1" r:id="rId1"/>
  </sheets>
  <externalReferences>
    <externalReference r:id="rId2"/>
  </externalReferences>
  <definedNames>
    <definedName name="_xlnm.Print_Titles" localSheetId="0">'Appendix 2-AA'!$3:$3</definedName>
  </definedNames>
  <calcPr calcId="145621"/>
</workbook>
</file>

<file path=xl/calcChain.xml><?xml version="1.0" encoding="utf-8"?>
<calcChain xmlns="http://schemas.openxmlformats.org/spreadsheetml/2006/main">
  <c r="K73" i="1" l="1"/>
  <c r="K72" i="1"/>
  <c r="J72" i="1"/>
  <c r="I72" i="1"/>
  <c r="K71" i="1"/>
  <c r="J71" i="1"/>
  <c r="I71" i="1"/>
  <c r="K70" i="1"/>
  <c r="J70" i="1"/>
  <c r="I70" i="1"/>
  <c r="K69" i="1"/>
  <c r="J69" i="1"/>
  <c r="I69" i="1"/>
  <c r="H69" i="1"/>
  <c r="E69" i="1"/>
  <c r="H68" i="1"/>
  <c r="E68" i="1"/>
  <c r="H67" i="1"/>
  <c r="E67" i="1"/>
  <c r="J66" i="1"/>
  <c r="H66" i="1"/>
  <c r="E66" i="1"/>
  <c r="I65" i="1"/>
  <c r="H65" i="1"/>
  <c r="E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O64" i="1"/>
  <c r="O63" i="1"/>
  <c r="O62" i="1"/>
  <c r="O79" i="1" s="1"/>
  <c r="O81" i="1" s="1"/>
  <c r="N61" i="1"/>
  <c r="N60" i="1"/>
  <c r="N59" i="1"/>
  <c r="N58" i="1"/>
  <c r="N79" i="1" s="1"/>
  <c r="N81" i="1" s="1"/>
  <c r="M57" i="1"/>
  <c r="M56" i="1"/>
  <c r="M55" i="1"/>
  <c r="M79" i="1" s="1"/>
  <c r="M81" i="1" s="1"/>
  <c r="L54" i="1"/>
  <c r="L79" i="1" s="1"/>
  <c r="L81" i="1" s="1"/>
  <c r="L53" i="1"/>
  <c r="K52" i="1"/>
  <c r="K51" i="1"/>
  <c r="K50" i="1"/>
  <c r="K49" i="1"/>
  <c r="K79" i="1" s="1"/>
  <c r="K81" i="1" s="1"/>
  <c r="I44" i="1"/>
  <c r="I43" i="1"/>
  <c r="J43" i="1" s="1"/>
  <c r="I42" i="1"/>
  <c r="J42" i="1" s="1"/>
  <c r="J41" i="1"/>
  <c r="I40" i="1"/>
  <c r="J40" i="1" s="1"/>
  <c r="J79" i="1" s="1"/>
  <c r="J81" i="1" s="1"/>
  <c r="I3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G79" i="1" s="1"/>
  <c r="G81" i="1" s="1"/>
  <c r="F14" i="1"/>
  <c r="I13" i="1"/>
  <c r="H13" i="1"/>
  <c r="G13" i="1"/>
  <c r="F13" i="1"/>
  <c r="I12" i="1"/>
  <c r="I79" i="1" s="1"/>
  <c r="I81" i="1" s="1"/>
  <c r="H12" i="1"/>
  <c r="H79" i="1" s="1"/>
  <c r="H81" i="1" s="1"/>
  <c r="F12" i="1"/>
  <c r="F10" i="1"/>
  <c r="F6" i="1"/>
  <c r="F4" i="1"/>
  <c r="F79" i="1" s="1"/>
  <c r="F81" i="1" s="1"/>
</calcChain>
</file>

<file path=xl/comments1.xml><?xml version="1.0" encoding="utf-8"?>
<comments xmlns="http://schemas.openxmlformats.org/spreadsheetml/2006/main">
  <authors>
    <author>Judy Van Patter</author>
  </authors>
  <commentList>
    <comment ref="H12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Includes miscellaenous cost $-12,044 plus $1 to match actuals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Includes miscellaneous cost $42,299 plus $1.66 to match actuals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Includes difference unaccountable for Conversion work $63,068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Budget $475,000 minus 2012 &amp; 2013 costs - minus difference from Larry's estimates ($36,452)
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Budget $85,000 minus costs for 2013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Budget $420,000 minus 2013 costs
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Judy Van Patter:</t>
        </r>
        <r>
          <rPr>
            <sz val="9"/>
            <color indexed="81"/>
            <rFont val="Tahoma"/>
            <family val="2"/>
          </rPr>
          <t xml:space="preserve">
Budget $115,000 minus costs for 2013</t>
        </r>
      </text>
    </comment>
  </commentList>
</comments>
</file>

<file path=xl/sharedStrings.xml><?xml version="1.0" encoding="utf-8"?>
<sst xmlns="http://schemas.openxmlformats.org/spreadsheetml/2006/main" count="143" uniqueCount="82">
  <si>
    <t>Appendix 2-AA</t>
  </si>
  <si>
    <t>Distribution Capital Projects</t>
  </si>
  <si>
    <t>Category</t>
  </si>
  <si>
    <t>Job Type</t>
  </si>
  <si>
    <t>NO.</t>
  </si>
  <si>
    <t>PROJECT NAME</t>
  </si>
  <si>
    <t>2014 Bridge Year</t>
  </si>
  <si>
    <t>2015 Test Year</t>
  </si>
  <si>
    <t>System Access</t>
  </si>
  <si>
    <t>New Subdivision - Lake Margaret, Phase 9</t>
  </si>
  <si>
    <t>New Subdivision - Orchard Park, Phase 3</t>
  </si>
  <si>
    <t>System Renewal</t>
  </si>
  <si>
    <t>Voltage Conversion - Chestnut East of Fifth</t>
  </si>
  <si>
    <t>System Service</t>
  </si>
  <si>
    <t>Build New OH Powerline - Sutherland Line</t>
  </si>
  <si>
    <t>Relocate Poles - Wellington - Princess to Elgin</t>
  </si>
  <si>
    <t>New Subdivision - Shaw Valley, Phase 2A</t>
  </si>
  <si>
    <t>New Subdivision - Dalewood Meadows, Phase 4A</t>
  </si>
  <si>
    <t>New Subdivision - Dalewood Meadows, Phase 4B</t>
  </si>
  <si>
    <t>New Subdivision - Misc</t>
  </si>
  <si>
    <t>Voltage Conversion - Misc.</t>
  </si>
  <si>
    <t>202/204/240/230/231</t>
  </si>
  <si>
    <t>New Services Residential - Misc</t>
  </si>
  <si>
    <t>205/241/242/231</t>
  </si>
  <si>
    <t>New Services Commercial - Misc</t>
  </si>
  <si>
    <t>Municipal Road Rebuilds - Misc</t>
  </si>
  <si>
    <t>215/260</t>
  </si>
  <si>
    <t>Pole Replacement Program</t>
  </si>
  <si>
    <t>Voltage Conversion - Locust, Fifth to Third</t>
  </si>
  <si>
    <t>Voltage Conversion - Fourth, Myrtle, Forest, Erie</t>
  </si>
  <si>
    <t>Voltage Conversion - Forest, Third, Erie, Second</t>
  </si>
  <si>
    <t>New Subdivision - Orchard Park, Phase 4</t>
  </si>
  <si>
    <t>Voltage Conversion - Elmina/Churchill Area</t>
  </si>
  <si>
    <t>Voltage Conversion - Dieppe, Dunkirk, Churchill</t>
  </si>
  <si>
    <t>Upgrade Service - 84 Edward - School</t>
  </si>
  <si>
    <t>Upgrade Service - 22 S. Edgeware - School</t>
  </si>
  <si>
    <t>New Subdivision - Dalewood Meadows, Phase 5</t>
  </si>
  <si>
    <t>215/270</t>
  </si>
  <si>
    <t>Voltage Conversion - Meehan, Montgomery, Coyne</t>
  </si>
  <si>
    <t>Voltage Conversion - Parkview, Pinafore, etc.</t>
  </si>
  <si>
    <t>Smart Meter Transfer</t>
  </si>
  <si>
    <t>New Subdivision - Shaw Valley, Phase 2B</t>
  </si>
  <si>
    <t>New Subdivision - Lake Margaret Estates, Phase 11</t>
  </si>
  <si>
    <t>New Subdivision - Dalewood Meadows, Phase 6</t>
  </si>
  <si>
    <t>New Subdivision - Orchard Park, Phase 5</t>
  </si>
  <si>
    <t>New Subdivision - Orchard Park South</t>
  </si>
  <si>
    <t>Voltage Conversion - Churchill &amp; Chestnut Area</t>
  </si>
  <si>
    <t>Voltage Conversion - Alma Kains North</t>
  </si>
  <si>
    <t>Voltage Conversion - Stokes &amp; Manor</t>
  </si>
  <si>
    <t>Voltage Conversion - McLachlin Place</t>
  </si>
  <si>
    <t>Voltage Conversion - Massey &amp; Michener</t>
  </si>
  <si>
    <t>Voltage Conversion - Luton, McLarty, Dyer Area</t>
  </si>
  <si>
    <t>Voltage Conversion - Erie, Talequah to Park</t>
  </si>
  <si>
    <t>Voltage Conversion - Highview, Vanbuskirk &amp; McCully Area</t>
  </si>
  <si>
    <t>Voltage Conversion - Steele St.</t>
  </si>
  <si>
    <t>Voltage Conversion - Locke, Rosemount area</t>
  </si>
  <si>
    <t>System Upgrade - Bush Line</t>
  </si>
  <si>
    <t>Voltage Conversion - Mary St. East</t>
  </si>
  <si>
    <t>Voltage Conversion - Warehouse, Park to Fairview</t>
  </si>
  <si>
    <t>Voltage Conversion - Mandeville West of First</t>
  </si>
  <si>
    <t>Voltage Conversion - Fairview, Sinclair &amp; Talbot Area</t>
  </si>
  <si>
    <t>Voltage Conversion - Paulson, Gustin &amp; Paddon Area</t>
  </si>
  <si>
    <t>Voltage Conversion - Confederation, Lakeview, Stirling Area</t>
  </si>
  <si>
    <t>Build New Powerline - Elmwood Ave</t>
  </si>
  <si>
    <t>Voltage Conversion - Hammond, Patricia, Inkerman, Daniel Area</t>
  </si>
  <si>
    <t>Voltage Conversion - Highview, Aspen, Chestnut, Croatia, Pol Area</t>
  </si>
  <si>
    <t>Voltage Conversion - Tecumseh, Montcalm, Brock, Alma Area</t>
  </si>
  <si>
    <t>Voltage Conversion - Park, Mary Bucke, Forest &amp; First Area</t>
  </si>
  <si>
    <t>Voltage Conversion - Balaclava &amp; S. Edgeware Area</t>
  </si>
  <si>
    <t>Build New Powerline - Centennial, Talbot to Wellington</t>
  </si>
  <si>
    <t>Voltage Conversion - Applewood, Lawrence, Butler, Dyer Area</t>
  </si>
  <si>
    <t>Voltage Conversion - Major Line West of Sunset Area</t>
  </si>
  <si>
    <t>System Upgrade - Edward, Gaylord, East side of Elgin Mall</t>
  </si>
  <si>
    <t>Voltage Conversion - First, Thompson, Glanworth, Ashton Area</t>
  </si>
  <si>
    <t>Voltage Conversion - Aldborough, Airey, Vanier Area</t>
  </si>
  <si>
    <t>Voltage Conversion - Aldborough, Pullen, Sparta, Parish Area</t>
  </si>
  <si>
    <t>Computer hardward &amp; software</t>
  </si>
  <si>
    <t>Fleet</t>
  </si>
  <si>
    <t>Building, furniture &amp; equipment</t>
  </si>
  <si>
    <t>SCADA</t>
  </si>
  <si>
    <t>TOTAL</t>
  </si>
  <si>
    <t>Less Renewable Generation Facility Assests and Other Non Rate-Regulated Utility Assests (input as negative)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</si>
</sst>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color rgb="FF9C0006"/>
      <name val="Arial"/>
      <family val="2"/>
    </font>
    <font>
      <b/>
      <sz val="8"/>
      <color rgb="FFFA7D00"/>
      <name val="Arial"/>
      <family val="2"/>
    </font>
    <font>
      <b/>
      <sz val="8"/>
      <color theme="0"/>
      <name val="Arial"/>
      <family val="2"/>
    </font>
    <font>
      <sz val="10"/>
      <color theme="1"/>
      <name val="Tahoma"/>
      <family val="2"/>
    </font>
    <font>
      <i/>
      <sz val="8"/>
      <color rgb="FF7F7F7F"/>
      <name val="Arial"/>
      <family val="2"/>
    </font>
    <font>
      <sz val="8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3F3F76"/>
      <name val="Arial"/>
      <family val="2"/>
    </font>
    <font>
      <sz val="8"/>
      <color rgb="FFFA7D00"/>
      <name val="Arial"/>
      <family val="2"/>
    </font>
    <font>
      <sz val="8"/>
      <color rgb="FF9C6500"/>
      <name val="Arial"/>
      <family val="2"/>
    </font>
    <font>
      <b/>
      <sz val="8"/>
      <color rgb="FF3F3F3F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4" applyNumberFormat="0" applyAlignment="0" applyProtection="0"/>
    <xf numFmtId="0" fontId="13" fillId="7" borderId="7" applyNumberFormat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4" fillId="0" borderId="0"/>
    <xf numFmtId="0" fontId="4" fillId="0" borderId="0"/>
    <xf numFmtId="0" fontId="9" fillId="8" borderId="8" applyNumberFormat="0" applyFont="0" applyAlignment="0" applyProtection="0"/>
    <xf numFmtId="0" fontId="23" fillId="6" borderId="5" applyNumberFormat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39">
    <xf numFmtId="0" fontId="0" fillId="0" borderId="0" xfId="0"/>
    <xf numFmtId="0" fontId="2" fillId="33" borderId="11" xfId="0" applyFont="1" applyFill="1" applyBorder="1"/>
    <xf numFmtId="0" fontId="2" fillId="33" borderId="11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 wrapText="1"/>
    </xf>
    <xf numFmtId="0" fontId="0" fillId="34" borderId="11" xfId="0" applyFill="1" applyBorder="1"/>
    <xf numFmtId="0" fontId="0" fillId="0" borderId="11" xfId="0" applyBorder="1"/>
    <xf numFmtId="0" fontId="4" fillId="0" borderId="11" xfId="1" applyFont="1" applyFill="1" applyBorder="1" applyAlignment="1">
      <alignment horizontal="left"/>
    </xf>
    <xf numFmtId="3" fontId="4" fillId="0" borderId="12" xfId="1" applyNumberFormat="1" applyFill="1" applyBorder="1"/>
    <xf numFmtId="3" fontId="0" fillId="0" borderId="12" xfId="0" applyNumberFormat="1" applyBorder="1"/>
    <xf numFmtId="0" fontId="0" fillId="0" borderId="12" xfId="0" applyBorder="1"/>
    <xf numFmtId="0" fontId="0" fillId="0" borderId="11" xfId="0" applyFill="1" applyBorder="1"/>
    <xf numFmtId="0" fontId="4" fillId="0" borderId="11" xfId="1" applyFill="1" applyBorder="1" applyAlignment="1">
      <alignment horizontal="left"/>
    </xf>
    <xf numFmtId="3" fontId="4" fillId="0" borderId="11" xfId="1" applyNumberFormat="1" applyFill="1" applyBorder="1"/>
    <xf numFmtId="3" fontId="0" fillId="0" borderId="11" xfId="0" applyNumberFormat="1" applyBorder="1"/>
    <xf numFmtId="0" fontId="0" fillId="35" borderId="11" xfId="0" applyFill="1" applyBorder="1"/>
    <xf numFmtId="3" fontId="4" fillId="0" borderId="11" xfId="1" applyNumberFormat="1" applyBorder="1"/>
    <xf numFmtId="0" fontId="0" fillId="36" borderId="11" xfId="0" applyFill="1" applyBorder="1"/>
    <xf numFmtId="0" fontId="0" fillId="0" borderId="11" xfId="0" applyBorder="1" applyAlignment="1">
      <alignment horizontal="right"/>
    </xf>
    <xf numFmtId="3" fontId="4" fillId="0" borderId="11" xfId="1" applyNumberFormat="1" applyFont="1" applyFill="1" applyBorder="1"/>
    <xf numFmtId="3" fontId="0" fillId="0" borderId="11" xfId="0" applyNumberFormat="1" applyFill="1" applyBorder="1"/>
    <xf numFmtId="0" fontId="0" fillId="0" borderId="0" xfId="0" applyFill="1"/>
    <xf numFmtId="0" fontId="4" fillId="0" borderId="11" xfId="1" applyFont="1" applyBorder="1" applyAlignment="1">
      <alignment horizontal="left"/>
    </xf>
    <xf numFmtId="3" fontId="0" fillId="0" borderId="11" xfId="0" applyNumberFormat="1" applyBorder="1" applyAlignment="1">
      <alignment horizontal="left"/>
    </xf>
    <xf numFmtId="0" fontId="4" fillId="0" borderId="11" xfId="2" applyFont="1" applyFill="1" applyBorder="1"/>
    <xf numFmtId="0" fontId="4" fillId="0" borderId="11" xfId="1" applyBorder="1" applyAlignment="1">
      <alignment horizontal="left"/>
    </xf>
    <xf numFmtId="3" fontId="5" fillId="0" borderId="11" xfId="3" applyNumberFormat="1" applyFont="1" applyFill="1" applyBorder="1" applyAlignment="1">
      <alignment horizontal="center"/>
    </xf>
    <xf numFmtId="4" fontId="4" fillId="0" borderId="11" xfId="1" applyNumberFormat="1" applyBorder="1"/>
    <xf numFmtId="0" fontId="0" fillId="35" borderId="0" xfId="0" applyFill="1" applyBorder="1"/>
    <xf numFmtId="0" fontId="0" fillId="0" borderId="0" xfId="0" applyBorder="1"/>
    <xf numFmtId="0" fontId="6" fillId="33" borderId="12" xfId="1" applyFont="1" applyFill="1" applyBorder="1" applyAlignment="1">
      <alignment horizontal="left"/>
    </xf>
    <xf numFmtId="3" fontId="6" fillId="33" borderId="11" xfId="1" applyNumberFormat="1" applyFont="1" applyFill="1" applyBorder="1"/>
    <xf numFmtId="4" fontId="6" fillId="0" borderId="11" xfId="1" applyNumberFormat="1" applyFont="1" applyFill="1" applyBorder="1" applyAlignment="1">
      <alignment wrapText="1"/>
    </xf>
    <xf numFmtId="3" fontId="6" fillId="0" borderId="11" xfId="1" applyNumberFormat="1" applyFont="1" applyFill="1" applyBorder="1"/>
    <xf numFmtId="0" fontId="6" fillId="33" borderId="11" xfId="1" applyFont="1" applyFill="1" applyBorder="1" applyAlignment="1">
      <alignment horizontal="left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</cellXfs>
  <cellStyles count="6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2" xfId="31"/>
    <cellStyle name="Comma 3" xfId="32"/>
    <cellStyle name="Currency 2" xfId="3"/>
    <cellStyle name="Currency 2 2" xfId="33"/>
    <cellStyle name="Currency 3" xfId="34"/>
    <cellStyle name="Currency 4" xfId="35"/>
    <cellStyle name="Currency 5" xfId="36"/>
    <cellStyle name="Explanatory Text 2" xfId="37"/>
    <cellStyle name="Good 2" xfId="38"/>
    <cellStyle name="Heading 1 2" xfId="39"/>
    <cellStyle name="Heading 1 3" xfId="40"/>
    <cellStyle name="Heading 2 2" xfId="41"/>
    <cellStyle name="Heading 2 3" xfId="42"/>
    <cellStyle name="Heading 3 2" xfId="43"/>
    <cellStyle name="Heading 3 3" xfId="44"/>
    <cellStyle name="Heading 4 2" xfId="45"/>
    <cellStyle name="Heading 4 3" xfId="46"/>
    <cellStyle name="Input 2" xfId="47"/>
    <cellStyle name="Linked Cell 2" xfId="48"/>
    <cellStyle name="Neutral 2" xfId="49"/>
    <cellStyle name="Normal" xfId="0" builtinId="0"/>
    <cellStyle name="Normal 2" xfId="1"/>
    <cellStyle name="Normal 2 2" xfId="50"/>
    <cellStyle name="Normal 2 3" xfId="2"/>
    <cellStyle name="Normal 3" xfId="51"/>
    <cellStyle name="Normal 3 2" xfId="52"/>
    <cellStyle name="Normal 4" xfId="53"/>
    <cellStyle name="Normal 5" xfId="54"/>
    <cellStyle name="Note 2" xfId="55"/>
    <cellStyle name="Output 2" xfId="56"/>
    <cellStyle name="Percent 2" xfId="57"/>
    <cellStyle name="Percent 3" xfId="58"/>
    <cellStyle name="Percent 4" xfId="59"/>
    <cellStyle name="Percent 5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Schedules%202AA_2AB%20year%20over%20year%20variances%20-%20Appendix%202_Judy_April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-34 - 2015 vs 2014"/>
      <sheetName val="Table 2-34 - 2014 vs 2013"/>
      <sheetName val="Table 2-34 - 2013 vs 2012"/>
      <sheetName val="Table 2-34 - 2012 vs 2011"/>
      <sheetName val="Table 2-34 - 2011 vs 2010"/>
      <sheetName val="Table 2-32 Major Project by Yr"/>
      <sheetName val="Appendix 2-AB"/>
      <sheetName val="Appendix 2-AA"/>
      <sheetName val="Budget Info"/>
      <sheetName val="Appendix 2-AA - Worksheet"/>
      <sheetName val="By Cost &amp; Category - Worksheet"/>
      <sheetName val="Actual Costs - Worksheet"/>
      <sheetName val="Eng Projects"/>
    </sheetNames>
    <sheetDataSet>
      <sheetData sheetId="0">
        <row r="10">
          <cell r="E10">
            <v>150000</v>
          </cell>
        </row>
        <row r="11">
          <cell r="F11">
            <v>98000</v>
          </cell>
        </row>
        <row r="12">
          <cell r="F12">
            <v>125000</v>
          </cell>
        </row>
        <row r="13">
          <cell r="F13">
            <v>170000</v>
          </cell>
        </row>
        <row r="14">
          <cell r="F14">
            <v>20000</v>
          </cell>
        </row>
        <row r="15">
          <cell r="F15">
            <v>50000</v>
          </cell>
        </row>
      </sheetData>
      <sheetData sheetId="1">
        <row r="15">
          <cell r="F15">
            <v>116000</v>
          </cell>
        </row>
        <row r="16">
          <cell r="F16">
            <v>264000</v>
          </cell>
        </row>
        <row r="17">
          <cell r="F17">
            <v>170000</v>
          </cell>
        </row>
        <row r="18">
          <cell r="F18">
            <v>28000</v>
          </cell>
        </row>
      </sheetData>
      <sheetData sheetId="2">
        <row r="16">
          <cell r="F16">
            <v>69795</v>
          </cell>
        </row>
        <row r="19">
          <cell r="F19">
            <v>180898</v>
          </cell>
        </row>
        <row r="20">
          <cell r="F20">
            <v>247083</v>
          </cell>
        </row>
        <row r="21">
          <cell r="F21">
            <v>17973</v>
          </cell>
        </row>
        <row r="22">
          <cell r="F22">
            <v>22888</v>
          </cell>
        </row>
      </sheetData>
      <sheetData sheetId="3">
        <row r="15">
          <cell r="D15" t="str">
            <v>Asset Transfer - Restructuring</v>
          </cell>
          <cell r="F15">
            <v>1407734</v>
          </cell>
        </row>
        <row r="16">
          <cell r="D16" t="str">
            <v>GIS</v>
          </cell>
          <cell r="F16">
            <v>397908</v>
          </cell>
        </row>
        <row r="17">
          <cell r="D17" t="str">
            <v>New Financial software</v>
          </cell>
          <cell r="F17">
            <v>353134</v>
          </cell>
        </row>
        <row r="18">
          <cell r="D18" t="str">
            <v>Smart Meter Transfer</v>
          </cell>
          <cell r="F18">
            <v>185288</v>
          </cell>
        </row>
        <row r="19">
          <cell r="D19" t="str">
            <v>Other</v>
          </cell>
          <cell r="F19">
            <v>37621</v>
          </cell>
        </row>
      </sheetData>
      <sheetData sheetId="4"/>
      <sheetData sheetId="5"/>
      <sheetData sheetId="6"/>
      <sheetData sheetId="7"/>
      <sheetData sheetId="8"/>
      <sheetData sheetId="9">
        <row r="18">
          <cell r="G18">
            <v>-12043</v>
          </cell>
          <cell r="H18">
            <v>42300.66</v>
          </cell>
        </row>
        <row r="72">
          <cell r="E72">
            <v>201630.28</v>
          </cell>
          <cell r="F72">
            <v>36140.03</v>
          </cell>
        </row>
      </sheetData>
      <sheetData sheetId="10"/>
      <sheetData sheetId="11">
        <row r="12">
          <cell r="I12">
            <v>16577.349999999999</v>
          </cell>
          <cell r="J12">
            <v>1269.71</v>
          </cell>
        </row>
        <row r="15">
          <cell r="J15">
            <v>1220.27</v>
          </cell>
        </row>
        <row r="16">
          <cell r="I16">
            <v>684.62</v>
          </cell>
        </row>
        <row r="17">
          <cell r="I17">
            <v>2868.32</v>
          </cell>
        </row>
        <row r="18">
          <cell r="G18">
            <v>-592.32000000000005</v>
          </cell>
        </row>
        <row r="21">
          <cell r="G21">
            <v>29137.65</v>
          </cell>
        </row>
        <row r="22">
          <cell r="G22">
            <v>18058.650000000001</v>
          </cell>
        </row>
        <row r="23">
          <cell r="G23">
            <v>2176.1999999999998</v>
          </cell>
        </row>
        <row r="27">
          <cell r="G27">
            <v>32747.83</v>
          </cell>
          <cell r="H27">
            <v>199.91</v>
          </cell>
        </row>
        <row r="28">
          <cell r="H28">
            <v>9262.85</v>
          </cell>
        </row>
        <row r="29">
          <cell r="H29">
            <v>27189.48</v>
          </cell>
        </row>
        <row r="32">
          <cell r="H32">
            <v>3231.62</v>
          </cell>
          <cell r="I32">
            <v>15576.71</v>
          </cell>
        </row>
        <row r="38">
          <cell r="J38">
            <v>135343.63</v>
          </cell>
        </row>
        <row r="40">
          <cell r="J40">
            <v>226098.44</v>
          </cell>
        </row>
        <row r="42">
          <cell r="J42">
            <v>379043.82</v>
          </cell>
        </row>
        <row r="43">
          <cell r="J43">
            <v>471.29</v>
          </cell>
        </row>
        <row r="44">
          <cell r="J44">
            <v>4821.34</v>
          </cell>
        </row>
        <row r="45">
          <cell r="J45">
            <v>68.03</v>
          </cell>
        </row>
        <row r="48">
          <cell r="I48">
            <v>9172.51</v>
          </cell>
          <cell r="J48">
            <v>22471.23</v>
          </cell>
        </row>
        <row r="53">
          <cell r="I53">
            <v>1017.87</v>
          </cell>
        </row>
        <row r="54">
          <cell r="I54">
            <v>212.51</v>
          </cell>
        </row>
        <row r="55">
          <cell r="I55">
            <v>16155.78</v>
          </cell>
          <cell r="J55">
            <v>17343</v>
          </cell>
        </row>
        <row r="56">
          <cell r="I56">
            <v>451.05</v>
          </cell>
          <cell r="J56">
            <v>6024.04</v>
          </cell>
        </row>
        <row r="57">
          <cell r="H57">
            <v>8.8699999999999992</v>
          </cell>
        </row>
        <row r="58">
          <cell r="J58">
            <v>2730.63</v>
          </cell>
        </row>
        <row r="60">
          <cell r="I60">
            <v>3583.87</v>
          </cell>
        </row>
        <row r="61">
          <cell r="I61">
            <v>6828.73</v>
          </cell>
        </row>
        <row r="63">
          <cell r="G63">
            <v>12312.61</v>
          </cell>
        </row>
        <row r="64">
          <cell r="G64">
            <v>3916.54</v>
          </cell>
        </row>
        <row r="65">
          <cell r="G65">
            <v>24885.1</v>
          </cell>
        </row>
        <row r="67">
          <cell r="H67">
            <v>23546.85</v>
          </cell>
          <cell r="I67">
            <v>427.24</v>
          </cell>
        </row>
        <row r="68">
          <cell r="I68">
            <v>541.72</v>
          </cell>
        </row>
        <row r="69">
          <cell r="I69">
            <v>107.57</v>
          </cell>
          <cell r="J69">
            <v>44</v>
          </cell>
        </row>
        <row r="70">
          <cell r="I70">
            <v>6186.19</v>
          </cell>
          <cell r="J70">
            <v>461.94</v>
          </cell>
        </row>
        <row r="71">
          <cell r="I71">
            <v>4492.22</v>
          </cell>
          <cell r="J71">
            <v>373.94</v>
          </cell>
        </row>
        <row r="72">
          <cell r="J72">
            <v>6630.4</v>
          </cell>
        </row>
        <row r="73">
          <cell r="J73">
            <v>3539.19</v>
          </cell>
        </row>
        <row r="74">
          <cell r="J74">
            <v>1790.1</v>
          </cell>
        </row>
        <row r="75">
          <cell r="J75">
            <v>16561.07</v>
          </cell>
        </row>
        <row r="77">
          <cell r="G77">
            <v>6152.82</v>
          </cell>
          <cell r="H77">
            <v>1711.76</v>
          </cell>
          <cell r="I77">
            <v>9795.7000000000007</v>
          </cell>
          <cell r="J77">
            <v>31906.68</v>
          </cell>
        </row>
        <row r="78">
          <cell r="I78">
            <v>12822.87</v>
          </cell>
          <cell r="J78">
            <v>6932</v>
          </cell>
        </row>
        <row r="79">
          <cell r="G79">
            <v>57423.85</v>
          </cell>
          <cell r="H79">
            <v>39419.300000000003</v>
          </cell>
        </row>
        <row r="80">
          <cell r="G80">
            <v>23978.27</v>
          </cell>
          <cell r="H80">
            <v>25798.11</v>
          </cell>
        </row>
        <row r="82">
          <cell r="I82">
            <v>1625</v>
          </cell>
          <cell r="J82">
            <v>814.26</v>
          </cell>
        </row>
        <row r="83">
          <cell r="I83">
            <v>28336.09</v>
          </cell>
          <cell r="J83">
            <v>35908.82</v>
          </cell>
        </row>
        <row r="84">
          <cell r="I84">
            <v>1966.46</v>
          </cell>
          <cell r="J84">
            <v>3217.94</v>
          </cell>
        </row>
        <row r="85">
          <cell r="I85">
            <v>168.38</v>
          </cell>
          <cell r="J85">
            <v>840.34</v>
          </cell>
        </row>
        <row r="87">
          <cell r="G87">
            <v>9954.9699999999993</v>
          </cell>
        </row>
        <row r="88">
          <cell r="G88">
            <v>40148.839999999997</v>
          </cell>
        </row>
        <row r="89">
          <cell r="G89">
            <v>24323</v>
          </cell>
        </row>
        <row r="90">
          <cell r="G90">
            <v>1683.33</v>
          </cell>
          <cell r="H90">
            <v>2047.78</v>
          </cell>
        </row>
        <row r="93">
          <cell r="H93">
            <v>36387.22</v>
          </cell>
        </row>
        <row r="94">
          <cell r="H94">
            <v>2520.36</v>
          </cell>
        </row>
        <row r="95">
          <cell r="H95">
            <v>15393.07</v>
          </cell>
        </row>
        <row r="96">
          <cell r="H96">
            <v>4153.04</v>
          </cell>
        </row>
        <row r="97">
          <cell r="H97">
            <v>242.19</v>
          </cell>
        </row>
        <row r="98">
          <cell r="H98">
            <v>1571.15</v>
          </cell>
        </row>
        <row r="99">
          <cell r="H99">
            <v>120.17</v>
          </cell>
          <cell r="I99">
            <v>21.34</v>
          </cell>
        </row>
        <row r="100">
          <cell r="H100">
            <v>4235.95</v>
          </cell>
        </row>
        <row r="101">
          <cell r="I101">
            <v>45412.41</v>
          </cell>
          <cell r="J101">
            <v>22</v>
          </cell>
        </row>
        <row r="102">
          <cell r="I102">
            <v>4024.48</v>
          </cell>
        </row>
        <row r="103">
          <cell r="I103">
            <v>2537.64</v>
          </cell>
          <cell r="J103">
            <v>9127.9599999999991</v>
          </cell>
        </row>
        <row r="104">
          <cell r="I104">
            <v>391.91</v>
          </cell>
          <cell r="J104">
            <v>33054.910000000003</v>
          </cell>
        </row>
        <row r="105">
          <cell r="I105">
            <v>1964.74</v>
          </cell>
          <cell r="J105">
            <v>27275.33</v>
          </cell>
        </row>
        <row r="106">
          <cell r="J106">
            <v>5138.25</v>
          </cell>
        </row>
        <row r="107">
          <cell r="J107">
            <v>747.86</v>
          </cell>
        </row>
        <row r="108">
          <cell r="J108">
            <v>740.61</v>
          </cell>
        </row>
        <row r="109">
          <cell r="J109">
            <v>134.66999999999999</v>
          </cell>
        </row>
        <row r="110">
          <cell r="J110">
            <v>-461.81</v>
          </cell>
        </row>
        <row r="111">
          <cell r="J111">
            <v>1703.64</v>
          </cell>
        </row>
        <row r="112">
          <cell r="J112">
            <v>1291.23</v>
          </cell>
        </row>
        <row r="113">
          <cell r="J113">
            <v>1608.69</v>
          </cell>
        </row>
        <row r="114">
          <cell r="J114">
            <v>409.69</v>
          </cell>
        </row>
        <row r="115">
          <cell r="J115">
            <v>516.17999999999995</v>
          </cell>
        </row>
        <row r="116">
          <cell r="J116">
            <v>6447.97</v>
          </cell>
        </row>
        <row r="117">
          <cell r="J117">
            <v>25.96</v>
          </cell>
        </row>
        <row r="118">
          <cell r="J118">
            <v>536.45000000000005</v>
          </cell>
        </row>
        <row r="119">
          <cell r="J119">
            <v>226.73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5"/>
  <sheetViews>
    <sheetView tabSelected="1" zoomScaleNormal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Q11" sqref="Q11"/>
    </sheetView>
  </sheetViews>
  <sheetFormatPr defaultRowHeight="15" x14ac:dyDescent="0.25"/>
  <cols>
    <col min="1" max="1" width="14.28515625" hidden="1" customWidth="1"/>
    <col min="2" max="2" width="8.42578125" hidden="1" customWidth="1"/>
    <col min="3" max="3" width="3.28515625" customWidth="1"/>
    <col min="4" max="4" width="4.7109375" customWidth="1"/>
    <col min="5" max="5" width="56.28515625" bestFit="1" customWidth="1"/>
    <col min="6" max="6" width="16.7109375" bestFit="1" customWidth="1"/>
    <col min="7" max="7" width="10.140625" bestFit="1" customWidth="1"/>
    <col min="8" max="8" width="12.5703125" customWidth="1"/>
    <col min="9" max="9" width="10.140625" bestFit="1" customWidth="1"/>
    <col min="10" max="10" width="10.7109375" bestFit="1" customWidth="1"/>
    <col min="11" max="11" width="10.140625" bestFit="1" customWidth="1"/>
    <col min="12" max="12" width="11.140625" customWidth="1"/>
    <col min="13" max="15" width="10.140625" bestFit="1" customWidth="1"/>
    <col min="17" max="17" width="10" bestFit="1" customWidth="1"/>
  </cols>
  <sheetData>
    <row r="1" spans="1:15" ht="18.75" x14ac:dyDescent="0.3">
      <c r="E1" s="37" t="s">
        <v>0</v>
      </c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8.75" x14ac:dyDescent="0.3">
      <c r="E2" s="38" t="s">
        <v>1</v>
      </c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45" x14ac:dyDescent="0.25">
      <c r="A3" s="1" t="s">
        <v>2</v>
      </c>
      <c r="B3" s="1" t="s">
        <v>3</v>
      </c>
      <c r="D3" s="2" t="s">
        <v>4</v>
      </c>
      <c r="E3" s="2" t="s">
        <v>5</v>
      </c>
      <c r="F3" s="2">
        <v>2010</v>
      </c>
      <c r="G3" s="2">
        <v>2011</v>
      </c>
      <c r="H3" s="2">
        <v>2012</v>
      </c>
      <c r="I3" s="2">
        <v>2013</v>
      </c>
      <c r="J3" s="3" t="s">
        <v>6</v>
      </c>
      <c r="K3" s="3" t="s">
        <v>7</v>
      </c>
      <c r="L3" s="2">
        <v>2016</v>
      </c>
      <c r="M3" s="2">
        <v>2017</v>
      </c>
      <c r="N3" s="2">
        <v>2018</v>
      </c>
      <c r="O3" s="2">
        <v>2019</v>
      </c>
    </row>
    <row r="4" spans="1:15" x14ac:dyDescent="0.25">
      <c r="A4" s="4" t="s">
        <v>8</v>
      </c>
      <c r="B4" s="5">
        <v>200</v>
      </c>
      <c r="D4" s="5">
        <v>1</v>
      </c>
      <c r="E4" s="6" t="s">
        <v>9</v>
      </c>
      <c r="F4" s="7">
        <f>45733.1+35754.26</f>
        <v>81487.360000000001</v>
      </c>
      <c r="G4" s="8"/>
      <c r="H4" s="8"/>
      <c r="I4" s="9"/>
      <c r="J4" s="9"/>
      <c r="K4" s="9"/>
      <c r="L4" s="9"/>
      <c r="M4" s="9"/>
      <c r="N4" s="9"/>
      <c r="O4" s="9"/>
    </row>
    <row r="5" spans="1:15" x14ac:dyDescent="0.25">
      <c r="A5" s="4" t="s">
        <v>8</v>
      </c>
      <c r="B5" s="10">
        <v>200</v>
      </c>
      <c r="D5" s="10">
        <v>2</v>
      </c>
      <c r="E5" s="11" t="s">
        <v>10</v>
      </c>
      <c r="F5" s="12">
        <v>71980.28</v>
      </c>
      <c r="G5" s="13"/>
      <c r="H5" s="13"/>
      <c r="I5" s="5"/>
      <c r="J5" s="5"/>
      <c r="K5" s="5"/>
      <c r="L5" s="5"/>
      <c r="M5" s="5"/>
      <c r="N5" s="5"/>
      <c r="O5" s="5"/>
    </row>
    <row r="6" spans="1:15" x14ac:dyDescent="0.25">
      <c r="A6" s="14" t="s">
        <v>11</v>
      </c>
      <c r="B6" s="5">
        <v>215</v>
      </c>
      <c r="D6" s="5">
        <v>3</v>
      </c>
      <c r="E6" s="6" t="s">
        <v>12</v>
      </c>
      <c r="F6" s="15">
        <f>79389.98+5309.87</f>
        <v>84699.849999999991</v>
      </c>
      <c r="G6" s="12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6" t="s">
        <v>13</v>
      </c>
      <c r="B7" s="5">
        <v>210</v>
      </c>
      <c r="D7" s="5">
        <v>4</v>
      </c>
      <c r="E7" s="6" t="s">
        <v>14</v>
      </c>
      <c r="F7" s="12">
        <v>45076.34</v>
      </c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4" t="s">
        <v>8</v>
      </c>
      <c r="B8" s="5">
        <v>220</v>
      </c>
      <c r="D8" s="10">
        <v>5</v>
      </c>
      <c r="E8" s="6" t="s">
        <v>15</v>
      </c>
      <c r="F8" s="12">
        <v>60325.95</v>
      </c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4" t="s">
        <v>8</v>
      </c>
      <c r="B9" s="10">
        <v>200</v>
      </c>
      <c r="D9" s="5">
        <v>6</v>
      </c>
      <c r="E9" s="6" t="s">
        <v>16</v>
      </c>
      <c r="F9" s="12">
        <v>31895.78</v>
      </c>
      <c r="G9" s="12">
        <v>256724.91</v>
      </c>
      <c r="H9" s="13"/>
      <c r="I9" s="5"/>
      <c r="J9" s="5"/>
      <c r="K9" s="5"/>
      <c r="L9" s="5"/>
      <c r="M9" s="5"/>
      <c r="N9" s="5"/>
      <c r="O9" s="5"/>
    </row>
    <row r="10" spans="1:15" x14ac:dyDescent="0.25">
      <c r="A10" s="4" t="s">
        <v>8</v>
      </c>
      <c r="B10" s="10">
        <v>200</v>
      </c>
      <c r="D10" s="5">
        <v>7</v>
      </c>
      <c r="E10" s="6" t="s">
        <v>17</v>
      </c>
      <c r="F10" s="12">
        <f>62359.34+89198.88</f>
        <v>151558.22</v>
      </c>
      <c r="G10" s="12">
        <v>47.18</v>
      </c>
      <c r="H10" s="13"/>
      <c r="I10" s="5"/>
      <c r="J10" s="5"/>
      <c r="K10" s="5"/>
      <c r="L10" s="5"/>
      <c r="M10" s="5"/>
      <c r="N10" s="5"/>
      <c r="O10" s="5"/>
    </row>
    <row r="11" spans="1:15" x14ac:dyDescent="0.25">
      <c r="A11" s="4" t="s">
        <v>8</v>
      </c>
      <c r="B11" s="10">
        <v>200</v>
      </c>
      <c r="D11" s="10">
        <v>8</v>
      </c>
      <c r="E11" s="6" t="s">
        <v>18</v>
      </c>
      <c r="F11" s="12">
        <v>92432.03</v>
      </c>
      <c r="G11" s="12">
        <v>13334.79</v>
      </c>
      <c r="H11" s="13"/>
      <c r="I11" s="5"/>
      <c r="J11" s="5"/>
      <c r="K11" s="5"/>
      <c r="L11" s="5"/>
      <c r="M11" s="5"/>
      <c r="N11" s="5"/>
      <c r="O11" s="5"/>
    </row>
    <row r="12" spans="1:15" x14ac:dyDescent="0.25">
      <c r="A12" s="4" t="s">
        <v>8</v>
      </c>
      <c r="B12" s="5">
        <v>200</v>
      </c>
      <c r="D12" s="5">
        <v>9</v>
      </c>
      <c r="E12" s="6" t="s">
        <v>19</v>
      </c>
      <c r="F12" s="12">
        <f>+'[1]Actual Costs - Worksheet'!G18</f>
        <v>-592.32000000000005</v>
      </c>
      <c r="G12" s="13"/>
      <c r="H12" s="12">
        <f>+'[1]Actual Costs - Worksheet'!I12+'[1]Actual Costs - Worksheet'!I16+'[1]Actual Costs - Worksheet'!I17+'[1]Appendix 2-AA - Worksheet'!G18</f>
        <v>8087.2899999999972</v>
      </c>
      <c r="I12" s="12">
        <f>+'[1]Actual Costs - Worksheet'!J12+'[1]Actual Costs - Worksheet'!J15+'[1]Appendix 2-AA - Worksheet'!H18</f>
        <v>44790.640000000007</v>
      </c>
      <c r="J12" s="12">
        <v>200000</v>
      </c>
      <c r="K12" s="12">
        <v>200000</v>
      </c>
      <c r="L12" s="12">
        <v>200000</v>
      </c>
      <c r="M12" s="12">
        <v>200000</v>
      </c>
      <c r="N12" s="12">
        <v>200000</v>
      </c>
      <c r="O12" s="12">
        <v>200000</v>
      </c>
    </row>
    <row r="13" spans="1:15" x14ac:dyDescent="0.25">
      <c r="A13" s="14" t="s">
        <v>11</v>
      </c>
      <c r="B13" s="5">
        <v>270</v>
      </c>
      <c r="D13" s="5">
        <v>10</v>
      </c>
      <c r="E13" s="6" t="s">
        <v>20</v>
      </c>
      <c r="F13" s="12">
        <f>+'[1]Actual Costs - Worksheet'!G21+'[1]Actual Costs - Worksheet'!G22+'[1]Actual Costs - Worksheet'!G23+'[1]Actual Costs - Worksheet'!G27</f>
        <v>82120.33</v>
      </c>
      <c r="G13" s="12">
        <f>+'[1]Actual Costs - Worksheet'!H27+'[1]Actual Costs - Worksheet'!H28+'[1]Actual Costs - Worksheet'!H29+'[1]Actual Costs - Worksheet'!H32+63068+'[1]Actual Costs - Worksheet'!H57</f>
        <v>102960.73</v>
      </c>
      <c r="H13" s="12">
        <f>+'[1]Actual Costs - Worksheet'!I32+'[1]Actual Costs - Worksheet'!I53+'[1]Actual Costs - Worksheet'!I54+'[1]Actual Costs - Worksheet'!I55+'[1]Actual Costs - Worksheet'!I56</f>
        <v>33413.919999999998</v>
      </c>
      <c r="I13" s="12">
        <f>+'[1]Actual Costs - Worksheet'!J44+'[1]Actual Costs - Worksheet'!J55+'[1]Actual Costs - Worksheet'!J56</f>
        <v>28188.38</v>
      </c>
      <c r="J13" s="12"/>
      <c r="K13" s="12"/>
      <c r="L13" s="12"/>
      <c r="M13" s="12"/>
      <c r="N13" s="12"/>
      <c r="O13" s="12"/>
    </row>
    <row r="14" spans="1:15" x14ac:dyDescent="0.25">
      <c r="A14" s="4" t="s">
        <v>8</v>
      </c>
      <c r="B14" s="17" t="s">
        <v>21</v>
      </c>
      <c r="D14" s="10">
        <v>11</v>
      </c>
      <c r="E14" s="6" t="s">
        <v>22</v>
      </c>
      <c r="F14" s="12">
        <f>+'[1]Actual Costs - Worksheet'!G79+'[1]Actual Costs - Worksheet'!G80+'[1]Actual Costs - Worksheet'!G87+'[1]Actual Costs - Worksheet'!G77</f>
        <v>97509.91</v>
      </c>
      <c r="G14" s="12">
        <f>+'[1]Actual Costs - Worksheet'!H79+'[1]Actual Costs - Worksheet'!H80+'[1]Actual Costs - Worksheet'!H77</f>
        <v>66929.17</v>
      </c>
      <c r="H14" s="12">
        <f>'[1]Actual Costs - Worksheet'!I83+'[1]Actual Costs - Worksheet'!I84+'[1]Actual Costs - Worksheet'!I77</f>
        <v>40098.25</v>
      </c>
      <c r="I14" s="12">
        <f>+'[1]Actual Costs - Worksheet'!J83+'[1]Actual Costs - Worksheet'!J84+'[1]Actual Costs - Worksheet'!J77</f>
        <v>71033.440000000002</v>
      </c>
      <c r="J14" s="12"/>
      <c r="K14" s="12"/>
      <c r="L14" s="12"/>
      <c r="M14" s="12"/>
      <c r="N14" s="12"/>
      <c r="O14" s="12"/>
    </row>
    <row r="15" spans="1:15" x14ac:dyDescent="0.25">
      <c r="A15" s="4" t="s">
        <v>8</v>
      </c>
      <c r="B15" s="17" t="s">
        <v>23</v>
      </c>
      <c r="D15" s="5">
        <v>12</v>
      </c>
      <c r="E15" s="6" t="s">
        <v>24</v>
      </c>
      <c r="F15" s="12">
        <f>+'[1]Actual Costs - Worksheet'!G88+'[1]Actual Costs - Worksheet'!G89+'[1]Actual Costs - Worksheet'!G90</f>
        <v>66155.17</v>
      </c>
      <c r="G15" s="12">
        <f>+'[1]Actual Costs - Worksheet'!H90+'[1]Actual Costs - Worksheet'!H93+'[1]Actual Costs - Worksheet'!H94+'[1]Actual Costs - Worksheet'!H95+'[1]Actual Costs - Worksheet'!H96+'[1]Actual Costs - Worksheet'!H97+'[1]Actual Costs - Worksheet'!H98+'[1]Actual Costs - Worksheet'!H99+'[1]Actual Costs - Worksheet'!H100</f>
        <v>66670.930000000008</v>
      </c>
      <c r="H15" s="12">
        <f>+'[1]Actual Costs - Worksheet'!I82+'[1]Actual Costs - Worksheet'!I85+'[1]Actual Costs - Worksheet'!I99+'[1]Actual Costs - Worksheet'!I101+'[1]Actual Costs - Worksheet'!I102+'[1]Actual Costs - Worksheet'!I103+'[1]Actual Costs - Worksheet'!I104+'[1]Actual Costs - Worksheet'!I105+'[1]Actual Costs - Worksheet'!I78</f>
        <v>68968.77</v>
      </c>
      <c r="I15" s="12">
        <f>+'[1]Actual Costs - Worksheet'!J82+'[1]Actual Costs - Worksheet'!J85+'[1]Actual Costs - Worksheet'!J101+'[1]Actual Costs - Worksheet'!J102+'[1]Actual Costs - Worksheet'!J103+'[1]Actual Costs - Worksheet'!J104+'[1]Actual Costs - Worksheet'!J105+'[1]Actual Costs - Worksheet'!J106+'[1]Actual Costs - Worksheet'!J107+'[1]Actual Costs - Worksheet'!J108+'[1]Actual Costs - Worksheet'!J109+'[1]Actual Costs - Worksheet'!J110+'[1]Actual Costs - Worksheet'!J111+'[1]Actual Costs - Worksheet'!J112+'[1]Actual Costs - Worksheet'!J113+'[1]Actual Costs - Worksheet'!J114+'[1]Actual Costs - Worksheet'!J115+'[1]Actual Costs - Worksheet'!J116+'[1]Actual Costs - Worksheet'!J117+'[1]Actual Costs - Worksheet'!J118+'[1]Actual Costs - Worksheet'!J119+'[1]Actual Costs - Worksheet'!J78</f>
        <v>97132.92</v>
      </c>
      <c r="J15" s="12"/>
      <c r="K15" s="12"/>
      <c r="L15" s="12"/>
      <c r="M15" s="12"/>
      <c r="N15" s="12"/>
      <c r="O15" s="12"/>
    </row>
    <row r="16" spans="1:15" x14ac:dyDescent="0.25">
      <c r="A16" s="4" t="s">
        <v>8</v>
      </c>
      <c r="B16" s="10">
        <v>220</v>
      </c>
      <c r="D16" s="5">
        <v>13</v>
      </c>
      <c r="E16" s="6" t="s">
        <v>25</v>
      </c>
      <c r="F16" s="12">
        <f>+'[1]Actual Costs - Worksheet'!G63+'[1]Actual Costs - Worksheet'!G64+'[1]Actual Costs - Worksheet'!G65</f>
        <v>41114.25</v>
      </c>
      <c r="G16" s="12">
        <f>+'[1]Actual Costs - Worksheet'!H67</f>
        <v>23546.85</v>
      </c>
      <c r="H16" s="12">
        <f>+'[1]Actual Costs - Worksheet'!I67+'[1]Actual Costs - Worksheet'!I68+'[1]Actual Costs - Worksheet'!I69+'[1]Actual Costs - Worksheet'!I70+'[1]Actual Costs - Worksheet'!I71</f>
        <v>11754.939999999999</v>
      </c>
      <c r="I16" s="12">
        <f>+'[1]Actual Costs - Worksheet'!J69+'[1]Actual Costs - Worksheet'!J70+'[1]Actual Costs - Worksheet'!J71+'[1]Actual Costs - Worksheet'!J72+'[1]Actual Costs - Worksheet'!J73+'[1]Actual Costs - Worksheet'!J74+'[1]Actual Costs - Worksheet'!J75</f>
        <v>29400.639999999999</v>
      </c>
      <c r="J16" s="12"/>
      <c r="K16" s="12"/>
      <c r="L16" s="12"/>
      <c r="M16" s="12"/>
      <c r="N16" s="12"/>
      <c r="O16" s="12"/>
    </row>
    <row r="17" spans="1:16" x14ac:dyDescent="0.25">
      <c r="A17" s="14" t="s">
        <v>11</v>
      </c>
      <c r="B17" s="17" t="s">
        <v>26</v>
      </c>
      <c r="D17" s="10">
        <v>14</v>
      </c>
      <c r="E17" s="6" t="s">
        <v>27</v>
      </c>
      <c r="F17" s="18">
        <f>+'[1]Appendix 2-AA - Worksheet'!E72</f>
        <v>201630.28</v>
      </c>
      <c r="G17" s="12">
        <f>+'[1]Appendix 2-AA - Worksheet'!F72</f>
        <v>36140.03</v>
      </c>
      <c r="H17" s="12">
        <f>+'[1]Actual Costs - Worksheet'!I48+'[1]Actual Costs - Worksheet'!I60+'[1]Actual Costs - Worksheet'!I61</f>
        <v>19585.11</v>
      </c>
      <c r="I17" s="12">
        <f>+'[1]Actual Costs - Worksheet'!J48+'[1]Actual Costs - Worksheet'!J58</f>
        <v>25201.86</v>
      </c>
      <c r="J17" s="19"/>
      <c r="K17" s="19"/>
      <c r="L17" s="19"/>
      <c r="M17" s="19"/>
      <c r="N17" s="19"/>
      <c r="O17" s="19"/>
      <c r="P17" s="20"/>
    </row>
    <row r="18" spans="1:16" x14ac:dyDescent="0.25">
      <c r="A18" s="14" t="s">
        <v>11</v>
      </c>
      <c r="B18" s="5">
        <v>215</v>
      </c>
      <c r="D18" s="5">
        <v>15</v>
      </c>
      <c r="E18" s="6" t="s">
        <v>28</v>
      </c>
      <c r="F18" s="15">
        <v>94208.82</v>
      </c>
      <c r="G18" s="15">
        <v>-3637.71</v>
      </c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14" t="s">
        <v>11</v>
      </c>
      <c r="B19" s="5">
        <v>215</v>
      </c>
      <c r="D19" s="5">
        <v>16</v>
      </c>
      <c r="E19" s="6" t="s">
        <v>29</v>
      </c>
      <c r="F19" s="15">
        <v>170125.83</v>
      </c>
      <c r="G19" s="15">
        <v>8347.23</v>
      </c>
      <c r="H19" s="13"/>
      <c r="I19" s="13"/>
      <c r="J19" s="13"/>
      <c r="K19" s="13"/>
      <c r="L19" s="13"/>
      <c r="M19" s="13"/>
      <c r="N19" s="13"/>
      <c r="O19" s="13"/>
    </row>
    <row r="20" spans="1:16" x14ac:dyDescent="0.25">
      <c r="A20" s="14" t="s">
        <v>11</v>
      </c>
      <c r="B20" s="5">
        <v>215</v>
      </c>
      <c r="D20" s="10">
        <v>17</v>
      </c>
      <c r="E20" s="6" t="s">
        <v>30</v>
      </c>
      <c r="F20" s="15">
        <v>145687.45000000001</v>
      </c>
      <c r="G20" s="15">
        <v>79028.45</v>
      </c>
      <c r="H20" s="13"/>
      <c r="I20" s="13"/>
      <c r="J20" s="13"/>
      <c r="K20" s="13"/>
      <c r="L20" s="13"/>
      <c r="M20" s="13"/>
      <c r="N20" s="13"/>
      <c r="O20" s="13"/>
    </row>
    <row r="21" spans="1:16" x14ac:dyDescent="0.25">
      <c r="A21" s="4" t="s">
        <v>8</v>
      </c>
      <c r="B21" s="10">
        <v>200</v>
      </c>
      <c r="D21" s="5">
        <v>18</v>
      </c>
      <c r="E21" s="11" t="s">
        <v>31</v>
      </c>
      <c r="F21" s="13"/>
      <c r="G21" s="12">
        <v>130940.38</v>
      </c>
      <c r="H21" s="13"/>
      <c r="I21" s="5"/>
      <c r="J21" s="5"/>
      <c r="K21" s="5"/>
      <c r="L21" s="5"/>
      <c r="M21" s="5"/>
      <c r="N21" s="5"/>
      <c r="O21" s="5"/>
    </row>
    <row r="22" spans="1:16" x14ac:dyDescent="0.25">
      <c r="A22" s="14" t="s">
        <v>11</v>
      </c>
      <c r="B22" s="17">
        <v>215</v>
      </c>
      <c r="D22" s="5">
        <v>19</v>
      </c>
      <c r="E22" s="21" t="s">
        <v>32</v>
      </c>
      <c r="F22" s="22"/>
      <c r="G22" s="15">
        <v>271108.18</v>
      </c>
      <c r="H22" s="19"/>
      <c r="I22" s="13"/>
      <c r="J22" s="13"/>
      <c r="K22" s="13"/>
      <c r="L22" s="13"/>
      <c r="M22" s="13"/>
      <c r="N22" s="13"/>
      <c r="O22" s="13"/>
    </row>
    <row r="23" spans="1:16" x14ac:dyDescent="0.25">
      <c r="A23" s="14" t="s">
        <v>11</v>
      </c>
      <c r="B23" s="17">
        <v>215</v>
      </c>
      <c r="D23" s="10">
        <v>20</v>
      </c>
      <c r="E23" s="6" t="s">
        <v>33</v>
      </c>
      <c r="F23" s="22"/>
      <c r="G23" s="15">
        <v>254658.16999999995</v>
      </c>
      <c r="H23" s="19"/>
      <c r="I23" s="13"/>
      <c r="J23" s="13"/>
      <c r="K23" s="13"/>
      <c r="L23" s="13"/>
      <c r="M23" s="13"/>
      <c r="N23" s="13"/>
      <c r="O23" s="13"/>
    </row>
    <row r="24" spans="1:16" x14ac:dyDescent="0.25">
      <c r="A24" s="4" t="s">
        <v>8</v>
      </c>
      <c r="B24" s="5">
        <v>205</v>
      </c>
      <c r="D24" s="5">
        <v>21</v>
      </c>
      <c r="E24" s="23" t="s">
        <v>34</v>
      </c>
      <c r="F24" s="12"/>
      <c r="G24" s="12">
        <v>57405.48</v>
      </c>
      <c r="H24" s="12"/>
      <c r="I24" s="12"/>
      <c r="J24" s="13"/>
      <c r="K24" s="13"/>
      <c r="L24" s="13"/>
      <c r="M24" s="13"/>
      <c r="N24" s="13"/>
      <c r="O24" s="13"/>
    </row>
    <row r="25" spans="1:16" x14ac:dyDescent="0.25">
      <c r="A25" s="4" t="s">
        <v>8</v>
      </c>
      <c r="B25" s="5">
        <v>205</v>
      </c>
      <c r="D25" s="5">
        <v>22</v>
      </c>
      <c r="E25" s="23" t="s">
        <v>35</v>
      </c>
      <c r="F25" s="12"/>
      <c r="G25" s="12">
        <v>82373.06</v>
      </c>
      <c r="H25" s="12"/>
      <c r="I25" s="12"/>
      <c r="J25" s="13"/>
      <c r="K25" s="13"/>
      <c r="L25" s="13"/>
      <c r="M25" s="13"/>
      <c r="N25" s="13"/>
      <c r="O25" s="13"/>
    </row>
    <row r="26" spans="1:16" x14ac:dyDescent="0.25">
      <c r="A26" s="4" t="s">
        <v>8</v>
      </c>
      <c r="B26" s="10">
        <v>200</v>
      </c>
      <c r="D26" s="10">
        <v>23</v>
      </c>
      <c r="E26" s="11" t="s">
        <v>36</v>
      </c>
      <c r="F26" s="13"/>
      <c r="G26" s="12">
        <v>37246.01</v>
      </c>
      <c r="H26" s="12">
        <v>110144.55</v>
      </c>
      <c r="I26" s="5"/>
      <c r="J26" s="5"/>
      <c r="K26" s="5"/>
      <c r="L26" s="5"/>
      <c r="M26" s="5"/>
      <c r="N26" s="5"/>
      <c r="O26" s="5"/>
    </row>
    <row r="27" spans="1:16" x14ac:dyDescent="0.25">
      <c r="A27" s="14" t="s">
        <v>11</v>
      </c>
      <c r="B27" s="17" t="s">
        <v>37</v>
      </c>
      <c r="D27" s="5">
        <v>24</v>
      </c>
      <c r="E27" s="6" t="s">
        <v>38</v>
      </c>
      <c r="F27" s="13"/>
      <c r="G27" s="15">
        <v>185206.81999999998</v>
      </c>
      <c r="H27" s="12">
        <v>113168.95000000001</v>
      </c>
      <c r="I27" s="12">
        <v>837.75</v>
      </c>
      <c r="J27" s="15"/>
      <c r="K27" s="15"/>
      <c r="L27" s="15"/>
      <c r="M27" s="15"/>
      <c r="N27" s="15"/>
      <c r="O27" s="15"/>
    </row>
    <row r="28" spans="1:16" x14ac:dyDescent="0.25">
      <c r="A28" s="14" t="s">
        <v>11</v>
      </c>
      <c r="B28" s="17" t="s">
        <v>37</v>
      </c>
      <c r="D28" s="5">
        <v>25</v>
      </c>
      <c r="E28" s="24" t="s">
        <v>39</v>
      </c>
      <c r="F28" s="13"/>
      <c r="G28" s="15">
        <v>212723.1</v>
      </c>
      <c r="H28" s="12">
        <v>305096.18</v>
      </c>
      <c r="I28" s="12">
        <v>13262.3</v>
      </c>
      <c r="J28" s="15"/>
      <c r="K28" s="15"/>
      <c r="L28" s="15"/>
      <c r="M28" s="15"/>
      <c r="N28" s="15"/>
      <c r="O28" s="15"/>
    </row>
    <row r="29" spans="1:16" x14ac:dyDescent="0.25">
      <c r="A29" s="4" t="s">
        <v>8</v>
      </c>
      <c r="B29" s="5"/>
      <c r="D29" s="10">
        <v>26</v>
      </c>
      <c r="E29" s="6" t="s">
        <v>40</v>
      </c>
      <c r="F29" s="12"/>
      <c r="G29" s="12"/>
      <c r="H29" s="12">
        <v>3082487</v>
      </c>
      <c r="I29" s="12"/>
      <c r="J29" s="13"/>
      <c r="K29" s="13"/>
      <c r="L29" s="13"/>
      <c r="M29" s="13"/>
      <c r="N29" s="13"/>
      <c r="O29" s="13"/>
    </row>
    <row r="30" spans="1:16" x14ac:dyDescent="0.25">
      <c r="A30" s="4" t="s">
        <v>8</v>
      </c>
      <c r="B30" s="5">
        <v>200</v>
      </c>
      <c r="D30" s="5">
        <v>27</v>
      </c>
      <c r="E30" s="21" t="s">
        <v>41</v>
      </c>
      <c r="F30" s="13"/>
      <c r="G30" s="15"/>
      <c r="H30" s="12">
        <v>161795.97</v>
      </c>
      <c r="I30" s="12">
        <v>23590.98</v>
      </c>
      <c r="J30" s="13"/>
      <c r="K30" s="13"/>
      <c r="L30" s="13"/>
      <c r="M30" s="13"/>
      <c r="N30" s="13"/>
      <c r="O30" s="13"/>
    </row>
    <row r="31" spans="1:16" x14ac:dyDescent="0.25">
      <c r="A31" s="4" t="s">
        <v>8</v>
      </c>
      <c r="B31" s="5">
        <v>200</v>
      </c>
      <c r="D31" s="5">
        <v>28</v>
      </c>
      <c r="E31" s="6" t="s">
        <v>42</v>
      </c>
      <c r="F31" s="13"/>
      <c r="G31" s="15"/>
      <c r="H31" s="12">
        <v>95968.65</v>
      </c>
      <c r="I31" s="12">
        <v>762.62</v>
      </c>
      <c r="J31" s="13"/>
      <c r="K31" s="13"/>
      <c r="L31" s="13"/>
      <c r="M31" s="13"/>
      <c r="N31" s="13"/>
      <c r="O31" s="13"/>
    </row>
    <row r="32" spans="1:16" x14ac:dyDescent="0.25">
      <c r="A32" s="4" t="s">
        <v>8</v>
      </c>
      <c r="B32" s="5">
        <v>200</v>
      </c>
      <c r="D32" s="10">
        <v>29</v>
      </c>
      <c r="E32" s="21" t="s">
        <v>43</v>
      </c>
      <c r="F32" s="13"/>
      <c r="G32" s="13"/>
      <c r="H32" s="12">
        <v>12115.46</v>
      </c>
      <c r="I32" s="12">
        <v>190237.28</v>
      </c>
      <c r="J32" s="13"/>
      <c r="K32" s="13"/>
      <c r="L32" s="13"/>
      <c r="M32" s="13"/>
      <c r="N32" s="13"/>
      <c r="O32" s="13"/>
    </row>
    <row r="33" spans="1:15" x14ac:dyDescent="0.25">
      <c r="A33" s="4" t="s">
        <v>8</v>
      </c>
      <c r="B33" s="5">
        <v>200</v>
      </c>
      <c r="D33" s="5">
        <v>30</v>
      </c>
      <c r="E33" s="21" t="s">
        <v>44</v>
      </c>
      <c r="F33" s="13"/>
      <c r="G33" s="13"/>
      <c r="H33" s="12">
        <v>1352.15</v>
      </c>
      <c r="I33" s="12">
        <v>119556.18</v>
      </c>
      <c r="J33" s="13"/>
      <c r="K33" s="13"/>
      <c r="L33" s="13"/>
      <c r="M33" s="13"/>
      <c r="N33" s="13"/>
      <c r="O33" s="13"/>
    </row>
    <row r="34" spans="1:15" x14ac:dyDescent="0.25">
      <c r="A34" s="4" t="s">
        <v>8</v>
      </c>
      <c r="B34" s="5">
        <v>200</v>
      </c>
      <c r="D34" s="5">
        <v>31</v>
      </c>
      <c r="E34" s="6" t="s">
        <v>45</v>
      </c>
      <c r="F34" s="13"/>
      <c r="G34" s="13"/>
      <c r="H34" s="12">
        <v>351016.64</v>
      </c>
      <c r="I34" s="12">
        <v>3912.09</v>
      </c>
      <c r="J34" s="13"/>
      <c r="K34" s="13"/>
      <c r="L34" s="13"/>
      <c r="M34" s="13"/>
      <c r="N34" s="13"/>
      <c r="O34" s="13"/>
    </row>
    <row r="35" spans="1:15" x14ac:dyDescent="0.25">
      <c r="A35" s="14" t="s">
        <v>11</v>
      </c>
      <c r="B35" s="17" t="s">
        <v>37</v>
      </c>
      <c r="D35" s="10">
        <v>32</v>
      </c>
      <c r="E35" s="24" t="s">
        <v>46</v>
      </c>
      <c r="F35" s="13"/>
      <c r="G35" s="19"/>
      <c r="H35" s="12">
        <v>140125.03</v>
      </c>
      <c r="I35" s="12">
        <v>58</v>
      </c>
      <c r="J35" s="15"/>
      <c r="K35" s="15"/>
      <c r="L35" s="15"/>
      <c r="M35" s="15"/>
      <c r="N35" s="15"/>
      <c r="O35" s="15"/>
    </row>
    <row r="36" spans="1:15" x14ac:dyDescent="0.25">
      <c r="A36" s="14" t="s">
        <v>11</v>
      </c>
      <c r="B36" s="5">
        <v>270</v>
      </c>
      <c r="D36" s="5">
        <v>33</v>
      </c>
      <c r="E36" s="21" t="s">
        <v>47</v>
      </c>
      <c r="F36" s="13"/>
      <c r="G36" s="13"/>
      <c r="H36" s="12">
        <v>46472.69</v>
      </c>
      <c r="I36" s="12">
        <v>145133.72</v>
      </c>
      <c r="J36" s="15"/>
      <c r="K36" s="15"/>
      <c r="L36" s="15"/>
      <c r="M36" s="15"/>
      <c r="N36" s="15"/>
      <c r="O36" s="15"/>
    </row>
    <row r="37" spans="1:15" x14ac:dyDescent="0.25">
      <c r="A37" s="14" t="s">
        <v>11</v>
      </c>
      <c r="B37" s="5">
        <v>270</v>
      </c>
      <c r="D37" s="5">
        <v>34</v>
      </c>
      <c r="E37" s="21" t="s">
        <v>48</v>
      </c>
      <c r="F37" s="13"/>
      <c r="G37" s="13"/>
      <c r="H37" s="12">
        <v>325185.42</v>
      </c>
      <c r="I37" s="12">
        <v>330.41</v>
      </c>
      <c r="J37" s="15"/>
      <c r="K37" s="15"/>
      <c r="L37" s="15"/>
      <c r="M37" s="15"/>
      <c r="N37" s="15"/>
      <c r="O37" s="15"/>
    </row>
    <row r="38" spans="1:15" x14ac:dyDescent="0.25">
      <c r="A38" s="14" t="s">
        <v>11</v>
      </c>
      <c r="B38" s="5">
        <v>270</v>
      </c>
      <c r="D38" s="10">
        <v>35</v>
      </c>
      <c r="E38" s="21" t="s">
        <v>49</v>
      </c>
      <c r="F38" s="13"/>
      <c r="G38" s="13"/>
      <c r="H38" s="12">
        <v>7826.59</v>
      </c>
      <c r="I38" s="12">
        <f>+'[1]Actual Costs - Worksheet'!J38</f>
        <v>135343.63</v>
      </c>
      <c r="J38" s="15"/>
      <c r="K38" s="15"/>
      <c r="L38" s="15"/>
      <c r="M38" s="15"/>
      <c r="N38" s="15"/>
      <c r="O38" s="15"/>
    </row>
    <row r="39" spans="1:15" x14ac:dyDescent="0.25">
      <c r="A39" s="14" t="s">
        <v>11</v>
      </c>
      <c r="B39" s="5">
        <v>270</v>
      </c>
      <c r="D39" s="5">
        <v>36</v>
      </c>
      <c r="E39" s="6" t="s">
        <v>50</v>
      </c>
      <c r="F39" s="13"/>
      <c r="G39" s="13"/>
      <c r="H39" s="12">
        <v>85828.86</v>
      </c>
      <c r="I39" s="12">
        <v>3918.82</v>
      </c>
      <c r="J39" s="15"/>
      <c r="K39" s="15"/>
      <c r="L39" s="15"/>
      <c r="M39" s="15"/>
      <c r="N39" s="15"/>
      <c r="O39" s="15"/>
    </row>
    <row r="40" spans="1:15" x14ac:dyDescent="0.25">
      <c r="A40" s="14" t="s">
        <v>11</v>
      </c>
      <c r="B40" s="5">
        <v>270</v>
      </c>
      <c r="D40" s="5">
        <v>37</v>
      </c>
      <c r="E40" s="21" t="s">
        <v>51</v>
      </c>
      <c r="F40" s="13"/>
      <c r="G40" s="13"/>
      <c r="H40" s="12">
        <v>478</v>
      </c>
      <c r="I40" s="12">
        <f>+'[1]Actual Costs - Worksheet'!J40</f>
        <v>226098.44</v>
      </c>
      <c r="J40" s="12">
        <f>475000-I40-H40-36452</f>
        <v>211971.56</v>
      </c>
      <c r="K40" s="12"/>
      <c r="L40" s="12"/>
      <c r="M40" s="12"/>
      <c r="N40" s="12"/>
      <c r="O40" s="12"/>
    </row>
    <row r="41" spans="1:15" x14ac:dyDescent="0.25">
      <c r="A41" s="14" t="s">
        <v>11</v>
      </c>
      <c r="B41" s="5">
        <v>270</v>
      </c>
      <c r="D41" s="10">
        <v>38</v>
      </c>
      <c r="E41" s="21" t="s">
        <v>52</v>
      </c>
      <c r="F41" s="13"/>
      <c r="G41" s="13"/>
      <c r="H41" s="13"/>
      <c r="I41" s="12">
        <v>50859.76</v>
      </c>
      <c r="J41" s="12">
        <f>85000-I41</f>
        <v>34140.239999999998</v>
      </c>
      <c r="K41" s="12"/>
      <c r="L41" s="12"/>
      <c r="M41" s="12"/>
      <c r="N41" s="12"/>
      <c r="O41" s="12"/>
    </row>
    <row r="42" spans="1:15" x14ac:dyDescent="0.25">
      <c r="A42" s="14" t="s">
        <v>11</v>
      </c>
      <c r="B42" s="5">
        <v>270</v>
      </c>
      <c r="D42" s="5">
        <v>39</v>
      </c>
      <c r="E42" s="21" t="s">
        <v>53</v>
      </c>
      <c r="F42" s="19"/>
      <c r="G42" s="25"/>
      <c r="H42" s="13"/>
      <c r="I42" s="12">
        <f>+'[1]Actual Costs - Worksheet'!J42</f>
        <v>379043.82</v>
      </c>
      <c r="J42" s="12">
        <f>420000-I42</f>
        <v>40956.179999999993</v>
      </c>
      <c r="K42" s="12"/>
      <c r="L42" s="12"/>
      <c r="M42" s="12"/>
      <c r="N42" s="12"/>
      <c r="O42" s="12"/>
    </row>
    <row r="43" spans="1:15" x14ac:dyDescent="0.25">
      <c r="A43" s="14" t="s">
        <v>11</v>
      </c>
      <c r="B43" s="5">
        <v>270</v>
      </c>
      <c r="D43" s="5">
        <v>40</v>
      </c>
      <c r="E43" s="6" t="s">
        <v>54</v>
      </c>
      <c r="F43" s="19"/>
      <c r="G43" s="25"/>
      <c r="H43" s="13"/>
      <c r="I43" s="12">
        <f>+'[1]Actual Costs - Worksheet'!J45</f>
        <v>68.03</v>
      </c>
      <c r="J43" s="12">
        <f>115000-I43</f>
        <v>114931.97</v>
      </c>
      <c r="K43" s="12"/>
      <c r="L43" s="12"/>
      <c r="M43" s="15"/>
      <c r="N43" s="13"/>
      <c r="O43" s="13"/>
    </row>
    <row r="44" spans="1:15" x14ac:dyDescent="0.25">
      <c r="A44" s="14" t="s">
        <v>11</v>
      </c>
      <c r="B44" s="5">
        <v>270</v>
      </c>
      <c r="D44" s="10">
        <v>41</v>
      </c>
      <c r="E44" s="6" t="s">
        <v>55</v>
      </c>
      <c r="F44" s="19"/>
      <c r="G44" s="25"/>
      <c r="H44" s="12"/>
      <c r="I44" s="12">
        <f>+'[1]Actual Costs - Worksheet'!J43</f>
        <v>471.29</v>
      </c>
      <c r="J44" s="12">
        <v>700000</v>
      </c>
      <c r="K44" s="13"/>
      <c r="L44" s="13"/>
      <c r="M44" s="13"/>
      <c r="N44" s="13"/>
      <c r="O44" s="13"/>
    </row>
    <row r="45" spans="1:15" x14ac:dyDescent="0.25">
      <c r="A45" s="14" t="s">
        <v>11</v>
      </c>
      <c r="B45" s="5">
        <v>270</v>
      </c>
      <c r="D45" s="5">
        <v>42</v>
      </c>
      <c r="E45" s="6" t="s">
        <v>56</v>
      </c>
      <c r="F45" s="19"/>
      <c r="G45" s="25"/>
      <c r="H45" s="12"/>
      <c r="I45" s="12"/>
      <c r="J45" s="12">
        <v>320000</v>
      </c>
      <c r="K45" s="13"/>
      <c r="L45" s="13"/>
      <c r="M45" s="13"/>
      <c r="N45" s="13"/>
      <c r="O45" s="13"/>
    </row>
    <row r="46" spans="1:15" x14ac:dyDescent="0.25">
      <c r="A46" s="14" t="s">
        <v>11</v>
      </c>
      <c r="B46" s="5">
        <v>270</v>
      </c>
      <c r="D46" s="5">
        <v>43</v>
      </c>
      <c r="E46" s="21" t="s">
        <v>57</v>
      </c>
      <c r="F46" s="19"/>
      <c r="G46" s="25"/>
      <c r="H46" s="13"/>
      <c r="I46" s="12"/>
      <c r="J46" s="12">
        <v>115000</v>
      </c>
      <c r="K46" s="12"/>
      <c r="L46" s="12"/>
      <c r="M46" s="12"/>
      <c r="N46" s="12"/>
      <c r="O46" s="12"/>
    </row>
    <row r="47" spans="1:15" x14ac:dyDescent="0.25">
      <c r="A47" s="14" t="s">
        <v>11</v>
      </c>
      <c r="B47" s="5">
        <v>270</v>
      </c>
      <c r="D47" s="10">
        <v>44</v>
      </c>
      <c r="E47" s="6" t="s">
        <v>58</v>
      </c>
      <c r="F47" s="25"/>
      <c r="G47" s="12"/>
      <c r="H47" s="12"/>
      <c r="I47" s="5"/>
      <c r="J47" s="12">
        <v>35000</v>
      </c>
      <c r="K47" s="5"/>
      <c r="L47" s="5"/>
      <c r="M47" s="5"/>
      <c r="N47" s="5"/>
      <c r="O47" s="26"/>
    </row>
    <row r="48" spans="1:15" x14ac:dyDescent="0.25">
      <c r="A48" s="14" t="s">
        <v>11</v>
      </c>
      <c r="B48" s="5">
        <v>270</v>
      </c>
      <c r="D48" s="5">
        <v>45</v>
      </c>
      <c r="E48" s="6" t="s">
        <v>59</v>
      </c>
      <c r="F48" s="25"/>
      <c r="G48" s="12"/>
      <c r="H48" s="12"/>
      <c r="I48" s="5"/>
      <c r="J48" s="12">
        <v>28000</v>
      </c>
      <c r="K48" s="5"/>
      <c r="L48" s="5"/>
      <c r="M48" s="5"/>
      <c r="N48" s="5"/>
      <c r="O48" s="26"/>
    </row>
    <row r="49" spans="1:15" x14ac:dyDescent="0.25">
      <c r="A49" s="14" t="s">
        <v>11</v>
      </c>
      <c r="B49" s="5">
        <v>270</v>
      </c>
      <c r="D49" s="5">
        <v>46</v>
      </c>
      <c r="E49" s="21" t="s">
        <v>60</v>
      </c>
      <c r="F49" s="12"/>
      <c r="G49" s="12"/>
      <c r="H49" s="12"/>
      <c r="I49" s="12"/>
      <c r="J49" s="12"/>
      <c r="K49" s="12">
        <f>290000+8750</f>
        <v>298750</v>
      </c>
      <c r="L49" s="12"/>
      <c r="M49" s="12"/>
      <c r="N49" s="12"/>
      <c r="O49" s="12"/>
    </row>
    <row r="50" spans="1:15" x14ac:dyDescent="0.25">
      <c r="A50" s="14" t="s">
        <v>11</v>
      </c>
      <c r="B50" s="5">
        <v>270</v>
      </c>
      <c r="D50" s="10">
        <v>47</v>
      </c>
      <c r="E50" s="21" t="s">
        <v>61</v>
      </c>
      <c r="F50" s="12"/>
      <c r="G50" s="12"/>
      <c r="H50" s="12"/>
      <c r="I50" s="12"/>
      <c r="J50" s="12"/>
      <c r="K50" s="12">
        <f>350000+8750</f>
        <v>358750</v>
      </c>
      <c r="L50" s="12"/>
      <c r="M50" s="12"/>
      <c r="N50" s="12"/>
      <c r="O50" s="12"/>
    </row>
    <row r="51" spans="1:15" x14ac:dyDescent="0.25">
      <c r="A51" s="14" t="s">
        <v>11</v>
      </c>
      <c r="B51" s="5">
        <v>270</v>
      </c>
      <c r="D51" s="5">
        <v>48</v>
      </c>
      <c r="E51" s="21" t="s">
        <v>62</v>
      </c>
      <c r="F51" s="12"/>
      <c r="G51" s="12"/>
      <c r="H51" s="12"/>
      <c r="I51" s="12"/>
      <c r="J51" s="12"/>
      <c r="K51" s="12">
        <f>675000+8750</f>
        <v>683750</v>
      </c>
      <c r="L51" s="12"/>
      <c r="M51" s="12"/>
      <c r="N51" s="12"/>
      <c r="O51" s="12"/>
    </row>
    <row r="52" spans="1:15" x14ac:dyDescent="0.25">
      <c r="A52" s="16" t="s">
        <v>13</v>
      </c>
      <c r="B52" s="5">
        <v>210</v>
      </c>
      <c r="D52" s="5">
        <v>49</v>
      </c>
      <c r="E52" s="6" t="s">
        <v>63</v>
      </c>
      <c r="F52" s="12"/>
      <c r="G52" s="13"/>
      <c r="H52" s="13"/>
      <c r="I52" s="13"/>
      <c r="J52" s="13"/>
      <c r="K52" s="12">
        <f>200000+8750</f>
        <v>208750</v>
      </c>
      <c r="L52" s="13"/>
      <c r="M52" s="13"/>
      <c r="N52" s="13"/>
      <c r="O52" s="13"/>
    </row>
    <row r="53" spans="1:15" x14ac:dyDescent="0.25">
      <c r="A53" s="14" t="s">
        <v>11</v>
      </c>
      <c r="B53" s="5">
        <v>270</v>
      </c>
      <c r="D53" s="10">
        <v>50</v>
      </c>
      <c r="E53" s="21" t="s">
        <v>64</v>
      </c>
      <c r="F53" s="12"/>
      <c r="G53" s="12"/>
      <c r="H53" s="12"/>
      <c r="I53" s="12"/>
      <c r="J53" s="12"/>
      <c r="K53" s="12"/>
      <c r="L53" s="12">
        <f>770000+20000</f>
        <v>790000</v>
      </c>
      <c r="M53" s="12"/>
      <c r="N53" s="12"/>
      <c r="O53" s="12"/>
    </row>
    <row r="54" spans="1:15" x14ac:dyDescent="0.25">
      <c r="A54" s="14" t="s">
        <v>11</v>
      </c>
      <c r="B54" s="5">
        <v>270</v>
      </c>
      <c r="D54" s="5">
        <v>51</v>
      </c>
      <c r="E54" s="21" t="s">
        <v>65</v>
      </c>
      <c r="F54" s="12"/>
      <c r="G54" s="12"/>
      <c r="H54" s="12"/>
      <c r="I54" s="12"/>
      <c r="J54" s="12"/>
      <c r="K54" s="12"/>
      <c r="L54" s="12">
        <f>780000+20000</f>
        <v>800000</v>
      </c>
      <c r="M54" s="12"/>
      <c r="N54" s="12"/>
      <c r="O54" s="12"/>
    </row>
    <row r="55" spans="1:15" x14ac:dyDescent="0.25">
      <c r="A55" s="14" t="s">
        <v>11</v>
      </c>
      <c r="B55" s="5">
        <v>270</v>
      </c>
      <c r="D55" s="5">
        <v>52</v>
      </c>
      <c r="E55" s="21" t="s">
        <v>66</v>
      </c>
      <c r="F55" s="12"/>
      <c r="G55" s="12"/>
      <c r="H55" s="12"/>
      <c r="I55" s="12"/>
      <c r="J55" s="12"/>
      <c r="K55" s="12"/>
      <c r="L55" s="12"/>
      <c r="M55" s="12">
        <f>750000+13335</f>
        <v>763335</v>
      </c>
      <c r="N55" s="12"/>
      <c r="O55" s="12"/>
    </row>
    <row r="56" spans="1:15" x14ac:dyDescent="0.25">
      <c r="A56" s="14" t="s">
        <v>11</v>
      </c>
      <c r="B56" s="5">
        <v>270</v>
      </c>
      <c r="D56" s="10">
        <v>53</v>
      </c>
      <c r="E56" s="21" t="s">
        <v>67</v>
      </c>
      <c r="F56" s="12"/>
      <c r="G56" s="12"/>
      <c r="H56" s="12"/>
      <c r="I56" s="12"/>
      <c r="J56" s="12"/>
      <c r="K56" s="12"/>
      <c r="L56" s="12"/>
      <c r="M56" s="12">
        <f>450000+13335</f>
        <v>463335</v>
      </c>
      <c r="N56" s="12"/>
      <c r="O56" s="12"/>
    </row>
    <row r="57" spans="1:15" x14ac:dyDescent="0.25">
      <c r="A57" s="14" t="s">
        <v>11</v>
      </c>
      <c r="B57" s="5">
        <v>270</v>
      </c>
      <c r="D57" s="5">
        <v>54</v>
      </c>
      <c r="E57" s="21" t="s">
        <v>68</v>
      </c>
      <c r="F57" s="12"/>
      <c r="G57" s="12"/>
      <c r="H57" s="12"/>
      <c r="I57" s="12"/>
      <c r="J57" s="12"/>
      <c r="K57" s="12"/>
      <c r="L57" s="12"/>
      <c r="M57" s="12">
        <f>290000+13330</f>
        <v>303330</v>
      </c>
      <c r="N57" s="12"/>
      <c r="O57" s="12"/>
    </row>
    <row r="58" spans="1:15" x14ac:dyDescent="0.25">
      <c r="A58" s="16" t="s">
        <v>13</v>
      </c>
      <c r="B58" s="5">
        <v>210</v>
      </c>
      <c r="D58" s="5">
        <v>55</v>
      </c>
      <c r="E58" s="21" t="s">
        <v>69</v>
      </c>
      <c r="F58" s="12"/>
      <c r="G58" s="12"/>
      <c r="H58" s="12"/>
      <c r="I58" s="12"/>
      <c r="J58" s="12"/>
      <c r="K58" s="12"/>
      <c r="L58" s="12"/>
      <c r="M58" s="12"/>
      <c r="N58" s="12">
        <f>295000+10000</f>
        <v>305000</v>
      </c>
      <c r="O58" s="12"/>
    </row>
    <row r="59" spans="1:15" x14ac:dyDescent="0.25">
      <c r="A59" s="14" t="s">
        <v>11</v>
      </c>
      <c r="B59" s="5">
        <v>270</v>
      </c>
      <c r="D59" s="10">
        <v>56</v>
      </c>
      <c r="E59" s="21" t="s">
        <v>70</v>
      </c>
      <c r="F59" s="12"/>
      <c r="G59" s="12"/>
      <c r="H59" s="12"/>
      <c r="I59" s="12"/>
      <c r="J59" s="12"/>
      <c r="K59" s="12"/>
      <c r="L59" s="12"/>
      <c r="M59" s="12"/>
      <c r="N59" s="12">
        <f>690000+10000</f>
        <v>700000</v>
      </c>
      <c r="O59" s="12"/>
    </row>
    <row r="60" spans="1:15" x14ac:dyDescent="0.25">
      <c r="A60" s="14" t="s">
        <v>11</v>
      </c>
      <c r="B60" s="5">
        <v>270</v>
      </c>
      <c r="D60" s="5">
        <v>57</v>
      </c>
      <c r="E60" s="21" t="s">
        <v>71</v>
      </c>
      <c r="F60" s="12"/>
      <c r="G60" s="12"/>
      <c r="H60" s="12"/>
      <c r="I60" s="12"/>
      <c r="J60" s="12"/>
      <c r="K60" s="12"/>
      <c r="L60" s="12"/>
      <c r="M60" s="12"/>
      <c r="N60" s="12">
        <f>275000+10000</f>
        <v>285000</v>
      </c>
      <c r="O60" s="12"/>
    </row>
    <row r="61" spans="1:15" x14ac:dyDescent="0.25">
      <c r="A61" s="14" t="s">
        <v>11</v>
      </c>
      <c r="B61" s="5">
        <v>270</v>
      </c>
      <c r="D61" s="5">
        <v>58</v>
      </c>
      <c r="E61" s="21" t="s">
        <v>72</v>
      </c>
      <c r="F61" s="12"/>
      <c r="G61" s="12"/>
      <c r="H61" s="12"/>
      <c r="I61" s="12"/>
      <c r="J61" s="12"/>
      <c r="K61" s="12"/>
      <c r="L61" s="12"/>
      <c r="M61" s="12"/>
      <c r="N61" s="12">
        <f>220000+10000</f>
        <v>230000</v>
      </c>
      <c r="O61" s="12"/>
    </row>
    <row r="62" spans="1:15" x14ac:dyDescent="0.25">
      <c r="A62" s="14" t="s">
        <v>11</v>
      </c>
      <c r="B62" s="5">
        <v>270</v>
      </c>
      <c r="D62" s="10">
        <v>59</v>
      </c>
      <c r="E62" s="21" t="s">
        <v>73</v>
      </c>
      <c r="F62" s="12"/>
      <c r="G62" s="12"/>
      <c r="H62" s="12"/>
      <c r="I62" s="12"/>
      <c r="J62" s="12"/>
      <c r="K62" s="12"/>
      <c r="L62" s="12"/>
      <c r="M62" s="12"/>
      <c r="N62" s="12"/>
      <c r="O62" s="12">
        <f>500000+11660</f>
        <v>511660</v>
      </c>
    </row>
    <row r="63" spans="1:15" x14ac:dyDescent="0.25">
      <c r="A63" s="14" t="s">
        <v>11</v>
      </c>
      <c r="B63" s="5">
        <v>270</v>
      </c>
      <c r="D63" s="5">
        <v>60</v>
      </c>
      <c r="E63" s="21" t="s">
        <v>74</v>
      </c>
      <c r="F63" s="12"/>
      <c r="G63" s="12"/>
      <c r="H63" s="12"/>
      <c r="I63" s="12"/>
      <c r="J63" s="12"/>
      <c r="K63" s="12"/>
      <c r="L63" s="12"/>
      <c r="M63" s="12"/>
      <c r="N63" s="12"/>
      <c r="O63" s="12">
        <f>550000+11670</f>
        <v>561670</v>
      </c>
    </row>
    <row r="64" spans="1:15" x14ac:dyDescent="0.25">
      <c r="A64" s="14" t="s">
        <v>11</v>
      </c>
      <c r="B64" s="5">
        <v>270</v>
      </c>
      <c r="D64" s="5">
        <v>61</v>
      </c>
      <c r="E64" s="21" t="s">
        <v>75</v>
      </c>
      <c r="F64" s="12"/>
      <c r="G64" s="12"/>
      <c r="H64" s="12"/>
      <c r="I64" s="12"/>
      <c r="J64" s="12"/>
      <c r="K64" s="12"/>
      <c r="L64" s="12"/>
      <c r="M64" s="12"/>
      <c r="N64" s="12"/>
      <c r="O64" s="12">
        <f>475000+11670</f>
        <v>486670</v>
      </c>
    </row>
    <row r="65" spans="1:15" x14ac:dyDescent="0.25">
      <c r="A65" s="27"/>
      <c r="B65" s="28"/>
      <c r="D65" s="5">
        <f>+D64+1</f>
        <v>62</v>
      </c>
      <c r="E65" s="21" t="str">
        <f>+'[1]Table 2-34 - 2012 vs 2011'!D15</f>
        <v>Asset Transfer - Restructuring</v>
      </c>
      <c r="F65" s="12"/>
      <c r="G65" s="12"/>
      <c r="H65" s="12">
        <f>+'[1]Table 2-34 - 2012 vs 2011'!F15</f>
        <v>1407734</v>
      </c>
      <c r="I65" s="12">
        <f>+'[1]Table 2-34 - 2013 vs 2012'!F16</f>
        <v>69795</v>
      </c>
      <c r="J65" s="12"/>
      <c r="K65" s="12"/>
      <c r="L65" s="12"/>
      <c r="M65" s="12"/>
      <c r="N65" s="12"/>
      <c r="O65" s="12"/>
    </row>
    <row r="66" spans="1:15" x14ac:dyDescent="0.25">
      <c r="A66" s="27"/>
      <c r="B66" s="28"/>
      <c r="D66" s="5">
        <f t="shared" ref="D66:D78" si="0">+D65+1</f>
        <v>63</v>
      </c>
      <c r="E66" s="21" t="str">
        <f>+'[1]Table 2-34 - 2012 vs 2011'!D16</f>
        <v>GIS</v>
      </c>
      <c r="F66" s="12"/>
      <c r="G66" s="12"/>
      <c r="H66" s="12">
        <f>+'[1]Table 2-34 - 2012 vs 2011'!F16</f>
        <v>397908</v>
      </c>
      <c r="I66" s="12"/>
      <c r="J66" s="12">
        <f>+'[1]Table 2-34 - 2015 vs 2014'!E10</f>
        <v>150000</v>
      </c>
      <c r="K66" s="12">
        <v>50000</v>
      </c>
      <c r="L66" s="12"/>
      <c r="M66" s="12"/>
      <c r="N66" s="12"/>
      <c r="O66" s="12"/>
    </row>
    <row r="67" spans="1:15" x14ac:dyDescent="0.25">
      <c r="A67" s="27"/>
      <c r="B67" s="28"/>
      <c r="D67" s="5">
        <f t="shared" si="0"/>
        <v>64</v>
      </c>
      <c r="E67" s="21" t="str">
        <f>+'[1]Table 2-34 - 2012 vs 2011'!D17</f>
        <v>New Financial software</v>
      </c>
      <c r="F67" s="12"/>
      <c r="G67" s="12"/>
      <c r="H67" s="12">
        <f>+'[1]Table 2-34 - 2012 vs 2011'!F17</f>
        <v>353134</v>
      </c>
      <c r="I67" s="12"/>
      <c r="J67" s="12"/>
      <c r="K67" s="12"/>
      <c r="L67" s="12"/>
      <c r="M67" s="12"/>
      <c r="N67" s="12"/>
      <c r="O67" s="12"/>
    </row>
    <row r="68" spans="1:15" x14ac:dyDescent="0.25">
      <c r="A68" s="27"/>
      <c r="B68" s="28"/>
      <c r="D68" s="5">
        <f t="shared" si="0"/>
        <v>65</v>
      </c>
      <c r="E68" s="21" t="str">
        <f>+'[1]Table 2-34 - 2012 vs 2011'!D18</f>
        <v>Smart Meter Transfer</v>
      </c>
      <c r="F68" s="12"/>
      <c r="G68" s="12"/>
      <c r="H68" s="12">
        <f>+'[1]Table 2-34 - 2012 vs 2011'!F18</f>
        <v>185288</v>
      </c>
      <c r="I68" s="12"/>
      <c r="J68" s="12"/>
      <c r="K68" s="12"/>
      <c r="L68" s="12"/>
      <c r="M68" s="12"/>
      <c r="N68" s="12"/>
      <c r="O68" s="12"/>
    </row>
    <row r="69" spans="1:15" x14ac:dyDescent="0.25">
      <c r="A69" s="27"/>
      <c r="B69" s="28"/>
      <c r="D69" s="5">
        <f t="shared" si="0"/>
        <v>66</v>
      </c>
      <c r="E69" s="21" t="str">
        <f>+'[1]Table 2-34 - 2012 vs 2011'!D19</f>
        <v>Other</v>
      </c>
      <c r="F69" s="12"/>
      <c r="G69" s="12"/>
      <c r="H69" s="12">
        <f>+'[1]Table 2-34 - 2012 vs 2011'!F19</f>
        <v>37621</v>
      </c>
      <c r="I69" s="12">
        <f>+'[1]Table 2-34 - 2013 vs 2012'!F22</f>
        <v>22888</v>
      </c>
      <c r="J69" s="12">
        <f>+'[1]Table 2-34 - 2014 vs 2013'!F18</f>
        <v>28000</v>
      </c>
      <c r="K69" s="12">
        <f>+'[1]Table 2-34 - 2015 vs 2014'!F14</f>
        <v>20000</v>
      </c>
      <c r="L69" s="12">
        <v>20000</v>
      </c>
      <c r="M69" s="12">
        <v>20000</v>
      </c>
      <c r="N69" s="12">
        <v>20000</v>
      </c>
      <c r="O69" s="12">
        <v>20000</v>
      </c>
    </row>
    <row r="70" spans="1:15" x14ac:dyDescent="0.25">
      <c r="A70" s="27"/>
      <c r="B70" s="28"/>
      <c r="D70" s="5">
        <f t="shared" si="0"/>
        <v>67</v>
      </c>
      <c r="E70" s="21" t="s">
        <v>76</v>
      </c>
      <c r="F70" s="12"/>
      <c r="G70" s="12"/>
      <c r="H70" s="12"/>
      <c r="I70" s="12">
        <f>+'[1]Table 2-34 - 2013 vs 2012'!F19</f>
        <v>180898</v>
      </c>
      <c r="J70" s="12">
        <f>+'[1]Table 2-34 - 2014 vs 2013'!F15</f>
        <v>116000</v>
      </c>
      <c r="K70" s="12">
        <f>+'[1]Table 2-34 - 2015 vs 2014'!F11</f>
        <v>98000</v>
      </c>
      <c r="L70" s="12">
        <v>131000</v>
      </c>
      <c r="M70" s="12">
        <v>98000</v>
      </c>
      <c r="N70" s="12">
        <v>120000</v>
      </c>
      <c r="O70" s="12">
        <v>97000</v>
      </c>
    </row>
    <row r="71" spans="1:15" x14ac:dyDescent="0.25">
      <c r="A71" s="27"/>
      <c r="B71" s="28"/>
      <c r="D71" s="5">
        <f t="shared" si="0"/>
        <v>68</v>
      </c>
      <c r="E71" s="21" t="s">
        <v>77</v>
      </c>
      <c r="F71" s="12"/>
      <c r="G71" s="12"/>
      <c r="H71" s="12"/>
      <c r="I71" s="12">
        <f>+'[1]Table 2-34 - 2013 vs 2012'!F20</f>
        <v>247083</v>
      </c>
      <c r="J71" s="12">
        <f>+'[1]Table 2-34 - 2014 vs 2013'!F16</f>
        <v>264000</v>
      </c>
      <c r="K71" s="12">
        <f>+'[1]Table 2-34 - 2015 vs 2014'!F12</f>
        <v>125000</v>
      </c>
      <c r="L71" s="12">
        <v>60000</v>
      </c>
      <c r="M71" s="12">
        <v>265000</v>
      </c>
      <c r="N71" s="12">
        <v>20000</v>
      </c>
      <c r="O71" s="12"/>
    </row>
    <row r="72" spans="1:15" x14ac:dyDescent="0.25">
      <c r="A72" s="27"/>
      <c r="B72" s="28"/>
      <c r="D72" s="5">
        <f t="shared" si="0"/>
        <v>69</v>
      </c>
      <c r="E72" s="21" t="s">
        <v>78</v>
      </c>
      <c r="F72" s="12"/>
      <c r="G72" s="12"/>
      <c r="H72" s="12"/>
      <c r="I72" s="12">
        <f>+'[1]Table 2-34 - 2013 vs 2012'!F21</f>
        <v>17973</v>
      </c>
      <c r="J72" s="12">
        <f>+'[1]Table 2-34 - 2014 vs 2013'!F17</f>
        <v>170000</v>
      </c>
      <c r="K72" s="12">
        <f>+'[1]Table 2-34 - 2015 vs 2014'!F13</f>
        <v>170000</v>
      </c>
      <c r="L72" s="12">
        <v>175000</v>
      </c>
      <c r="M72" s="12">
        <v>15000</v>
      </c>
      <c r="N72" s="12">
        <v>5000</v>
      </c>
      <c r="O72" s="12">
        <v>5000</v>
      </c>
    </row>
    <row r="73" spans="1:15" x14ac:dyDescent="0.25">
      <c r="A73" s="27"/>
      <c r="B73" s="28"/>
      <c r="D73" s="5">
        <f t="shared" si="0"/>
        <v>70</v>
      </c>
      <c r="E73" s="21" t="s">
        <v>79</v>
      </c>
      <c r="F73" s="12"/>
      <c r="G73" s="12"/>
      <c r="H73" s="12"/>
      <c r="I73" s="12"/>
      <c r="J73" s="12"/>
      <c r="K73" s="12">
        <f>+'[1]Table 2-34 - 2015 vs 2014'!F15</f>
        <v>50000</v>
      </c>
      <c r="L73" s="12">
        <v>50000</v>
      </c>
      <c r="M73" s="12">
        <v>50000</v>
      </c>
      <c r="N73" s="12">
        <v>100000</v>
      </c>
      <c r="O73" s="12">
        <v>100000</v>
      </c>
    </row>
    <row r="74" spans="1:15" x14ac:dyDescent="0.25">
      <c r="A74" s="27"/>
      <c r="B74" s="28"/>
      <c r="D74" s="5">
        <f t="shared" si="0"/>
        <v>71</v>
      </c>
      <c r="E74" s="21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25">
      <c r="A75" s="27"/>
      <c r="B75" s="28"/>
      <c r="D75" s="5">
        <f t="shared" si="0"/>
        <v>72</v>
      </c>
      <c r="E75" s="21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25">
      <c r="A76" s="27"/>
      <c r="B76" s="28"/>
      <c r="D76" s="5">
        <f t="shared" si="0"/>
        <v>73</v>
      </c>
      <c r="E76" s="21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x14ac:dyDescent="0.25">
      <c r="A77" s="27"/>
      <c r="B77" s="28"/>
      <c r="D77" s="5">
        <f t="shared" si="0"/>
        <v>74</v>
      </c>
      <c r="E77" s="21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25">
      <c r="A78" s="27"/>
      <c r="B78" s="28"/>
      <c r="D78" s="5">
        <f t="shared" si="0"/>
        <v>75</v>
      </c>
      <c r="E78" s="21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25">
      <c r="B79" s="28"/>
      <c r="D79" s="28"/>
      <c r="E79" s="29" t="s">
        <v>80</v>
      </c>
      <c r="F79" s="30">
        <f t="shared" ref="F79:O79" si="1">SUM(F4:F75)</f>
        <v>1517415.53</v>
      </c>
      <c r="G79" s="30">
        <f t="shared" si="1"/>
        <v>1881753.76</v>
      </c>
      <c r="H79" s="30">
        <f t="shared" si="1"/>
        <v>7402655.4200000009</v>
      </c>
      <c r="I79" s="30">
        <f t="shared" si="1"/>
        <v>2127870</v>
      </c>
      <c r="J79" s="30">
        <f t="shared" si="1"/>
        <v>2527999.9500000002</v>
      </c>
      <c r="K79" s="30">
        <f t="shared" si="1"/>
        <v>2263000</v>
      </c>
      <c r="L79" s="30">
        <f t="shared" si="1"/>
        <v>2226000</v>
      </c>
      <c r="M79" s="30">
        <f t="shared" si="1"/>
        <v>2178000</v>
      </c>
      <c r="N79" s="30">
        <f t="shared" si="1"/>
        <v>1985000</v>
      </c>
      <c r="O79" s="30">
        <f t="shared" si="1"/>
        <v>1982000</v>
      </c>
    </row>
    <row r="80" spans="1:15" ht="28.15" customHeight="1" x14ac:dyDescent="0.25">
      <c r="E80" s="31" t="s">
        <v>81</v>
      </c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5:15" x14ac:dyDescent="0.25">
      <c r="E81" s="33" t="s">
        <v>80</v>
      </c>
      <c r="F81" s="30">
        <f>SUM(F79:F80)</f>
        <v>1517415.53</v>
      </c>
      <c r="G81" s="30">
        <f t="shared" ref="G81:O81" si="2">SUM(G79:G80)</f>
        <v>1881753.76</v>
      </c>
      <c r="H81" s="30">
        <f t="shared" si="2"/>
        <v>7402655.4200000009</v>
      </c>
      <c r="I81" s="30">
        <f t="shared" si="2"/>
        <v>2127870</v>
      </c>
      <c r="J81" s="30">
        <f t="shared" si="2"/>
        <v>2527999.9500000002</v>
      </c>
      <c r="K81" s="30">
        <f t="shared" si="2"/>
        <v>2263000</v>
      </c>
      <c r="L81" s="30">
        <f t="shared" si="2"/>
        <v>2226000</v>
      </c>
      <c r="M81" s="30">
        <f t="shared" si="2"/>
        <v>2178000</v>
      </c>
      <c r="N81" s="30">
        <f t="shared" si="2"/>
        <v>1985000</v>
      </c>
      <c r="O81" s="30">
        <f t="shared" si="2"/>
        <v>1982000</v>
      </c>
    </row>
    <row r="82" spans="5:15" x14ac:dyDescent="0.25">
      <c r="G82" s="34"/>
    </row>
    <row r="83" spans="5:15" x14ac:dyDescent="0.25">
      <c r="F83" s="34"/>
    </row>
    <row r="84" spans="5:15" x14ac:dyDescent="0.25">
      <c r="F84" s="35"/>
      <c r="G84" s="36"/>
      <c r="H84" s="36"/>
      <c r="I84" s="34"/>
      <c r="J84" s="34"/>
    </row>
    <row r="85" spans="5:15" x14ac:dyDescent="0.25">
      <c r="F85" s="36"/>
      <c r="G85" s="36"/>
    </row>
  </sheetData>
  <mergeCells count="2">
    <mergeCell ref="E1:O1"/>
    <mergeCell ref="E2:O2"/>
  </mergeCells>
  <printOptions horizontalCentered="1"/>
  <pageMargins left="0" right="0" top="0.75" bottom="0.75" header="0.3" footer="0.3"/>
  <pageSetup paperSize="17" orientation="landscape" r:id="rId1"/>
  <headerFooter>
    <oddFooter>&amp;C&amp;A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2-AA</vt:lpstr>
      <vt:lpstr>'Appendix 2-AA'!Print_Titles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Sladjana Krljanac</cp:lastModifiedBy>
  <dcterms:created xsi:type="dcterms:W3CDTF">2014-04-22T00:09:08Z</dcterms:created>
  <dcterms:modified xsi:type="dcterms:W3CDTF">2014-04-30T19:12:35Z</dcterms:modified>
</cp:coreProperties>
</file>