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405" windowWidth="20700" windowHeight="11760" activeTab="4"/>
  </bookViews>
  <sheets>
    <sheet name="Sheet1" sheetId="1" r:id="rId1"/>
    <sheet name="Summary Table" sheetId="2" r:id="rId2"/>
    <sheet name="Normalized Revenues" sheetId="3" r:id="rId3"/>
    <sheet name="Yr over Yr Tables" sheetId="4" r:id="rId4"/>
    <sheet name="2015 propose vs current" sheetId="5" r:id="rId5"/>
  </sheets>
  <definedNames>
    <definedName name="_xlnm.Print_Area" localSheetId="1">'Summary Table'!$E$2:$K$15</definedName>
  </definedNames>
  <calcPr calcId="145621"/>
</workbook>
</file>

<file path=xl/calcChain.xml><?xml version="1.0" encoding="utf-8"?>
<calcChain xmlns="http://schemas.openxmlformats.org/spreadsheetml/2006/main">
  <c r="I8" i="5" l="1"/>
  <c r="I9" i="5"/>
  <c r="I10" i="5"/>
  <c r="I11" i="5"/>
  <c r="I7" i="5"/>
  <c r="I13" i="5"/>
  <c r="D13" i="5"/>
  <c r="E8" i="5" l="1"/>
  <c r="E9" i="5"/>
  <c r="E10" i="5"/>
  <c r="E11" i="5"/>
  <c r="E7" i="5"/>
  <c r="E13" i="5" s="1"/>
  <c r="E15" i="5" s="1"/>
  <c r="E9" i="4"/>
  <c r="I25" i="2"/>
  <c r="J26" i="2" l="1"/>
  <c r="J25" i="2"/>
  <c r="I24" i="2"/>
  <c r="J24" i="2"/>
  <c r="G20" i="2" l="1"/>
  <c r="H20" i="2"/>
  <c r="I20" i="2"/>
  <c r="J20" i="2"/>
  <c r="K20" i="2"/>
  <c r="F20" i="2"/>
  <c r="H14" i="2"/>
  <c r="J62" i="1" l="1"/>
  <c r="J51" i="1"/>
  <c r="F18" i="1" l="1"/>
  <c r="E34" i="4" l="1"/>
  <c r="E33" i="4"/>
  <c r="F33" i="4" s="1"/>
  <c r="G33" i="4" s="1"/>
  <c r="E32" i="4"/>
  <c r="F32" i="4" s="1"/>
  <c r="E31" i="4"/>
  <c r="F31" i="4" s="1"/>
  <c r="G31" i="4" s="1"/>
  <c r="E30" i="4"/>
  <c r="F30" i="4" s="1"/>
  <c r="E22" i="4"/>
  <c r="F22" i="4" s="1"/>
  <c r="G22" i="4" s="1"/>
  <c r="E21" i="4"/>
  <c r="F21" i="4" s="1"/>
  <c r="E20" i="4"/>
  <c r="F20" i="4" s="1"/>
  <c r="G20" i="4" s="1"/>
  <c r="E19" i="4"/>
  <c r="F19" i="4" s="1"/>
  <c r="E18" i="4"/>
  <c r="F18" i="4" s="1"/>
  <c r="D10" i="4"/>
  <c r="D22" i="4" s="1"/>
  <c r="D34" i="4" s="1"/>
  <c r="D9" i="4"/>
  <c r="D21" i="4" s="1"/>
  <c r="D33" i="4" s="1"/>
  <c r="P36" i="3"/>
  <c r="O36" i="3"/>
  <c r="N36" i="3"/>
  <c r="P35" i="3"/>
  <c r="O35" i="3"/>
  <c r="P34" i="3"/>
  <c r="O34" i="3"/>
  <c r="P38" i="3"/>
  <c r="O38" i="3"/>
  <c r="F38" i="3"/>
  <c r="E38" i="3"/>
  <c r="K36" i="3"/>
  <c r="J36" i="3"/>
  <c r="I36" i="3"/>
  <c r="K35" i="3"/>
  <c r="J35" i="3"/>
  <c r="I35" i="3"/>
  <c r="D35" i="3"/>
  <c r="N35" i="3" s="1"/>
  <c r="D36" i="3"/>
  <c r="K34" i="3"/>
  <c r="J34" i="3"/>
  <c r="I34" i="3"/>
  <c r="D34" i="3"/>
  <c r="D38" i="3" s="1"/>
  <c r="D7" i="4"/>
  <c r="D19" i="4" s="1"/>
  <c r="D31" i="4" s="1"/>
  <c r="D8" i="4"/>
  <c r="D20" i="4" s="1"/>
  <c r="D32" i="4" s="1"/>
  <c r="D6" i="4"/>
  <c r="D18" i="4" s="1"/>
  <c r="D30" i="4" s="1"/>
  <c r="O23" i="3"/>
  <c r="K23" i="3"/>
  <c r="I17" i="3"/>
  <c r="I19" i="3" s="1"/>
  <c r="I4" i="3"/>
  <c r="N19" i="3"/>
  <c r="M19" i="3"/>
  <c r="J19" i="3"/>
  <c r="F19" i="3"/>
  <c r="G19" i="3" s="1"/>
  <c r="G22" i="3" s="1"/>
  <c r="G24" i="3" s="1"/>
  <c r="G25" i="3" s="1"/>
  <c r="E19" i="3"/>
  <c r="M17" i="3"/>
  <c r="O10" i="3"/>
  <c r="N34" i="3" l="1"/>
  <c r="N38" i="3" s="1"/>
  <c r="F9" i="4"/>
  <c r="G9" i="4" s="1"/>
  <c r="G32" i="4"/>
  <c r="F34" i="4"/>
  <c r="F36" i="4" s="1"/>
  <c r="E36" i="4"/>
  <c r="E24" i="4"/>
  <c r="G30" i="4"/>
  <c r="F24" i="4"/>
  <c r="G18" i="4"/>
  <c r="G19" i="4"/>
  <c r="G21" i="4"/>
  <c r="O19" i="3"/>
  <c r="O22" i="3" s="1"/>
  <c r="O24" i="3" s="1"/>
  <c r="O25" i="3" s="1"/>
  <c r="K19" i="3"/>
  <c r="K22" i="3" s="1"/>
  <c r="K24" i="3"/>
  <c r="K25" i="3" s="1"/>
  <c r="G34" i="4" l="1"/>
  <c r="G36" i="4"/>
  <c r="G24" i="4"/>
  <c r="O9" i="3" l="1"/>
  <c r="M4" i="3" l="1"/>
  <c r="M6" i="3" s="1"/>
  <c r="O6" i="3" s="1"/>
  <c r="O11" i="3" s="1"/>
  <c r="O12" i="3" s="1"/>
  <c r="N6" i="3"/>
  <c r="K10" i="3"/>
  <c r="J6" i="3" l="1"/>
  <c r="I6" i="3"/>
  <c r="S31" i="1"/>
  <c r="S34" i="1"/>
  <c r="G10" i="3"/>
  <c r="F6" i="3"/>
  <c r="E6" i="3"/>
  <c r="G6" i="3" s="1"/>
  <c r="G9" i="3" s="1"/>
  <c r="G11" i="3" s="1"/>
  <c r="G12" i="3" s="1"/>
  <c r="Q29" i="1"/>
  <c r="P28" i="1"/>
  <c r="R29" i="1"/>
  <c r="K6" i="3" l="1"/>
  <c r="K9" i="3" s="1"/>
  <c r="K11" i="3" s="1"/>
  <c r="K12" i="3" s="1"/>
  <c r="S29" i="1"/>
  <c r="S33" i="1" s="1"/>
  <c r="S35" i="1" s="1"/>
  <c r="S36" i="1" s="1"/>
  <c r="Q11" i="1"/>
  <c r="Q10" i="1"/>
  <c r="G18" i="1" l="1"/>
  <c r="G16" i="1"/>
  <c r="H16" i="1"/>
  <c r="I16" i="1"/>
  <c r="J16" i="1"/>
  <c r="K16" i="1"/>
  <c r="G17" i="1"/>
  <c r="H17" i="1"/>
  <c r="I17" i="1"/>
  <c r="J17" i="1"/>
  <c r="K17" i="1"/>
  <c r="H18" i="1"/>
  <c r="I18" i="1"/>
  <c r="J18" i="1"/>
  <c r="K18" i="1"/>
  <c r="G19" i="1"/>
  <c r="H19" i="1"/>
  <c r="I19" i="1"/>
  <c r="J19" i="1"/>
  <c r="K19" i="1"/>
  <c r="F17" i="1" l="1"/>
  <c r="F16" i="1"/>
  <c r="G55" i="1"/>
  <c r="G57" i="1" s="1"/>
  <c r="H55" i="1"/>
  <c r="H57" i="1" s="1"/>
  <c r="H58" i="1" s="1"/>
  <c r="I55" i="1"/>
  <c r="I57" i="1" s="1"/>
  <c r="I58" i="1" s="1"/>
  <c r="J55" i="1"/>
  <c r="J57" i="1" s="1"/>
  <c r="J58" i="1" s="1"/>
  <c r="K55" i="1"/>
  <c r="K57" i="1" s="1"/>
  <c r="K58" i="1" s="1"/>
  <c r="L55" i="1"/>
  <c r="F52" i="1"/>
  <c r="F19" i="1" s="1"/>
  <c r="F55" i="1"/>
  <c r="F57" i="1" s="1"/>
  <c r="G58" i="1" l="1"/>
  <c r="M39" i="1"/>
  <c r="K37" i="1"/>
  <c r="J37" i="1"/>
  <c r="I37" i="1"/>
  <c r="H37" i="1"/>
  <c r="G37" i="1"/>
  <c r="F37" i="1"/>
  <c r="M31" i="1" l="1"/>
  <c r="G8" i="1" s="1"/>
  <c r="M32" i="1"/>
  <c r="M33" i="1"/>
  <c r="M34" i="1"/>
  <c r="G10" i="1" s="1"/>
  <c r="E10" i="4" s="1"/>
  <c r="F10" i="4" s="1"/>
  <c r="G10" i="4" s="1"/>
  <c r="M35" i="1"/>
  <c r="G11" i="1" s="1"/>
  <c r="M30" i="1"/>
  <c r="G7" i="1" s="1"/>
  <c r="E6" i="4" s="1"/>
  <c r="L37" i="1"/>
  <c r="F6" i="4" l="1"/>
  <c r="G6" i="4"/>
  <c r="G9" i="1"/>
  <c r="E7" i="4"/>
  <c r="S10" i="1"/>
  <c r="M37" i="1"/>
  <c r="M40" i="1" s="1"/>
  <c r="M41" i="1" s="1"/>
  <c r="G13" i="1"/>
  <c r="G7" i="2" s="1"/>
  <c r="H13" i="1"/>
  <c r="H7" i="2" s="1"/>
  <c r="H13" i="2" s="1"/>
  <c r="I13" i="1"/>
  <c r="I7" i="2" s="1"/>
  <c r="J13" i="1"/>
  <c r="K13" i="1"/>
  <c r="K7" i="2" s="1"/>
  <c r="K13" i="2" s="1"/>
  <c r="G21" i="1"/>
  <c r="H21" i="1"/>
  <c r="I21" i="1"/>
  <c r="J21" i="1"/>
  <c r="K21" i="1"/>
  <c r="F21" i="1"/>
  <c r="F13" i="1"/>
  <c r="F7" i="2" s="1"/>
  <c r="F13" i="2" s="1"/>
  <c r="J7" i="2" l="1"/>
  <c r="N15" i="1"/>
  <c r="E8" i="4"/>
  <c r="F8" i="4" s="1"/>
  <c r="G8" i="4" s="1"/>
  <c r="S11" i="1"/>
  <c r="I8" i="2"/>
  <c r="I9" i="2" s="1"/>
  <c r="I13" i="2"/>
  <c r="I14" i="2" s="1"/>
  <c r="I15" i="2" s="1"/>
  <c r="F7" i="4"/>
  <c r="F12" i="4" s="1"/>
  <c r="G12" i="4" s="1"/>
  <c r="G7" i="4"/>
  <c r="E12" i="4"/>
  <c r="H8" i="2"/>
  <c r="H9" i="2" s="1"/>
  <c r="G8" i="2"/>
  <c r="G9" i="2" s="1"/>
  <c r="G13" i="2"/>
  <c r="K23" i="1"/>
  <c r="J13" i="2"/>
  <c r="J8" i="2"/>
  <c r="J9" i="2" s="1"/>
  <c r="K8" i="2"/>
  <c r="K9" i="2" s="1"/>
  <c r="J23" i="1"/>
  <c r="I23" i="1"/>
  <c r="F23" i="1"/>
  <c r="H23" i="1"/>
  <c r="G23" i="1"/>
  <c r="G14" i="2" l="1"/>
  <c r="G15" i="2" s="1"/>
  <c r="H15" i="2"/>
  <c r="K14" i="2"/>
  <c r="K15" i="2" s="1"/>
  <c r="J14" i="2"/>
  <c r="J15" i="2" s="1"/>
</calcChain>
</file>

<file path=xl/sharedStrings.xml><?xml version="1.0" encoding="utf-8"?>
<sst xmlns="http://schemas.openxmlformats.org/spreadsheetml/2006/main" count="153" uniqueCount="68">
  <si>
    <t>Residential</t>
  </si>
  <si>
    <t>GS &lt; 50</t>
  </si>
  <si>
    <t>GS &gt; 50</t>
  </si>
  <si>
    <t>Street light</t>
  </si>
  <si>
    <t>Sentinel light</t>
  </si>
  <si>
    <t>Board Approved</t>
  </si>
  <si>
    <t>Distribution</t>
  </si>
  <si>
    <t>Other Distribution Revenue</t>
  </si>
  <si>
    <t>Specific Service Charges</t>
  </si>
  <si>
    <t>Late Payment Charges</t>
  </si>
  <si>
    <t>Other Income and Deductions</t>
  </si>
  <si>
    <t>Total Operating Revenues</t>
  </si>
  <si>
    <t>Actual</t>
  </si>
  <si>
    <t>BY</t>
  </si>
  <si>
    <t>TY</t>
  </si>
  <si>
    <t>USL</t>
  </si>
  <si>
    <t>SC</t>
  </si>
  <si>
    <t>FG</t>
  </si>
  <si>
    <t>Var</t>
  </si>
  <si>
    <t>sss</t>
  </si>
  <si>
    <t>pils</t>
  </si>
  <si>
    <t>lram</t>
  </si>
  <si>
    <t>Total</t>
  </si>
  <si>
    <t>LPP</t>
  </si>
  <si>
    <t>retail service charges</t>
  </si>
  <si>
    <t>STR</t>
  </si>
  <si>
    <t>4325 Exp</t>
  </si>
  <si>
    <t>For SM, see year-end trial balances</t>
  </si>
  <si>
    <t>$ Variance</t>
  </si>
  <si>
    <t>% Variance</t>
  </si>
  <si>
    <t>DISTRIBUTION REVENUE SUMMARY</t>
  </si>
  <si>
    <t>SM</t>
  </si>
  <si>
    <t>&lt;</t>
  </si>
  <si>
    <t>Test</t>
  </si>
  <si>
    <t>2011 Rate</t>
  </si>
  <si>
    <t>Aug - Dec</t>
  </si>
  <si>
    <t>Normalized consumption</t>
  </si>
  <si>
    <t>Jan - July</t>
  </si>
  <si>
    <t>Month</t>
  </si>
  <si>
    <t>Proration</t>
  </si>
  <si>
    <t>Average</t>
  </si>
  <si>
    <t>Normalized Revenue</t>
  </si>
  <si>
    <t>Actual Variable</t>
  </si>
  <si>
    <t>Variance</t>
  </si>
  <si>
    <t>Jan - Apr</t>
  </si>
  <si>
    <t>May - Dec</t>
  </si>
  <si>
    <t>add back PIL</t>
  </si>
  <si>
    <t>Adjustment</t>
  </si>
  <si>
    <t>kWh change</t>
  </si>
  <si>
    <t>For Residential and GS &lt; calculated revenue % change for variable revenue approximates kWh change, use kWh % change as revenue adjustment</t>
  </si>
  <si>
    <t>calculations also impacted by unbilled calculations.</t>
  </si>
  <si>
    <t>Rate Class</t>
  </si>
  <si>
    <t>Res</t>
  </si>
  <si>
    <t>GS &lt;</t>
  </si>
  <si>
    <t>Gs &gt;</t>
  </si>
  <si>
    <t>Variable</t>
  </si>
  <si>
    <t>Factor</t>
  </si>
  <si>
    <t>Kw</t>
  </si>
  <si>
    <t>Normalized adjustmetn</t>
  </si>
  <si>
    <t>Normalized</t>
  </si>
  <si>
    <t>Distribution Revenue, (exlcuding smart meter rate riders)</t>
  </si>
  <si>
    <t>Smart meter rate riders</t>
  </si>
  <si>
    <t>Distribution including rate riders</t>
  </si>
  <si>
    <t>Current Rates</t>
  </si>
  <si>
    <t>Proposed Rates</t>
  </si>
  <si>
    <t>Revenue at Existing and Proposed Rates</t>
  </si>
  <si>
    <t>Base Revenue at Proposed Rates</t>
  </si>
  <si>
    <t>Base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</si>
</sst>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_(* #,##0_);_(* \(#,##0\);_(* &quot;-&quot;_);_(@_)"/>
    <numFmt numFmtId="166" formatCode="0.0%"/>
    <numFmt numFmtId="167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0" fontId="2" fillId="0" borderId="2" xfId="0" applyFont="1" applyBorder="1"/>
    <xf numFmtId="164" fontId="2" fillId="0" borderId="2" xfId="1" applyNumberFormat="1" applyFont="1" applyBorder="1"/>
    <xf numFmtId="164" fontId="2" fillId="0" borderId="2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0" borderId="2" xfId="0" applyNumberForma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1" fillId="0" borderId="0" xfId="1" applyNumberFormat="1" applyFont="1"/>
    <xf numFmtId="0" fontId="2" fillId="0" borderId="0" xfId="0" applyFont="1" applyAlignment="1">
      <alignment horizontal="center"/>
    </xf>
    <xf numFmtId="165" fontId="1" fillId="0" borderId="0" xfId="0" applyNumberFormat="1" applyFont="1"/>
    <xf numFmtId="166" fontId="0" fillId="0" borderId="2" xfId="2" applyNumberFormat="1" applyFont="1" applyBorder="1"/>
    <xf numFmtId="0" fontId="2" fillId="0" borderId="2" xfId="0" quotePrefix="1" applyFont="1" applyBorder="1"/>
    <xf numFmtId="164" fontId="0" fillId="0" borderId="1" xfId="1" applyNumberFormat="1" applyFont="1" applyBorder="1"/>
    <xf numFmtId="166" fontId="0" fillId="0" borderId="1" xfId="2" applyNumberFormat="1" applyFont="1" applyBorder="1"/>
    <xf numFmtId="164" fontId="2" fillId="0" borderId="1" xfId="1" applyNumberFormat="1" applyFont="1" applyBorder="1"/>
    <xf numFmtId="167" fontId="3" fillId="0" borderId="0" xfId="1" applyNumberFormat="1" applyFont="1" applyFill="1" applyBorder="1" applyAlignment="1">
      <alignment horizontal="left" vertical="center"/>
    </xf>
    <xf numFmtId="10" fontId="0" fillId="0" borderId="0" xfId="2" applyNumberFormat="1" applyFont="1"/>
    <xf numFmtId="167" fontId="0" fillId="0" borderId="0" xfId="0" applyNumberFormat="1"/>
    <xf numFmtId="10" fontId="2" fillId="0" borderId="0" xfId="2" applyNumberFormat="1" applyFont="1"/>
    <xf numFmtId="167" fontId="3" fillId="0" borderId="2" xfId="1" applyNumberFormat="1" applyFont="1" applyFill="1" applyBorder="1" applyAlignment="1">
      <alignment horizontal="left" vertical="center"/>
    </xf>
    <xf numFmtId="167" fontId="2" fillId="0" borderId="1" xfId="0" applyNumberFormat="1" applyFont="1" applyBorder="1"/>
    <xf numFmtId="10" fontId="0" fillId="0" borderId="0" xfId="0" applyNumberFormat="1"/>
    <xf numFmtId="10" fontId="1" fillId="0" borderId="0" xfId="2" applyNumberFormat="1" applyFont="1"/>
    <xf numFmtId="10" fontId="0" fillId="0" borderId="2" xfId="2" applyNumberFormat="1" applyFont="1" applyBorder="1"/>
    <xf numFmtId="10" fontId="2" fillId="0" borderId="1" xfId="2" applyNumberFormat="1" applyFont="1" applyBorder="1"/>
    <xf numFmtId="0" fontId="2" fillId="0" borderId="0" xfId="0" applyFont="1" applyBorder="1"/>
    <xf numFmtId="167" fontId="2" fillId="0" borderId="0" xfId="0" applyNumberFormat="1" applyFont="1" applyBorder="1"/>
    <xf numFmtId="10" fontId="2" fillId="0" borderId="0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2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D2:S62"/>
  <sheetViews>
    <sheetView showGridLines="0" workbookViewId="0">
      <selection activeCell="L16" sqref="L16"/>
    </sheetView>
  </sheetViews>
  <sheetFormatPr defaultRowHeight="15" x14ac:dyDescent="0.25"/>
  <cols>
    <col min="5" max="5" width="27.85546875" bestFit="1" customWidth="1"/>
    <col min="6" max="6" width="15.42578125" bestFit="1" customWidth="1"/>
    <col min="7" max="11" width="10.5703125" bestFit="1" customWidth="1"/>
    <col min="13" max="13" width="10.5703125" bestFit="1" customWidth="1"/>
    <col min="17" max="17" width="10.5703125" bestFit="1" customWidth="1"/>
    <col min="19" max="19" width="13.28515625" bestFit="1" customWidth="1"/>
  </cols>
  <sheetData>
    <row r="2" spans="4:19" x14ac:dyDescent="0.25">
      <c r="E2" s="42" t="s">
        <v>30</v>
      </c>
      <c r="F2" s="42"/>
      <c r="G2" s="42"/>
      <c r="H2" s="42"/>
      <c r="I2" s="42"/>
      <c r="J2" s="42"/>
      <c r="K2" s="42"/>
    </row>
    <row r="3" spans="4:19" x14ac:dyDescent="0.25">
      <c r="F3" s="4">
        <v>2011</v>
      </c>
      <c r="G3" s="4">
        <v>2011</v>
      </c>
      <c r="H3" s="4">
        <v>2012</v>
      </c>
      <c r="I3" s="4">
        <v>2013</v>
      </c>
      <c r="J3" s="4">
        <v>2014</v>
      </c>
      <c r="K3" s="4">
        <v>2015</v>
      </c>
    </row>
    <row r="4" spans="4:19" ht="15.75" thickBot="1" x14ac:dyDescent="0.3">
      <c r="E4" s="5"/>
      <c r="F4" s="6" t="s">
        <v>5</v>
      </c>
      <c r="G4" s="6" t="s">
        <v>12</v>
      </c>
      <c r="H4" s="6" t="s">
        <v>12</v>
      </c>
      <c r="I4" s="6" t="s">
        <v>12</v>
      </c>
      <c r="J4" s="6" t="s">
        <v>13</v>
      </c>
      <c r="K4" s="6" t="s">
        <v>14</v>
      </c>
    </row>
    <row r="6" spans="4:19" x14ac:dyDescent="0.25">
      <c r="E6" s="3" t="s">
        <v>6</v>
      </c>
    </row>
    <row r="7" spans="4:19" x14ac:dyDescent="0.25">
      <c r="D7">
        <v>3776000</v>
      </c>
      <c r="E7" t="s">
        <v>0</v>
      </c>
      <c r="F7" s="1">
        <v>3972194</v>
      </c>
      <c r="G7" s="1">
        <f>+M30</f>
        <v>3844816</v>
      </c>
      <c r="H7" s="1">
        <v>4713801.54</v>
      </c>
      <c r="I7" s="1">
        <v>4366523.26</v>
      </c>
      <c r="J7" s="1">
        <v>4397779.08</v>
      </c>
      <c r="K7" s="1">
        <v>4707076.3092070119</v>
      </c>
      <c r="L7" s="1"/>
    </row>
    <row r="8" spans="4:19" x14ac:dyDescent="0.25">
      <c r="E8" t="s">
        <v>1</v>
      </c>
      <c r="F8" s="1">
        <v>934306</v>
      </c>
      <c r="G8" s="1">
        <f>+M31</f>
        <v>856824</v>
      </c>
      <c r="H8" s="1">
        <v>968405.06</v>
      </c>
      <c r="I8" s="1">
        <v>1119646.4200000002</v>
      </c>
      <c r="J8" s="1">
        <v>1101889.1241000001</v>
      </c>
      <c r="K8" s="1">
        <v>1217274.3474667713</v>
      </c>
      <c r="L8" s="1"/>
    </row>
    <row r="9" spans="4:19" x14ac:dyDescent="0.25">
      <c r="E9" t="s">
        <v>2</v>
      </c>
      <c r="F9" s="1">
        <v>1162208</v>
      </c>
      <c r="G9" s="1">
        <f>+M32+M33</f>
        <v>1171496</v>
      </c>
      <c r="H9" s="1">
        <v>1191037.57</v>
      </c>
      <c r="I9" s="1">
        <v>1113310.2899999998</v>
      </c>
      <c r="J9" s="1">
        <v>1031964.8706</v>
      </c>
      <c r="K9" s="1">
        <v>1303138.4824059119</v>
      </c>
      <c r="L9" s="1"/>
      <c r="R9" t="s">
        <v>31</v>
      </c>
    </row>
    <row r="10" spans="4:19" x14ac:dyDescent="0.25">
      <c r="E10" t="s">
        <v>3</v>
      </c>
      <c r="F10" s="1">
        <v>97014</v>
      </c>
      <c r="G10" s="1">
        <f t="shared" ref="G10" si="0">+M34</f>
        <v>38630</v>
      </c>
      <c r="H10" s="1">
        <v>145380.37</v>
      </c>
      <c r="I10" s="1">
        <v>193017.47999999998</v>
      </c>
      <c r="J10" s="1">
        <v>4834.8779999999997</v>
      </c>
      <c r="K10" s="1">
        <v>235744.01260015892</v>
      </c>
      <c r="L10" s="1"/>
      <c r="P10" t="s">
        <v>32</v>
      </c>
      <c r="Q10" s="2">
        <f>+H8+R10</f>
        <v>882295.3600000001</v>
      </c>
      <c r="R10">
        <v>-86109.7</v>
      </c>
      <c r="S10" s="2">
        <f>+Q10-G8</f>
        <v>25471.360000000102</v>
      </c>
    </row>
    <row r="11" spans="4:19" x14ac:dyDescent="0.25">
      <c r="E11" s="7" t="s">
        <v>4</v>
      </c>
      <c r="F11" s="8">
        <v>2962</v>
      </c>
      <c r="G11" s="8">
        <f>+M35</f>
        <v>2154</v>
      </c>
      <c r="H11" s="8">
        <v>3890.75</v>
      </c>
      <c r="I11" s="8">
        <v>4724.5199999999995</v>
      </c>
      <c r="J11" s="8">
        <v>200306.67</v>
      </c>
      <c r="K11" s="8">
        <v>3465</v>
      </c>
      <c r="L11" s="1"/>
      <c r="P11" t="s">
        <v>32</v>
      </c>
      <c r="Q11" s="2">
        <f>+H9+R11</f>
        <v>1181062.6900000002</v>
      </c>
      <c r="R11">
        <v>-9974.8799999999992</v>
      </c>
      <c r="S11" s="2">
        <f>+Q11-G9</f>
        <v>9566.690000000177</v>
      </c>
    </row>
    <row r="12" spans="4:19" x14ac:dyDescent="0.25">
      <c r="F12" s="1"/>
      <c r="G12" s="1"/>
      <c r="H12" s="1"/>
      <c r="I12" s="1"/>
      <c r="J12" s="1"/>
      <c r="K12" s="1"/>
      <c r="L12" s="1"/>
    </row>
    <row r="13" spans="4:19" ht="15.75" thickBot="1" x14ac:dyDescent="0.3">
      <c r="E13" s="12"/>
      <c r="F13" s="24">
        <f t="shared" ref="F13:K13" si="1">SUM(F7:F12)</f>
        <v>6168684</v>
      </c>
      <c r="G13" s="24">
        <f t="shared" si="1"/>
        <v>5913920</v>
      </c>
      <c r="H13" s="24">
        <f t="shared" si="1"/>
        <v>7022515.29</v>
      </c>
      <c r="I13" s="24">
        <f t="shared" si="1"/>
        <v>6797221.9699999988</v>
      </c>
      <c r="J13" s="24">
        <f t="shared" si="1"/>
        <v>6736774.6226999993</v>
      </c>
      <c r="K13" s="24">
        <f t="shared" si="1"/>
        <v>7466698.1516798548</v>
      </c>
      <c r="L13" s="1"/>
    </row>
    <row r="14" spans="4:19" x14ac:dyDescent="0.25">
      <c r="F14" s="1"/>
      <c r="G14" s="1"/>
      <c r="H14" s="1"/>
      <c r="I14" s="1"/>
      <c r="J14" s="1"/>
      <c r="K14" s="1"/>
      <c r="L14" s="1"/>
      <c r="N14">
        <v>6736775</v>
      </c>
    </row>
    <row r="15" spans="4:19" x14ac:dyDescent="0.25">
      <c r="E15" s="3" t="s">
        <v>7</v>
      </c>
      <c r="F15" s="1"/>
      <c r="G15" s="1"/>
      <c r="H15" s="1"/>
      <c r="I15" s="1"/>
      <c r="J15" s="1"/>
      <c r="K15" s="1"/>
      <c r="L15" s="1"/>
      <c r="N15" s="2">
        <f>+N14-J13</f>
        <v>0.37730000074952841</v>
      </c>
    </row>
    <row r="16" spans="4:19" x14ac:dyDescent="0.25">
      <c r="E16" t="s">
        <v>8</v>
      </c>
      <c r="F16" s="17">
        <f>+F46+F47+F49</f>
        <v>538827</v>
      </c>
      <c r="G16" s="17">
        <f t="shared" ref="G16:K16" si="2">+G46+G47+G49</f>
        <v>530674</v>
      </c>
      <c r="H16" s="17">
        <f t="shared" si="2"/>
        <v>312726</v>
      </c>
      <c r="I16" s="17">
        <f t="shared" si="2"/>
        <v>272405</v>
      </c>
      <c r="J16" s="17">
        <f t="shared" si="2"/>
        <v>244000</v>
      </c>
      <c r="K16" s="17">
        <f t="shared" si="2"/>
        <v>243994</v>
      </c>
      <c r="L16" s="1"/>
    </row>
    <row r="17" spans="5:19" x14ac:dyDescent="0.25">
      <c r="E17" t="s">
        <v>9</v>
      </c>
      <c r="F17" s="17">
        <f>+F48</f>
        <v>138817</v>
      </c>
      <c r="G17" s="17">
        <f t="shared" ref="G17:K17" si="3">+G48</f>
        <v>122874</v>
      </c>
      <c r="H17" s="17">
        <f t="shared" si="3"/>
        <v>118049</v>
      </c>
      <c r="I17" s="17">
        <f t="shared" si="3"/>
        <v>130857</v>
      </c>
      <c r="J17" s="17">
        <f t="shared" si="3"/>
        <v>120000</v>
      </c>
      <c r="K17" s="17">
        <f t="shared" si="3"/>
        <v>120000</v>
      </c>
      <c r="L17" s="1"/>
    </row>
    <row r="18" spans="5:19" x14ac:dyDescent="0.25">
      <c r="E18" t="s">
        <v>7</v>
      </c>
      <c r="F18" s="17">
        <f>+F43+F44+F45</f>
        <v>71483</v>
      </c>
      <c r="G18" s="17">
        <f t="shared" ref="G18:K18" si="4">+G43+G44+G45</f>
        <v>80918</v>
      </c>
      <c r="H18" s="17">
        <f t="shared" si="4"/>
        <v>85799</v>
      </c>
      <c r="I18" s="17">
        <f t="shared" si="4"/>
        <v>84079</v>
      </c>
      <c r="J18" s="17">
        <f t="shared" si="4"/>
        <v>79998</v>
      </c>
      <c r="K18" s="17">
        <f t="shared" si="4"/>
        <v>67401</v>
      </c>
    </row>
    <row r="19" spans="5:19" x14ac:dyDescent="0.25">
      <c r="E19" s="7" t="s">
        <v>10</v>
      </c>
      <c r="F19" s="8">
        <f>+F50+F51+F52+F53</f>
        <v>74672</v>
      </c>
      <c r="G19" s="8">
        <f t="shared" ref="G19:K19" si="5">+G50+G51+G52+G53</f>
        <v>255431</v>
      </c>
      <c r="H19" s="8">
        <f t="shared" si="5"/>
        <v>280850</v>
      </c>
      <c r="I19" s="8">
        <f t="shared" si="5"/>
        <v>511274</v>
      </c>
      <c r="J19" s="8">
        <f t="shared" si="5"/>
        <v>144737</v>
      </c>
      <c r="K19" s="8">
        <f t="shared" si="5"/>
        <v>64649</v>
      </c>
    </row>
    <row r="21" spans="5:19" x14ac:dyDescent="0.25">
      <c r="E21" s="9"/>
      <c r="F21" s="11">
        <f>SUM(F16:F20)</f>
        <v>823799</v>
      </c>
      <c r="G21" s="11">
        <f t="shared" ref="G21:K21" si="6">SUM(G16:G20)</f>
        <v>989897</v>
      </c>
      <c r="H21" s="11">
        <f t="shared" si="6"/>
        <v>797424</v>
      </c>
      <c r="I21" s="11">
        <f t="shared" si="6"/>
        <v>998615</v>
      </c>
      <c r="J21" s="11">
        <f t="shared" si="6"/>
        <v>588735</v>
      </c>
      <c r="K21" s="11">
        <f t="shared" si="6"/>
        <v>496044</v>
      </c>
      <c r="L21" s="3"/>
      <c r="M21" s="3"/>
    </row>
    <row r="22" spans="5:19" x14ac:dyDescent="0.25">
      <c r="E22" s="3"/>
      <c r="F22" s="3"/>
      <c r="G22" s="3"/>
      <c r="H22" s="3"/>
      <c r="I22" s="3"/>
      <c r="J22" s="3"/>
      <c r="K22" s="3"/>
      <c r="L22" s="3"/>
      <c r="M22" s="3"/>
    </row>
    <row r="23" spans="5:19" ht="15.75" thickBot="1" x14ac:dyDescent="0.3">
      <c r="E23" s="12" t="s">
        <v>11</v>
      </c>
      <c r="F23" s="13">
        <f>+F21+F13</f>
        <v>6992483</v>
      </c>
      <c r="G23" s="13">
        <f t="shared" ref="G23:K23" si="7">+G21+G13</f>
        <v>6903817</v>
      </c>
      <c r="H23" s="13">
        <f t="shared" si="7"/>
        <v>7819939.29</v>
      </c>
      <c r="I23" s="13">
        <f t="shared" si="7"/>
        <v>7795836.9699999988</v>
      </c>
      <c r="J23" s="13">
        <f t="shared" si="7"/>
        <v>7325509.6226999993</v>
      </c>
      <c r="K23" s="13">
        <f t="shared" si="7"/>
        <v>7962742.1516798548</v>
      </c>
      <c r="L23" s="3"/>
      <c r="M23" s="3"/>
    </row>
    <row r="26" spans="5:19" x14ac:dyDescent="0.25">
      <c r="J26" s="2"/>
      <c r="K26" s="2"/>
      <c r="Q26" t="s">
        <v>33</v>
      </c>
    </row>
    <row r="27" spans="5:19" x14ac:dyDescent="0.25">
      <c r="P27">
        <v>2010</v>
      </c>
      <c r="Q27" t="s">
        <v>34</v>
      </c>
      <c r="R27" t="s">
        <v>35</v>
      </c>
    </row>
    <row r="28" spans="5:19" x14ac:dyDescent="0.25">
      <c r="E28" s="16">
        <v>2011</v>
      </c>
      <c r="F28" s="15" t="s">
        <v>16</v>
      </c>
      <c r="G28" s="15" t="s">
        <v>17</v>
      </c>
      <c r="H28" s="15" t="s">
        <v>18</v>
      </c>
      <c r="I28" s="15" t="s">
        <v>19</v>
      </c>
      <c r="J28" s="15" t="s">
        <v>20</v>
      </c>
      <c r="K28" s="15" t="s">
        <v>21</v>
      </c>
      <c r="L28" s="15" t="s">
        <v>23</v>
      </c>
      <c r="M28" s="15" t="s">
        <v>22</v>
      </c>
      <c r="P28">
        <f>+Q28/1.0048</f>
        <v>1.4132165605095543E-2</v>
      </c>
      <c r="Q28">
        <v>1.4200000000000001E-2</v>
      </c>
      <c r="R28">
        <v>1.6E-2</v>
      </c>
    </row>
    <row r="29" spans="5:19" x14ac:dyDescent="0.25">
      <c r="F29" s="1"/>
      <c r="G29" s="1"/>
      <c r="H29" s="1"/>
      <c r="I29" s="1"/>
      <c r="J29" s="1"/>
      <c r="K29" s="1"/>
      <c r="L29" s="1"/>
      <c r="P29">
        <v>0</v>
      </c>
      <c r="Q29">
        <f>+Q28*7/12</f>
        <v>8.2833333333333335E-3</v>
      </c>
      <c r="R29">
        <f>+R28*5/12</f>
        <v>6.6666666666666671E-3</v>
      </c>
      <c r="S29">
        <f>+R29+Q29+P29</f>
        <v>1.4950000000000001E-2</v>
      </c>
    </row>
    <row r="30" spans="5:19" x14ac:dyDescent="0.25">
      <c r="E30" t="s">
        <v>0</v>
      </c>
      <c r="F30" s="1">
        <v>1916353</v>
      </c>
      <c r="G30" s="1">
        <v>5755</v>
      </c>
      <c r="H30" s="1">
        <v>1545709</v>
      </c>
      <c r="I30" s="1">
        <v>0</v>
      </c>
      <c r="J30" s="1">
        <v>345874</v>
      </c>
      <c r="K30" s="1">
        <v>15017</v>
      </c>
      <c r="L30" s="1">
        <v>16108</v>
      </c>
      <c r="M30" s="2">
        <f>SUM(F30:L30)</f>
        <v>3844816</v>
      </c>
      <c r="Q30" t="s">
        <v>36</v>
      </c>
    </row>
    <row r="31" spans="5:19" x14ac:dyDescent="0.25">
      <c r="E31" t="s">
        <v>1</v>
      </c>
      <c r="F31" s="1">
        <v>319961</v>
      </c>
      <c r="G31" s="1">
        <v>1875</v>
      </c>
      <c r="H31" s="1">
        <v>453075</v>
      </c>
      <c r="I31" s="1">
        <v>0</v>
      </c>
      <c r="J31" s="1">
        <v>75559</v>
      </c>
      <c r="K31" s="1">
        <v>3428</v>
      </c>
      <c r="L31" s="1">
        <v>2926</v>
      </c>
      <c r="M31" s="2">
        <f t="shared" ref="M31:M35" si="8">SUM(F31:L31)</f>
        <v>856824</v>
      </c>
      <c r="S31" s="25">
        <f>+'Normalized Revenues'!G7</f>
        <v>118762394</v>
      </c>
    </row>
    <row r="32" spans="5:19" x14ac:dyDescent="0.25">
      <c r="E32" t="s">
        <v>2</v>
      </c>
      <c r="F32" s="1">
        <v>167508</v>
      </c>
      <c r="G32" s="1">
        <v>2485</v>
      </c>
      <c r="H32" s="1">
        <v>855064</v>
      </c>
      <c r="I32" s="1">
        <v>0</v>
      </c>
      <c r="J32" s="1">
        <v>119430</v>
      </c>
      <c r="K32" s="1">
        <v>22479</v>
      </c>
      <c r="L32" s="1">
        <v>4468</v>
      </c>
      <c r="M32" s="2">
        <f t="shared" si="8"/>
        <v>1171434</v>
      </c>
    </row>
    <row r="33" spans="5:19" x14ac:dyDescent="0.25">
      <c r="E33" t="s">
        <v>15</v>
      </c>
      <c r="F33" s="1">
        <v>54</v>
      </c>
      <c r="G33" s="1">
        <v>0</v>
      </c>
      <c r="H33" s="1">
        <v>6</v>
      </c>
      <c r="I33" s="1">
        <v>0</v>
      </c>
      <c r="J33" s="1">
        <v>2</v>
      </c>
      <c r="K33" s="1"/>
      <c r="L33" s="1"/>
      <c r="M33" s="2">
        <f t="shared" si="8"/>
        <v>62</v>
      </c>
      <c r="S33" s="1">
        <f>+S29*S31</f>
        <v>1775497.7903000002</v>
      </c>
    </row>
    <row r="34" spans="5:19" x14ac:dyDescent="0.25">
      <c r="E34" t="s">
        <v>3</v>
      </c>
      <c r="F34" s="1">
        <v>33620</v>
      </c>
      <c r="G34" s="1">
        <v>3459</v>
      </c>
      <c r="H34" s="1">
        <v>1210</v>
      </c>
      <c r="I34" s="1">
        <v>0</v>
      </c>
      <c r="J34" s="1">
        <v>341</v>
      </c>
      <c r="K34" s="1"/>
      <c r="L34" s="1"/>
      <c r="M34" s="2">
        <f t="shared" si="8"/>
        <v>38630</v>
      </c>
      <c r="S34" s="2">
        <f>+H30+J30</f>
        <v>1891583</v>
      </c>
    </row>
    <row r="35" spans="5:19" x14ac:dyDescent="0.25">
      <c r="E35" s="7" t="s">
        <v>4</v>
      </c>
      <c r="F35" s="8">
        <v>1261</v>
      </c>
      <c r="G35" s="8">
        <v>49</v>
      </c>
      <c r="H35" s="8">
        <v>678</v>
      </c>
      <c r="I35" s="8">
        <v>0</v>
      </c>
      <c r="J35" s="8">
        <v>160</v>
      </c>
      <c r="K35" s="8"/>
      <c r="L35" s="8">
        <v>6</v>
      </c>
      <c r="M35" s="14">
        <f t="shared" si="8"/>
        <v>2154</v>
      </c>
      <c r="S35" s="2">
        <f>+S33-S34</f>
        <v>-116085.20969999977</v>
      </c>
    </row>
    <row r="36" spans="5:19" x14ac:dyDescent="0.25">
      <c r="S36" s="26">
        <f>+S35/S34</f>
        <v>-6.1369344987769386E-2</v>
      </c>
    </row>
    <row r="37" spans="5:19" x14ac:dyDescent="0.25">
      <c r="E37" s="9"/>
      <c r="F37" s="11">
        <f t="shared" ref="F37:M37" si="9">SUM(F30:F36)</f>
        <v>2438757</v>
      </c>
      <c r="G37" s="11">
        <f t="shared" si="9"/>
        <v>13623</v>
      </c>
      <c r="H37" s="11">
        <f t="shared" si="9"/>
        <v>2855742</v>
      </c>
      <c r="I37" s="11">
        <f t="shared" si="9"/>
        <v>0</v>
      </c>
      <c r="J37" s="11">
        <f t="shared" si="9"/>
        <v>541366</v>
      </c>
      <c r="K37" s="11">
        <f t="shared" si="9"/>
        <v>40924</v>
      </c>
      <c r="L37" s="11">
        <f t="shared" si="9"/>
        <v>23508</v>
      </c>
      <c r="M37" s="11">
        <f t="shared" si="9"/>
        <v>5913920</v>
      </c>
    </row>
    <row r="39" spans="5:19" x14ac:dyDescent="0.25">
      <c r="M39">
        <f>3620+17612+10549+200+584+315</f>
        <v>32880</v>
      </c>
    </row>
    <row r="40" spans="5:19" x14ac:dyDescent="0.25">
      <c r="M40" s="2">
        <f>+M37+M39</f>
        <v>5946800</v>
      </c>
    </row>
    <row r="41" spans="5:19" x14ac:dyDescent="0.25">
      <c r="M41" s="2">
        <f>+M40-5994836</f>
        <v>-48036</v>
      </c>
    </row>
    <row r="43" spans="5:19" x14ac:dyDescent="0.25">
      <c r="E43">
        <v>4080</v>
      </c>
      <c r="F43" s="25">
        <v>33130</v>
      </c>
      <c r="G43" s="25">
        <v>48040</v>
      </c>
      <c r="H43" s="25">
        <v>57834</v>
      </c>
      <c r="I43" s="25">
        <v>58337</v>
      </c>
      <c r="J43" s="25">
        <v>50000</v>
      </c>
      <c r="K43" s="25">
        <v>37410</v>
      </c>
      <c r="L43" s="17"/>
      <c r="M43" s="17"/>
      <c r="N43" s="17"/>
    </row>
    <row r="44" spans="5:19" x14ac:dyDescent="0.25">
      <c r="E44" t="s">
        <v>24</v>
      </c>
      <c r="F44" s="25">
        <v>37386</v>
      </c>
      <c r="G44" s="25">
        <v>31980</v>
      </c>
      <c r="H44" s="25">
        <v>27269</v>
      </c>
      <c r="I44" s="25">
        <v>25111</v>
      </c>
      <c r="J44" s="25">
        <v>29252</v>
      </c>
      <c r="K44" s="25">
        <v>29245</v>
      </c>
      <c r="L44" s="17"/>
      <c r="M44" s="17"/>
      <c r="N44" s="17"/>
    </row>
    <row r="45" spans="5:19" x14ac:dyDescent="0.25">
      <c r="E45" t="s">
        <v>25</v>
      </c>
      <c r="F45" s="25">
        <v>967</v>
      </c>
      <c r="G45" s="25">
        <v>898</v>
      </c>
      <c r="H45" s="25">
        <v>696</v>
      </c>
      <c r="I45" s="25">
        <v>631</v>
      </c>
      <c r="J45" s="25">
        <v>746</v>
      </c>
      <c r="K45" s="25">
        <v>746</v>
      </c>
      <c r="L45" s="17"/>
      <c r="M45" s="17"/>
      <c r="N45" s="17"/>
    </row>
    <row r="46" spans="5:19" x14ac:dyDescent="0.25">
      <c r="E46">
        <v>4210</v>
      </c>
      <c r="F46" s="25">
        <v>305058</v>
      </c>
      <c r="G46" s="25">
        <v>312994</v>
      </c>
      <c r="H46" s="25">
        <v>77313</v>
      </c>
      <c r="I46" s="25">
        <v>34074</v>
      </c>
      <c r="J46" s="25">
        <v>30000</v>
      </c>
      <c r="K46" s="25">
        <v>29994</v>
      </c>
      <c r="L46" s="17"/>
      <c r="M46" s="17"/>
      <c r="N46" s="17"/>
    </row>
    <row r="47" spans="5:19" x14ac:dyDescent="0.25">
      <c r="E47">
        <v>4220</v>
      </c>
      <c r="F47" s="25">
        <v>69935</v>
      </c>
      <c r="G47" s="25">
        <v>69935</v>
      </c>
      <c r="H47" s="25">
        <v>70135</v>
      </c>
      <c r="I47" s="25">
        <v>69935</v>
      </c>
      <c r="J47" s="25">
        <v>65000</v>
      </c>
      <c r="K47" s="25">
        <v>65000</v>
      </c>
      <c r="L47" s="17"/>
      <c r="M47" s="17"/>
      <c r="N47" s="17"/>
    </row>
    <row r="48" spans="5:19" x14ac:dyDescent="0.25">
      <c r="E48">
        <v>4225</v>
      </c>
      <c r="F48" s="25">
        <v>138817</v>
      </c>
      <c r="G48" s="25">
        <v>122874</v>
      </c>
      <c r="H48" s="25">
        <v>118049</v>
      </c>
      <c r="I48" s="25">
        <v>130857</v>
      </c>
      <c r="J48" s="25">
        <v>120000</v>
      </c>
      <c r="K48" s="25">
        <v>120000</v>
      </c>
      <c r="L48" s="17"/>
      <c r="M48" s="17"/>
      <c r="N48" s="17"/>
    </row>
    <row r="49" spans="5:14" x14ac:dyDescent="0.25">
      <c r="E49">
        <v>4235</v>
      </c>
      <c r="F49" s="25">
        <v>163834</v>
      </c>
      <c r="G49" s="25">
        <v>147745</v>
      </c>
      <c r="H49" s="25">
        <v>165278</v>
      </c>
      <c r="I49" s="25">
        <v>168396</v>
      </c>
      <c r="J49" s="25">
        <v>149000</v>
      </c>
      <c r="K49" s="25">
        <v>149000</v>
      </c>
      <c r="L49" s="17"/>
      <c r="M49" s="17"/>
      <c r="N49" s="17"/>
    </row>
    <row r="50" spans="5:14" x14ac:dyDescent="0.25">
      <c r="E50">
        <v>4325</v>
      </c>
      <c r="F50" s="25">
        <v>58374</v>
      </c>
      <c r="G50" s="25">
        <v>343085</v>
      </c>
      <c r="H50" s="25">
        <v>1064456</v>
      </c>
      <c r="I50" s="25">
        <v>1458239</v>
      </c>
      <c r="J50" s="25">
        <v>342000</v>
      </c>
      <c r="K50" s="25">
        <v>329000</v>
      </c>
      <c r="L50" s="1"/>
      <c r="M50" s="1"/>
      <c r="N50" s="1"/>
    </row>
    <row r="51" spans="5:14" x14ac:dyDescent="0.25">
      <c r="E51" t="s">
        <v>26</v>
      </c>
      <c r="F51" s="25">
        <v>-39559</v>
      </c>
      <c r="G51" s="25">
        <v>-200025</v>
      </c>
      <c r="H51" s="25">
        <v>-938566</v>
      </c>
      <c r="I51" s="25">
        <v>-1124370</v>
      </c>
      <c r="J51" s="25">
        <f>-292256-7</f>
        <v>-292263</v>
      </c>
      <c r="K51" s="25">
        <v>-299351</v>
      </c>
      <c r="L51" s="1"/>
      <c r="M51" s="1"/>
      <c r="N51" s="1"/>
    </row>
    <row r="52" spans="5:14" x14ac:dyDescent="0.25">
      <c r="E52">
        <v>4390</v>
      </c>
      <c r="F52" s="25">
        <f>21000+20000</f>
        <v>41000</v>
      </c>
      <c r="G52" s="25">
        <v>41000</v>
      </c>
      <c r="H52" s="25">
        <v>71848</v>
      </c>
      <c r="I52" s="25">
        <v>129922</v>
      </c>
      <c r="J52" s="25">
        <v>60000</v>
      </c>
      <c r="K52" s="25">
        <v>0</v>
      </c>
      <c r="L52" s="1"/>
      <c r="M52" s="1"/>
      <c r="N52" s="1"/>
    </row>
    <row r="53" spans="5:14" x14ac:dyDescent="0.25">
      <c r="E53">
        <v>4405</v>
      </c>
      <c r="F53" s="25">
        <v>14857</v>
      </c>
      <c r="G53" s="25">
        <v>71371</v>
      </c>
      <c r="H53" s="25">
        <v>83112</v>
      </c>
      <c r="I53" s="25">
        <v>47483</v>
      </c>
      <c r="J53" s="25">
        <v>35000</v>
      </c>
      <c r="K53" s="25">
        <v>35000</v>
      </c>
      <c r="L53" s="1"/>
      <c r="M53" s="1"/>
      <c r="N53" s="1"/>
    </row>
    <row r="54" spans="5:14" x14ac:dyDescent="0.25">
      <c r="F54" s="25"/>
      <c r="G54" s="25"/>
      <c r="H54" s="25"/>
      <c r="I54" s="25"/>
      <c r="J54" s="25"/>
      <c r="K54" s="25"/>
      <c r="L54" s="17"/>
      <c r="M54" s="17"/>
      <c r="N54" s="17"/>
    </row>
    <row r="55" spans="5:14" x14ac:dyDescent="0.25">
      <c r="F55" s="25">
        <f>SUM(F43:F54)</f>
        <v>823799</v>
      </c>
      <c r="G55" s="25">
        <f t="shared" ref="G55:L55" si="10">SUM(G43:G54)</f>
        <v>989897</v>
      </c>
      <c r="H55" s="25">
        <f t="shared" si="10"/>
        <v>797424</v>
      </c>
      <c r="I55" s="25">
        <f t="shared" si="10"/>
        <v>998615</v>
      </c>
      <c r="J55" s="25">
        <f t="shared" si="10"/>
        <v>588735</v>
      </c>
      <c r="K55" s="25">
        <f t="shared" si="10"/>
        <v>496044</v>
      </c>
      <c r="L55" s="17">
        <f t="shared" si="10"/>
        <v>0</v>
      </c>
      <c r="M55" s="17"/>
      <c r="N55" s="17"/>
    </row>
    <row r="56" spans="5:14" x14ac:dyDescent="0.25">
      <c r="F56" s="25"/>
      <c r="G56" s="25"/>
      <c r="H56" s="25"/>
      <c r="I56" s="25"/>
      <c r="J56" s="25"/>
      <c r="K56" s="25"/>
    </row>
    <row r="57" spans="5:14" x14ac:dyDescent="0.25">
      <c r="F57" s="27">
        <f t="shared" ref="F57:K57" si="11">+F55-F53</f>
        <v>808942</v>
      </c>
      <c r="G57" s="27">
        <f t="shared" si="11"/>
        <v>918526</v>
      </c>
      <c r="H57" s="27">
        <f t="shared" si="11"/>
        <v>714312</v>
      </c>
      <c r="I57" s="27">
        <f t="shared" si="11"/>
        <v>951132</v>
      </c>
      <c r="J57" s="27">
        <f t="shared" si="11"/>
        <v>553735</v>
      </c>
      <c r="K57" s="27">
        <f t="shared" si="11"/>
        <v>461044</v>
      </c>
    </row>
    <row r="58" spans="5:14" x14ac:dyDescent="0.25">
      <c r="G58" s="27">
        <f>+G57-F57</f>
        <v>109584</v>
      </c>
      <c r="H58" s="27">
        <f>+H57-G57</f>
        <v>-204214</v>
      </c>
      <c r="I58" s="27">
        <f>+I57-H57</f>
        <v>236820</v>
      </c>
      <c r="J58" s="27">
        <f>+J57-I57</f>
        <v>-397397</v>
      </c>
      <c r="K58" s="27">
        <f>+K57-J57</f>
        <v>-92691</v>
      </c>
    </row>
    <row r="60" spans="5:14" x14ac:dyDescent="0.25">
      <c r="K60" s="2"/>
    </row>
    <row r="61" spans="5:14" x14ac:dyDescent="0.25">
      <c r="J61">
        <v>508744</v>
      </c>
    </row>
    <row r="62" spans="5:14" x14ac:dyDescent="0.25">
      <c r="J62" s="27">
        <f>+J55-J61</f>
        <v>79991</v>
      </c>
    </row>
  </sheetData>
  <mergeCells count="1">
    <mergeCell ref="E2:K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E3:P26"/>
  <sheetViews>
    <sheetView showGridLines="0" workbookViewId="0">
      <selection activeCell="I25" sqref="I25"/>
    </sheetView>
  </sheetViews>
  <sheetFormatPr defaultRowHeight="15" x14ac:dyDescent="0.25"/>
  <cols>
    <col min="5" max="5" width="53.140625" bestFit="1" customWidth="1"/>
    <col min="6" max="6" width="15.42578125" bestFit="1" customWidth="1"/>
    <col min="7" max="8" width="10.7109375" customWidth="1"/>
    <col min="9" max="9" width="11" customWidth="1"/>
    <col min="10" max="10" width="10.7109375" customWidth="1"/>
    <col min="11" max="11" width="10.85546875" customWidth="1"/>
  </cols>
  <sheetData>
    <row r="3" spans="5:16" x14ac:dyDescent="0.25">
      <c r="E3" s="42" t="s">
        <v>30</v>
      </c>
      <c r="F3" s="42"/>
      <c r="G3" s="42"/>
      <c r="H3" s="42"/>
      <c r="I3" s="42"/>
      <c r="J3" s="42"/>
      <c r="K3" s="42"/>
    </row>
    <row r="4" spans="5:16" x14ac:dyDescent="0.25">
      <c r="F4" s="18">
        <v>2011</v>
      </c>
      <c r="G4" s="18">
        <v>2011</v>
      </c>
      <c r="H4" s="18">
        <v>2012</v>
      </c>
      <c r="I4" s="18">
        <v>2013</v>
      </c>
      <c r="J4" s="18">
        <v>2014</v>
      </c>
      <c r="K4" s="18">
        <v>2015</v>
      </c>
    </row>
    <row r="5" spans="5:16" ht="15.75" thickBot="1" x14ac:dyDescent="0.3">
      <c r="E5" s="5"/>
      <c r="F5" s="6" t="s">
        <v>5</v>
      </c>
      <c r="G5" s="6" t="s">
        <v>12</v>
      </c>
      <c r="H5" s="6" t="s">
        <v>12</v>
      </c>
      <c r="I5" s="6" t="s">
        <v>12</v>
      </c>
      <c r="J5" s="6" t="s">
        <v>13</v>
      </c>
      <c r="K5" s="6" t="s">
        <v>14</v>
      </c>
      <c r="P5" t="s">
        <v>27</v>
      </c>
    </row>
    <row r="7" spans="5:16" x14ac:dyDescent="0.25">
      <c r="E7" s="9" t="s">
        <v>60</v>
      </c>
      <c r="F7" s="8">
        <f>+Sheet1!F13</f>
        <v>6168684</v>
      </c>
      <c r="G7" s="8">
        <f>+Sheet1!G13</f>
        <v>5913920</v>
      </c>
      <c r="H7" s="8">
        <f>+Sheet1!H13-H11</f>
        <v>6176257.29</v>
      </c>
      <c r="I7" s="8">
        <f>+Sheet1!I13-I11</f>
        <v>6143018.9699999988</v>
      </c>
      <c r="J7" s="8">
        <f>+Sheet1!J13-J11</f>
        <v>6736774.6226999993</v>
      </c>
      <c r="K7" s="8">
        <f>+Sheet1!K13-K11</f>
        <v>7466698.1516798548</v>
      </c>
    </row>
    <row r="8" spans="5:16" x14ac:dyDescent="0.25">
      <c r="E8" t="s">
        <v>28</v>
      </c>
      <c r="F8" s="19"/>
      <c r="G8" s="19">
        <f>+G7-F7</f>
        <v>-254764</v>
      </c>
      <c r="H8" s="19">
        <f>+H7-G7</f>
        <v>262337.29000000004</v>
      </c>
      <c r="I8" s="19">
        <f>+I7-H7</f>
        <v>-33238.320000001229</v>
      </c>
      <c r="J8" s="19">
        <f>+J7-I7</f>
        <v>593755.65270000044</v>
      </c>
      <c r="K8" s="19">
        <f>+K7-J7</f>
        <v>729923.52897985559</v>
      </c>
    </row>
    <row r="9" spans="5:16" x14ac:dyDescent="0.25">
      <c r="E9" s="7" t="s">
        <v>29</v>
      </c>
      <c r="F9" s="8"/>
      <c r="G9" s="20">
        <f>+G8/F7</f>
        <v>-4.1299570540491291E-2</v>
      </c>
      <c r="H9" s="20">
        <f>+H8/G7</f>
        <v>4.4359289608246311E-2</v>
      </c>
      <c r="I9" s="20">
        <f>+I8/H7</f>
        <v>-5.3816281348604937E-3</v>
      </c>
      <c r="J9" s="20">
        <f>+J8/I7</f>
        <v>9.6655350667100501E-2</v>
      </c>
      <c r="K9" s="20">
        <f>+K8/J7</f>
        <v>0.1083491091597945</v>
      </c>
    </row>
    <row r="10" spans="5:16" x14ac:dyDescent="0.25">
      <c r="F10" s="1"/>
      <c r="G10" s="1"/>
      <c r="H10" s="1"/>
      <c r="I10" s="1"/>
      <c r="J10" s="1"/>
      <c r="K10" s="1"/>
    </row>
    <row r="11" spans="5:16" x14ac:dyDescent="0.25">
      <c r="E11" s="21" t="s">
        <v>61</v>
      </c>
      <c r="F11" s="10">
        <v>0</v>
      </c>
      <c r="G11" s="10">
        <v>0</v>
      </c>
      <c r="H11" s="10">
        <v>846258</v>
      </c>
      <c r="I11" s="10">
        <v>654203</v>
      </c>
      <c r="J11" s="10">
        <v>0</v>
      </c>
      <c r="K11" s="10"/>
    </row>
    <row r="12" spans="5:16" x14ac:dyDescent="0.25">
      <c r="F12" s="1"/>
      <c r="G12" s="1"/>
      <c r="H12" s="1"/>
      <c r="I12" s="1"/>
      <c r="J12" s="1"/>
      <c r="K12" s="1"/>
    </row>
    <row r="13" spans="5:16" x14ac:dyDescent="0.25">
      <c r="E13" t="s">
        <v>62</v>
      </c>
      <c r="F13" s="1">
        <f t="shared" ref="F13:K13" si="0">+F7+F11</f>
        <v>6168684</v>
      </c>
      <c r="G13" s="1">
        <f t="shared" si="0"/>
        <v>5913920</v>
      </c>
      <c r="H13" s="1">
        <f t="shared" si="0"/>
        <v>7022515.29</v>
      </c>
      <c r="I13" s="1">
        <f t="shared" si="0"/>
        <v>6797221.9699999988</v>
      </c>
      <c r="J13" s="1">
        <f t="shared" si="0"/>
        <v>6736774.6226999993</v>
      </c>
      <c r="K13" s="1">
        <f t="shared" si="0"/>
        <v>7466698.1516798548</v>
      </c>
    </row>
    <row r="14" spans="5:16" x14ac:dyDescent="0.25">
      <c r="E14" t="s">
        <v>28</v>
      </c>
      <c r="F14" s="19"/>
      <c r="G14" s="19">
        <f>+G13-F13</f>
        <v>-254764</v>
      </c>
      <c r="H14" s="19">
        <f>+H13-G13</f>
        <v>1108595.29</v>
      </c>
      <c r="I14" s="19">
        <f>+I13-H13</f>
        <v>-225293.32000000123</v>
      </c>
      <c r="J14" s="19">
        <f>+J13-I13</f>
        <v>-60447.347299999557</v>
      </c>
      <c r="K14" s="19">
        <f>+K13-J13</f>
        <v>729923.52897985559</v>
      </c>
    </row>
    <row r="15" spans="5:16" ht="15.75" thickBot="1" x14ac:dyDescent="0.3">
      <c r="E15" s="5" t="s">
        <v>29</v>
      </c>
      <c r="F15" s="22"/>
      <c r="G15" s="23">
        <f>+G14/F13</f>
        <v>-4.1299570540491291E-2</v>
      </c>
      <c r="H15" s="23">
        <f>+H14/G13</f>
        <v>0.18745523950273255</v>
      </c>
      <c r="I15" s="23">
        <f>+I14/H13</f>
        <v>-3.208157059064249E-2</v>
      </c>
      <c r="J15" s="23">
        <f>+J14/I13</f>
        <v>-8.8929488498077653E-3</v>
      </c>
      <c r="K15" s="23">
        <f>+K14/J13</f>
        <v>0.1083491091597945</v>
      </c>
    </row>
    <row r="16" spans="5:16" x14ac:dyDescent="0.25">
      <c r="F16" s="1"/>
      <c r="G16" s="1"/>
      <c r="H16" s="1"/>
      <c r="I16" s="1"/>
      <c r="J16" s="1"/>
      <c r="K16" s="1"/>
    </row>
    <row r="17" spans="6:11" x14ac:dyDescent="0.25">
      <c r="F17" s="1"/>
      <c r="G17" s="1"/>
      <c r="H17" s="1"/>
      <c r="I17" s="1"/>
      <c r="J17" s="1"/>
      <c r="K17" s="1"/>
    </row>
    <row r="18" spans="6:11" x14ac:dyDescent="0.25">
      <c r="F18" s="1"/>
      <c r="G18" s="1"/>
      <c r="H18" s="1"/>
      <c r="I18" s="1"/>
      <c r="J18" s="1"/>
      <c r="K18" s="1"/>
    </row>
    <row r="19" spans="6:11" x14ac:dyDescent="0.25">
      <c r="F19" s="1"/>
      <c r="G19" s="1"/>
      <c r="H19" s="1"/>
      <c r="I19" s="1"/>
      <c r="J19" s="1"/>
      <c r="K19" s="1"/>
    </row>
    <row r="20" spans="6:11" x14ac:dyDescent="0.25">
      <c r="F20" s="1">
        <f>+Sheet1!F13</f>
        <v>6168684</v>
      </c>
      <c r="G20" s="1">
        <f>+Sheet1!G13</f>
        <v>5913920</v>
      </c>
      <c r="H20" s="1">
        <f>+Sheet1!H13</f>
        <v>7022515.29</v>
      </c>
      <c r="I20" s="1">
        <f>+Sheet1!I13</f>
        <v>6797221.9699999988</v>
      </c>
      <c r="J20" s="1">
        <f>+Sheet1!J13</f>
        <v>6736774.6226999993</v>
      </c>
      <c r="K20" s="1">
        <f>+Sheet1!K13</f>
        <v>7466698.1516798548</v>
      </c>
    </row>
    <row r="23" spans="6:11" x14ac:dyDescent="0.25">
      <c r="J23">
        <v>532901</v>
      </c>
    </row>
    <row r="24" spans="6:11" x14ac:dyDescent="0.25">
      <c r="I24" s="2">
        <f>+I7</f>
        <v>6143018.9699999988</v>
      </c>
      <c r="J24" s="2">
        <f>+J7-J23</f>
        <v>6203873.6226999993</v>
      </c>
    </row>
    <row r="25" spans="6:11" x14ac:dyDescent="0.25">
      <c r="I25">
        <f>+I24*0.00933</f>
        <v>57314.366990099988</v>
      </c>
      <c r="J25" s="2">
        <f>+J24-I24</f>
        <v>60854.652700000443</v>
      </c>
    </row>
    <row r="26" spans="6:11" x14ac:dyDescent="0.25">
      <c r="J26" s="40">
        <f>+J25/I24</f>
        <v>9.906310398387139E-3</v>
      </c>
    </row>
  </sheetData>
  <mergeCells count="1">
    <mergeCell ref="E3:K3"/>
  </mergeCells>
  <pageMargins left="0.11811023622047245" right="0.11811023622047245" top="0.55118110236220474" bottom="0.15748031496062992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C2:P38"/>
  <sheetViews>
    <sheetView topLeftCell="A15" workbookViewId="0">
      <selection activeCell="G11" sqref="G11"/>
    </sheetView>
  </sheetViews>
  <sheetFormatPr defaultRowHeight="15" x14ac:dyDescent="0.25"/>
  <cols>
    <col min="4" max="4" width="10.5703125" bestFit="1" customWidth="1"/>
    <col min="5" max="6" width="12" bestFit="1" customWidth="1"/>
    <col min="7" max="7" width="12.5703125" bestFit="1" customWidth="1"/>
    <col min="11" max="11" width="12.5703125" bestFit="1" customWidth="1"/>
    <col min="14" max="14" width="10.5703125" bestFit="1" customWidth="1"/>
    <col min="15" max="15" width="12.5703125" bestFit="1" customWidth="1"/>
    <col min="16" max="16" width="10.5703125" bestFit="1" customWidth="1"/>
  </cols>
  <sheetData>
    <row r="2" spans="3:15" x14ac:dyDescent="0.25">
      <c r="E2" s="43">
        <v>2011</v>
      </c>
      <c r="F2" s="43"/>
      <c r="G2" s="43"/>
      <c r="I2" s="43">
        <v>2012</v>
      </c>
      <c r="J2" s="43"/>
      <c r="K2" s="43"/>
      <c r="M2" s="43">
        <v>2013</v>
      </c>
      <c r="N2" s="43"/>
      <c r="O2" s="43"/>
    </row>
    <row r="3" spans="3:15" x14ac:dyDescent="0.25">
      <c r="E3" t="s">
        <v>37</v>
      </c>
      <c r="F3" t="s">
        <v>35</v>
      </c>
      <c r="G3" t="s">
        <v>40</v>
      </c>
      <c r="I3" t="s">
        <v>44</v>
      </c>
      <c r="J3" t="s">
        <v>45</v>
      </c>
      <c r="K3" t="s">
        <v>40</v>
      </c>
      <c r="M3" t="s">
        <v>44</v>
      </c>
      <c r="N3" t="s">
        <v>45</v>
      </c>
      <c r="O3" t="s">
        <v>40</v>
      </c>
    </row>
    <row r="4" spans="3:15" x14ac:dyDescent="0.25">
      <c r="C4" t="s">
        <v>0</v>
      </c>
      <c r="E4">
        <v>1.5599999999999999E-2</v>
      </c>
      <c r="F4">
        <v>1.6E-2</v>
      </c>
      <c r="I4">
        <f>+F4</f>
        <v>1.6E-2</v>
      </c>
      <c r="J4">
        <v>1.5900000000000001E-2</v>
      </c>
      <c r="M4">
        <f>+J4</f>
        <v>1.5900000000000001E-2</v>
      </c>
      <c r="N4">
        <v>1.5800000000000002E-2</v>
      </c>
    </row>
    <row r="5" spans="3:15" x14ac:dyDescent="0.25">
      <c r="C5" t="s">
        <v>38</v>
      </c>
      <c r="E5">
        <v>7</v>
      </c>
      <c r="F5">
        <v>5</v>
      </c>
      <c r="I5">
        <v>4</v>
      </c>
      <c r="J5">
        <v>8</v>
      </c>
      <c r="M5">
        <v>4</v>
      </c>
      <c r="N5">
        <v>8</v>
      </c>
    </row>
    <row r="6" spans="3:15" x14ac:dyDescent="0.25">
      <c r="C6" t="s">
        <v>39</v>
      </c>
      <c r="E6">
        <f>+E4/12*E5</f>
        <v>9.1000000000000004E-3</v>
      </c>
      <c r="F6">
        <f>+F4/12*F5</f>
        <v>6.6666666666666662E-3</v>
      </c>
      <c r="G6">
        <f>+E6+F6</f>
        <v>1.5766666666666665E-2</v>
      </c>
      <c r="I6">
        <f>+I4/12*I5</f>
        <v>5.3333333333333332E-3</v>
      </c>
      <c r="J6">
        <f>+J4/12*J5</f>
        <v>1.06E-2</v>
      </c>
      <c r="K6">
        <f>+I6+J6</f>
        <v>1.5933333333333334E-2</v>
      </c>
      <c r="M6">
        <f>+M4/12*M5</f>
        <v>5.3E-3</v>
      </c>
      <c r="N6">
        <f>+N4/12*N5</f>
        <v>1.0533333333333334E-2</v>
      </c>
      <c r="O6">
        <f>+M6+N6</f>
        <v>1.5833333333333335E-2</v>
      </c>
    </row>
    <row r="7" spans="3:15" x14ac:dyDescent="0.25">
      <c r="C7" t="s">
        <v>36</v>
      </c>
      <c r="G7" s="1">
        <v>118762394</v>
      </c>
      <c r="K7" s="1">
        <v>119691873</v>
      </c>
      <c r="O7" s="1">
        <v>120248677</v>
      </c>
    </row>
    <row r="9" spans="3:15" x14ac:dyDescent="0.25">
      <c r="C9" t="s">
        <v>41</v>
      </c>
      <c r="G9" s="25">
        <f>+G7*G6</f>
        <v>1872487.0787333332</v>
      </c>
      <c r="K9" s="25">
        <f>+K7*K6</f>
        <v>1907090.5098000001</v>
      </c>
      <c r="O9" s="25">
        <f>+O7*O6</f>
        <v>1903937.3858333335</v>
      </c>
    </row>
    <row r="10" spans="3:15" x14ac:dyDescent="0.25">
      <c r="C10" t="s">
        <v>42</v>
      </c>
      <c r="G10" s="25">
        <f>+Sheet1!H30+Sheet1!J30</f>
        <v>1891583</v>
      </c>
      <c r="I10" t="s">
        <v>46</v>
      </c>
      <c r="K10" s="25">
        <f>1788257+82242</f>
        <v>1870499</v>
      </c>
      <c r="M10" t="s">
        <v>46</v>
      </c>
      <c r="O10" s="25">
        <f>1825113+38429</f>
        <v>1863542</v>
      </c>
    </row>
    <row r="11" spans="3:15" x14ac:dyDescent="0.25">
      <c r="C11" t="s">
        <v>43</v>
      </c>
      <c r="G11" s="25">
        <f>+G9-G10</f>
        <v>-19095.921266666846</v>
      </c>
      <c r="I11" t="s">
        <v>47</v>
      </c>
      <c r="K11" s="25">
        <f>+K9-K10</f>
        <v>36591.509800000116</v>
      </c>
      <c r="M11" t="s">
        <v>47</v>
      </c>
      <c r="O11" s="25">
        <f>+O9-O10</f>
        <v>40395.385833333479</v>
      </c>
    </row>
    <row r="12" spans="3:15" x14ac:dyDescent="0.25">
      <c r="G12" s="26">
        <f>+G11/G10</f>
        <v>-1.0095206642619883E-2</v>
      </c>
      <c r="K12" s="26">
        <f>+K11/K10</f>
        <v>1.9562432163823727E-2</v>
      </c>
      <c r="O12" s="26">
        <f>+O11/O10</f>
        <v>2.1676670465883504E-2</v>
      </c>
    </row>
    <row r="13" spans="3:15" x14ac:dyDescent="0.25">
      <c r="C13" s="3" t="s">
        <v>48</v>
      </c>
      <c r="D13" s="3"/>
      <c r="E13" s="3"/>
      <c r="F13" s="3"/>
      <c r="G13" s="28">
        <v>-1.8981687084642684E-3</v>
      </c>
      <c r="H13" s="3"/>
      <c r="I13" s="3"/>
      <c r="J13" s="3"/>
      <c r="K13" s="28">
        <v>1.8455345400654712E-2</v>
      </c>
      <c r="L13" s="3"/>
      <c r="M13" s="3"/>
      <c r="N13" s="3"/>
      <c r="O13" s="28">
        <v>1.9488587207138738E-2</v>
      </c>
    </row>
    <row r="15" spans="3:15" x14ac:dyDescent="0.25">
      <c r="E15" s="43">
        <v>2011</v>
      </c>
      <c r="F15" s="43"/>
      <c r="G15" s="43"/>
      <c r="I15" s="43">
        <v>2012</v>
      </c>
      <c r="J15" s="43"/>
      <c r="K15" s="43"/>
      <c r="M15" s="43">
        <v>2013</v>
      </c>
      <c r="N15" s="43"/>
      <c r="O15" s="43"/>
    </row>
    <row r="16" spans="3:15" x14ac:dyDescent="0.25">
      <c r="E16" t="s">
        <v>37</v>
      </c>
      <c r="F16" t="s">
        <v>35</v>
      </c>
      <c r="G16" t="s">
        <v>40</v>
      </c>
      <c r="I16" t="s">
        <v>44</v>
      </c>
      <c r="J16" t="s">
        <v>45</v>
      </c>
      <c r="K16" t="s">
        <v>40</v>
      </c>
      <c r="M16" t="s">
        <v>44</v>
      </c>
      <c r="N16" t="s">
        <v>45</v>
      </c>
      <c r="O16" t="s">
        <v>40</v>
      </c>
    </row>
    <row r="17" spans="3:15" x14ac:dyDescent="0.25">
      <c r="C17" t="s">
        <v>1</v>
      </c>
      <c r="E17">
        <v>1.4200000000000001E-2</v>
      </c>
      <c r="F17">
        <v>1.47E-2</v>
      </c>
      <c r="I17">
        <f>+F17</f>
        <v>1.47E-2</v>
      </c>
      <c r="J17">
        <v>1.4800000000000001E-2</v>
      </c>
      <c r="M17">
        <f>+J17</f>
        <v>1.4800000000000001E-2</v>
      </c>
      <c r="N17">
        <v>1.49E-2</v>
      </c>
    </row>
    <row r="18" spans="3:15" x14ac:dyDescent="0.25">
      <c r="C18" t="s">
        <v>38</v>
      </c>
      <c r="E18">
        <v>7</v>
      </c>
      <c r="F18">
        <v>5</v>
      </c>
      <c r="I18">
        <v>4</v>
      </c>
      <c r="J18">
        <v>8</v>
      </c>
      <c r="M18">
        <v>4</v>
      </c>
      <c r="N18">
        <v>8</v>
      </c>
    </row>
    <row r="19" spans="3:15" x14ac:dyDescent="0.25">
      <c r="C19" t="s">
        <v>39</v>
      </c>
      <c r="E19">
        <f>+E17/12*E18</f>
        <v>8.2833333333333335E-3</v>
      </c>
      <c r="F19">
        <f>+F17/12*F18</f>
        <v>6.1250000000000002E-3</v>
      </c>
      <c r="G19">
        <f>+E19+F19</f>
        <v>1.4408333333333334E-2</v>
      </c>
      <c r="I19">
        <f>+I17/12*I18</f>
        <v>4.8999999999999998E-3</v>
      </c>
      <c r="J19">
        <f>+J17/12*J18</f>
        <v>9.8666666666666677E-3</v>
      </c>
      <c r="K19">
        <f>+I19+J19</f>
        <v>1.4766666666666668E-2</v>
      </c>
      <c r="M19">
        <f>+M17/12*M18</f>
        <v>4.9333333333333338E-3</v>
      </c>
      <c r="N19">
        <f>+N17/12*N18</f>
        <v>9.9333333333333339E-3</v>
      </c>
      <c r="O19">
        <f>+M19+N19</f>
        <v>1.4866666666666667E-2</v>
      </c>
    </row>
    <row r="20" spans="3:15" x14ac:dyDescent="0.25">
      <c r="C20" t="s">
        <v>36</v>
      </c>
      <c r="G20" s="1">
        <v>36839589</v>
      </c>
      <c r="K20" s="1">
        <v>36185135</v>
      </c>
      <c r="O20" s="1">
        <v>38822521</v>
      </c>
    </row>
    <row r="22" spans="3:15" x14ac:dyDescent="0.25">
      <c r="C22" t="s">
        <v>41</v>
      </c>
      <c r="G22" s="25">
        <f>+G20*G19</f>
        <v>530797.07817500003</v>
      </c>
      <c r="K22" s="25">
        <f>+K20*K19</f>
        <v>534333.82683333335</v>
      </c>
      <c r="O22" s="25">
        <f>+O20*O19</f>
        <v>577161.47886666667</v>
      </c>
    </row>
    <row r="23" spans="3:15" x14ac:dyDescent="0.25">
      <c r="C23" t="s">
        <v>42</v>
      </c>
      <c r="G23" s="25">
        <v>528634</v>
      </c>
      <c r="I23" t="s">
        <v>46</v>
      </c>
      <c r="K23" s="25">
        <f>23708+511513</f>
        <v>535221</v>
      </c>
      <c r="M23" t="s">
        <v>46</v>
      </c>
      <c r="O23" s="25">
        <f>570259+11354</f>
        <v>581613</v>
      </c>
    </row>
    <row r="24" spans="3:15" x14ac:dyDescent="0.25">
      <c r="C24" t="s">
        <v>43</v>
      </c>
      <c r="G24" s="25">
        <f>+G22-G23</f>
        <v>2163.0781750000315</v>
      </c>
      <c r="I24" t="s">
        <v>47</v>
      </c>
      <c r="K24" s="25">
        <f>+K22-K23</f>
        <v>-887.17316666664556</v>
      </c>
      <c r="M24" t="s">
        <v>47</v>
      </c>
      <c r="O24" s="25">
        <f>+O22-O23</f>
        <v>-4451.5211333333282</v>
      </c>
    </row>
    <row r="25" spans="3:15" x14ac:dyDescent="0.25">
      <c r="G25" s="26">
        <f>+G24/G23</f>
        <v>4.0918256771226057E-3</v>
      </c>
      <c r="K25" s="26">
        <f>+K24/K23</f>
        <v>-1.6575828800937287E-3</v>
      </c>
      <c r="O25" s="26">
        <f>+O24/O23</f>
        <v>-7.6537510910748693E-3</v>
      </c>
    </row>
    <row r="26" spans="3:15" x14ac:dyDescent="0.25">
      <c r="C26" s="3" t="s">
        <v>48</v>
      </c>
      <c r="D26" s="3"/>
      <c r="E26" s="3"/>
      <c r="F26" s="3"/>
      <c r="G26" s="28">
        <v>8.6293176218979334E-3</v>
      </c>
      <c r="H26" s="3"/>
      <c r="I26" s="3"/>
      <c r="J26" s="3"/>
      <c r="K26" s="28">
        <v>-2.0972789084903487E-3</v>
      </c>
      <c r="L26" s="3"/>
      <c r="M26" s="3"/>
      <c r="N26" s="3"/>
      <c r="O26" s="28">
        <v>-3.9092100394300102E-3</v>
      </c>
    </row>
    <row r="29" spans="3:15" x14ac:dyDescent="0.25">
      <c r="C29" s="3" t="s">
        <v>49</v>
      </c>
    </row>
    <row r="30" spans="3:15" x14ac:dyDescent="0.25">
      <c r="C30" t="s">
        <v>50</v>
      </c>
    </row>
    <row r="32" spans="3:15" x14ac:dyDescent="0.25">
      <c r="C32" t="s">
        <v>12</v>
      </c>
      <c r="H32" t="s">
        <v>56</v>
      </c>
      <c r="M32" t="s">
        <v>58</v>
      </c>
    </row>
    <row r="33" spans="3:16" x14ac:dyDescent="0.25">
      <c r="C33" t="s">
        <v>55</v>
      </c>
      <c r="D33">
        <v>2011</v>
      </c>
      <c r="E33">
        <v>2012</v>
      </c>
      <c r="F33">
        <v>2013</v>
      </c>
      <c r="H33" t="s">
        <v>55</v>
      </c>
      <c r="I33">
        <v>2011</v>
      </c>
      <c r="J33">
        <v>2012</v>
      </c>
      <c r="K33">
        <v>2013</v>
      </c>
      <c r="M33" t="s">
        <v>55</v>
      </c>
      <c r="N33">
        <v>2011</v>
      </c>
      <c r="O33">
        <v>2012</v>
      </c>
      <c r="P33">
        <v>2013</v>
      </c>
    </row>
    <row r="34" spans="3:16" x14ac:dyDescent="0.25">
      <c r="C34" t="s">
        <v>52</v>
      </c>
      <c r="D34" s="27">
        <f>+Sheet1!G30+Sheet1!H30+Sheet1!J30+Sheet1!K30+Sheet1!L30</f>
        <v>1928463</v>
      </c>
      <c r="E34" s="27">
        <v>1874484.01</v>
      </c>
      <c r="F34" s="27">
        <v>1872343.7499999998</v>
      </c>
      <c r="H34" t="s">
        <v>52</v>
      </c>
      <c r="I34" s="32">
        <f>+G13</f>
        <v>-1.8981687084642684E-3</v>
      </c>
      <c r="J34" s="31">
        <f>+K13</f>
        <v>1.8455345400654712E-2</v>
      </c>
      <c r="K34" s="31">
        <f>+O13</f>
        <v>1.9488587207138738E-2</v>
      </c>
      <c r="M34" t="s">
        <v>52</v>
      </c>
      <c r="N34" s="27">
        <f t="shared" ref="N34:P36" si="0">+D34*I34</f>
        <v>-3660.5481220311285</v>
      </c>
      <c r="O34" s="27">
        <f t="shared" si="0"/>
        <v>34594.249852554305</v>
      </c>
      <c r="P34" s="27">
        <f t="shared" si="0"/>
        <v>36489.334453616168</v>
      </c>
    </row>
    <row r="35" spans="3:16" x14ac:dyDescent="0.25">
      <c r="C35" t="s">
        <v>53</v>
      </c>
      <c r="D35" s="27">
        <f>+Sheet1!G31+Sheet1!H31+Sheet1!J31+Sheet1!K31+Sheet1!L31</f>
        <v>536863</v>
      </c>
      <c r="E35" s="27">
        <v>534688.22</v>
      </c>
      <c r="F35" s="27">
        <v>583212.26999999979</v>
      </c>
      <c r="H35" t="s">
        <v>53</v>
      </c>
      <c r="I35" s="31">
        <f>+G26</f>
        <v>8.6293176218979334E-3</v>
      </c>
      <c r="J35" s="31">
        <f>+K26</f>
        <v>-2.0972789084903487E-3</v>
      </c>
      <c r="K35" s="31">
        <f>+O26</f>
        <v>-3.9092100394300102E-3</v>
      </c>
      <c r="M35" t="s">
        <v>53</v>
      </c>
      <c r="N35" s="27">
        <f t="shared" si="0"/>
        <v>4632.7613464449905</v>
      </c>
      <c r="O35" s="27">
        <f t="shared" si="0"/>
        <v>-1121.3903264242474</v>
      </c>
      <c r="P35" s="27">
        <f t="shared" si="0"/>
        <v>-2279.8992610027649</v>
      </c>
    </row>
    <row r="36" spans="3:16" x14ac:dyDescent="0.25">
      <c r="C36" t="s">
        <v>54</v>
      </c>
      <c r="D36" s="27">
        <f>+Sheet1!G32+Sheet1!H32+Sheet1!J32+Sheet1!K32+Sheet1!L32</f>
        <v>1003926</v>
      </c>
      <c r="E36" s="27">
        <v>1013836.15</v>
      </c>
      <c r="F36" s="27">
        <v>943124.25999999989</v>
      </c>
      <c r="G36" t="s">
        <v>57</v>
      </c>
      <c r="H36" t="s">
        <v>54</v>
      </c>
      <c r="I36" s="31">
        <f>+(315112-315409)/315409</f>
        <v>-9.4163451264865617E-4</v>
      </c>
      <c r="J36" s="31">
        <f>+(317188-321563)/321563</f>
        <v>-1.3605421021697149E-2</v>
      </c>
      <c r="K36" s="31">
        <f>+(304653-306115)/316115</f>
        <v>-4.6248991664425924E-3</v>
      </c>
      <c r="M36" t="s">
        <v>54</v>
      </c>
      <c r="N36" s="27">
        <f t="shared" si="0"/>
        <v>-945.33136974531476</v>
      </c>
      <c r="O36" s="27">
        <f t="shared" si="0"/>
        <v>-13793.667667766504</v>
      </c>
      <c r="P36" s="27">
        <f t="shared" si="0"/>
        <v>-4361.8546039257863</v>
      </c>
    </row>
    <row r="38" spans="3:16" x14ac:dyDescent="0.25">
      <c r="D38" s="27">
        <f>SUM(D34:D36)</f>
        <v>3469252</v>
      </c>
      <c r="E38" s="27">
        <f>SUM(E34:E36)</f>
        <v>3423008.38</v>
      </c>
      <c r="F38" s="27">
        <f>SUM(F34:F36)</f>
        <v>3398680.2799999993</v>
      </c>
      <c r="I38" s="27"/>
      <c r="J38" s="27"/>
      <c r="K38" s="27"/>
      <c r="N38" s="27">
        <f>SUM(N34:N36)</f>
        <v>26.881854668547248</v>
      </c>
      <c r="O38" s="27">
        <f>SUM(O34:O36)</f>
        <v>19679.191858363556</v>
      </c>
      <c r="P38" s="27">
        <f>SUM(P34:P36)</f>
        <v>29847.580588687619</v>
      </c>
    </row>
  </sheetData>
  <mergeCells count="6">
    <mergeCell ref="E2:G2"/>
    <mergeCell ref="I2:K2"/>
    <mergeCell ref="M2:O2"/>
    <mergeCell ref="E15:G15"/>
    <mergeCell ref="I15:K15"/>
    <mergeCell ref="M15:O1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36"/>
  <sheetViews>
    <sheetView showGridLines="0" workbookViewId="0">
      <selection activeCell="E41" sqref="E41"/>
    </sheetView>
  </sheetViews>
  <sheetFormatPr defaultRowHeight="15" x14ac:dyDescent="0.25"/>
  <cols>
    <col min="4" max="4" width="12.85546875" bestFit="1" customWidth="1"/>
    <col min="5" max="5" width="10.5703125" bestFit="1" customWidth="1"/>
    <col min="6" max="6" width="11.7109375" bestFit="1" customWidth="1"/>
  </cols>
  <sheetData>
    <row r="3" spans="4:7" x14ac:dyDescent="0.25">
      <c r="D3" s="42">
        <v>2011</v>
      </c>
      <c r="E3" s="42"/>
      <c r="F3" s="42"/>
      <c r="G3" s="42"/>
    </row>
    <row r="4" spans="4:7" ht="15.75" thickBot="1" x14ac:dyDescent="0.3">
      <c r="D4" s="12" t="s">
        <v>51</v>
      </c>
      <c r="E4" s="12" t="s">
        <v>12</v>
      </c>
      <c r="F4" s="12" t="s">
        <v>59</v>
      </c>
      <c r="G4" s="12" t="s">
        <v>43</v>
      </c>
    </row>
    <row r="6" spans="4:7" x14ac:dyDescent="0.25">
      <c r="D6" t="str">
        <f>+Sheet1!E7</f>
        <v>Residential</v>
      </c>
      <c r="E6" s="25">
        <f>+Sheet1!G7</f>
        <v>3844816</v>
      </c>
      <c r="F6" s="25">
        <f>+E6+'Normalized Revenues'!N34</f>
        <v>3841155.4518779689</v>
      </c>
      <c r="G6" s="26">
        <f>+(E6-F6)/E6</f>
        <v>9.5207368103731064E-4</v>
      </c>
    </row>
    <row r="7" spans="4:7" x14ac:dyDescent="0.25">
      <c r="D7" t="str">
        <f>+Sheet1!E8</f>
        <v>GS &lt; 50</v>
      </c>
      <c r="E7" s="25">
        <f>+Sheet1!G8</f>
        <v>856824</v>
      </c>
      <c r="F7" s="25">
        <f>+E7+'Normalized Revenues'!N35</f>
        <v>861456.76134644495</v>
      </c>
      <c r="G7" s="26">
        <f t="shared" ref="G7:G10" si="0">+(E7-F7)/E7</f>
        <v>-5.4068996041718642E-3</v>
      </c>
    </row>
    <row r="8" spans="4:7" x14ac:dyDescent="0.25">
      <c r="D8" t="str">
        <f>+Sheet1!E9</f>
        <v>GS &gt; 50</v>
      </c>
      <c r="E8" s="25">
        <f>+Sheet1!G9</f>
        <v>1171496</v>
      </c>
      <c r="F8" s="25">
        <f>+E8+'Normalized Revenues'!N36</f>
        <v>1170550.6686302547</v>
      </c>
      <c r="G8" s="26">
        <f t="shared" si="0"/>
        <v>8.0694374521578585E-4</v>
      </c>
    </row>
    <row r="9" spans="4:7" x14ac:dyDescent="0.25">
      <c r="D9" t="str">
        <f>+Sheet1!E34</f>
        <v>Street light</v>
      </c>
      <c r="E9" s="25">
        <f>+Sheet1!G10</f>
        <v>38630</v>
      </c>
      <c r="F9" s="25">
        <f>+E9</f>
        <v>38630</v>
      </c>
      <c r="G9" s="26">
        <f t="shared" si="0"/>
        <v>0</v>
      </c>
    </row>
    <row r="10" spans="4:7" x14ac:dyDescent="0.25">
      <c r="D10" s="7" t="str">
        <f>+Sheet1!E35</f>
        <v>Sentinel light</v>
      </c>
      <c r="E10" s="29">
        <f>+Sheet1!G10</f>
        <v>38630</v>
      </c>
      <c r="F10" s="29">
        <f>+E10</f>
        <v>38630</v>
      </c>
      <c r="G10" s="33">
        <f t="shared" si="0"/>
        <v>0</v>
      </c>
    </row>
    <row r="12" spans="4:7" ht="15.75" thickBot="1" x14ac:dyDescent="0.3">
      <c r="D12" s="12" t="s">
        <v>22</v>
      </c>
      <c r="E12" s="30">
        <f>SUM(E6:E11)</f>
        <v>5950396</v>
      </c>
      <c r="F12" s="30">
        <f>SUM(F6:F11)</f>
        <v>5950422.8818546683</v>
      </c>
      <c r="G12" s="34">
        <f>+(E12-F12)/E12</f>
        <v>-4.5176580967484548E-6</v>
      </c>
    </row>
    <row r="13" spans="4:7" x14ac:dyDescent="0.25">
      <c r="D13" s="35"/>
      <c r="E13" s="36"/>
      <c r="F13" s="36"/>
      <c r="G13" s="37"/>
    </row>
    <row r="15" spans="4:7" x14ac:dyDescent="0.25">
      <c r="D15" s="42">
        <v>2012</v>
      </c>
      <c r="E15" s="42"/>
      <c r="F15" s="42"/>
      <c r="G15" s="42"/>
    </row>
    <row r="16" spans="4:7" ht="15.75" thickBot="1" x14ac:dyDescent="0.3">
      <c r="D16" s="12" t="s">
        <v>51</v>
      </c>
      <c r="E16" s="12" t="s">
        <v>12</v>
      </c>
      <c r="F16" s="12" t="s">
        <v>59</v>
      </c>
      <c r="G16" s="12" t="s">
        <v>43</v>
      </c>
    </row>
    <row r="18" spans="4:7" x14ac:dyDescent="0.25">
      <c r="D18" t="str">
        <f>+D6</f>
        <v>Residential</v>
      </c>
      <c r="E18" s="25">
        <f>+Sheet1!H7</f>
        <v>4713801.54</v>
      </c>
      <c r="F18" s="25">
        <f>+E18+'Normalized Revenues'!O34</f>
        <v>4748395.789852554</v>
      </c>
      <c r="G18" s="26">
        <f>+(E18-F18)/E18</f>
        <v>-7.3389279457348432E-3</v>
      </c>
    </row>
    <row r="19" spans="4:7" x14ac:dyDescent="0.25">
      <c r="D19" t="str">
        <f>+D7</f>
        <v>GS &lt; 50</v>
      </c>
      <c r="E19" s="25">
        <f>+Sheet1!H8</f>
        <v>968405.06</v>
      </c>
      <c r="F19" s="25">
        <f>+E19+'Normalized Revenues'!O35</f>
        <v>967283.66967357579</v>
      </c>
      <c r="G19" s="26">
        <f t="shared" ref="G19:G22" si="1">+(E19-F19)/E19</f>
        <v>1.1579765252613084E-3</v>
      </c>
    </row>
    <row r="20" spans="4:7" x14ac:dyDescent="0.25">
      <c r="D20" t="str">
        <f>+D8</f>
        <v>GS &gt; 50</v>
      </c>
      <c r="E20" s="25">
        <f>+Sheet1!H9</f>
        <v>1191037.57</v>
      </c>
      <c r="F20" s="25">
        <f>+E20+'Normalized Revenues'!O36</f>
        <v>1177243.9023322335</v>
      </c>
      <c r="G20" s="26">
        <f t="shared" si="1"/>
        <v>1.1581219614899777E-2</v>
      </c>
    </row>
    <row r="21" spans="4:7" x14ac:dyDescent="0.25">
      <c r="D21" t="str">
        <f>+D9</f>
        <v>Street light</v>
      </c>
      <c r="E21" s="25">
        <f>+Sheet1!H10</f>
        <v>145380.37</v>
      </c>
      <c r="F21" s="25">
        <f>+E21</f>
        <v>145380.37</v>
      </c>
      <c r="G21" s="26">
        <f t="shared" si="1"/>
        <v>0</v>
      </c>
    </row>
    <row r="22" spans="4:7" x14ac:dyDescent="0.25">
      <c r="D22" s="7" t="str">
        <f>+D10</f>
        <v>Sentinel light</v>
      </c>
      <c r="E22" s="29">
        <f>+Sheet1!H11</f>
        <v>3890.75</v>
      </c>
      <c r="F22" s="29">
        <f>+E22</f>
        <v>3890.75</v>
      </c>
      <c r="G22" s="33">
        <f t="shared" si="1"/>
        <v>0</v>
      </c>
    </row>
    <row r="24" spans="4:7" ht="15.75" thickBot="1" x14ac:dyDescent="0.3">
      <c r="D24" s="12" t="s">
        <v>22</v>
      </c>
      <c r="E24" s="30">
        <f>SUM(E18:E23)</f>
        <v>7022515.29</v>
      </c>
      <c r="F24" s="30">
        <f>SUM(F18:F23)</f>
        <v>7042194.4818583634</v>
      </c>
      <c r="G24" s="34">
        <f>+(E24-F24)/E24</f>
        <v>-2.8022996099967678E-3</v>
      </c>
    </row>
    <row r="27" spans="4:7" x14ac:dyDescent="0.25">
      <c r="D27" s="42">
        <v>2013</v>
      </c>
      <c r="E27" s="42"/>
      <c r="F27" s="42"/>
      <c r="G27" s="42"/>
    </row>
    <row r="28" spans="4:7" ht="15.75" thickBot="1" x14ac:dyDescent="0.3">
      <c r="D28" s="12" t="s">
        <v>51</v>
      </c>
      <c r="E28" s="12" t="s">
        <v>12</v>
      </c>
      <c r="F28" s="12" t="s">
        <v>59</v>
      </c>
      <c r="G28" s="12" t="s">
        <v>43</v>
      </c>
    </row>
    <row r="30" spans="4:7" x14ac:dyDescent="0.25">
      <c r="D30" t="str">
        <f>+D18</f>
        <v>Residential</v>
      </c>
      <c r="E30" s="25">
        <f>+Sheet1!I7</f>
        <v>4366523.26</v>
      </c>
      <c r="F30" s="25">
        <f>+E30+'Normalized Revenues'!P34</f>
        <v>4403012.5944536161</v>
      </c>
      <c r="G30" s="26">
        <f>+(E30-F30)/E30</f>
        <v>-8.3566105757137982E-3</v>
      </c>
    </row>
    <row r="31" spans="4:7" x14ac:dyDescent="0.25">
      <c r="D31" t="str">
        <f>+D19</f>
        <v>GS &lt; 50</v>
      </c>
      <c r="E31" s="25">
        <f>+Sheet1!I8</f>
        <v>1119646.4200000002</v>
      </c>
      <c r="F31" s="25">
        <f>+E31+'Normalized Revenues'!P35</f>
        <v>1117366.5207389975</v>
      </c>
      <c r="G31" s="26">
        <f t="shared" ref="G31:G34" si="2">+(E31-F31)/E31</f>
        <v>2.0362671824580669E-3</v>
      </c>
    </row>
    <row r="32" spans="4:7" x14ac:dyDescent="0.25">
      <c r="D32" t="str">
        <f>+D20</f>
        <v>GS &gt; 50</v>
      </c>
      <c r="E32" s="25">
        <f>+Sheet1!I9</f>
        <v>1113310.2899999998</v>
      </c>
      <c r="F32" s="25">
        <f>+E32+'Normalized Revenues'!P36</f>
        <v>1108948.4353960741</v>
      </c>
      <c r="G32" s="26">
        <f t="shared" si="2"/>
        <v>3.9179145680273203E-3</v>
      </c>
    </row>
    <row r="33" spans="4:7" x14ac:dyDescent="0.25">
      <c r="D33" t="str">
        <f>+D21</f>
        <v>Street light</v>
      </c>
      <c r="E33" s="25">
        <f>+Sheet1!I10</f>
        <v>193017.47999999998</v>
      </c>
      <c r="F33" s="25">
        <f>+E33</f>
        <v>193017.47999999998</v>
      </c>
      <c r="G33" s="26">
        <f t="shared" si="2"/>
        <v>0</v>
      </c>
    </row>
    <row r="34" spans="4:7" x14ac:dyDescent="0.25">
      <c r="D34" s="7" t="str">
        <f>+D22</f>
        <v>Sentinel light</v>
      </c>
      <c r="E34" s="29">
        <f>+Sheet1!I11</f>
        <v>4724.5199999999995</v>
      </c>
      <c r="F34" s="29">
        <f>+E34</f>
        <v>4724.5199999999995</v>
      </c>
      <c r="G34" s="33">
        <f t="shared" si="2"/>
        <v>0</v>
      </c>
    </row>
    <row r="36" spans="4:7" ht="15.75" thickBot="1" x14ac:dyDescent="0.3">
      <c r="D36" s="12" t="s">
        <v>22</v>
      </c>
      <c r="E36" s="30">
        <f>SUM(E30:E35)</f>
        <v>6797221.9699999988</v>
      </c>
      <c r="F36" s="30">
        <f>SUM(F30:F35)</f>
        <v>6827069.5505886879</v>
      </c>
      <c r="G36" s="34">
        <f>+(E36-F36)/E36</f>
        <v>-4.3911440174270308E-3</v>
      </c>
    </row>
  </sheetData>
  <mergeCells count="3">
    <mergeCell ref="D3:G3"/>
    <mergeCell ref="D15:G15"/>
    <mergeCell ref="D27:G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6"/>
  <sheetViews>
    <sheetView showGridLines="0" tabSelected="1" workbookViewId="0">
      <selection activeCell="H17" sqref="H17"/>
    </sheetView>
  </sheetViews>
  <sheetFormatPr defaultRowHeight="15" x14ac:dyDescent="0.25"/>
  <cols>
    <col min="3" max="3" width="27.85546875" bestFit="1" customWidth="1"/>
    <col min="4" max="4" width="15.42578125" customWidth="1"/>
    <col min="5" max="5" width="14.85546875" bestFit="1" customWidth="1"/>
    <col min="8" max="8" width="20" customWidth="1"/>
    <col min="9" max="9" width="14.85546875" bestFit="1" customWidth="1"/>
  </cols>
  <sheetData>
    <row r="2" spans="3:9" ht="15.75" thickBot="1" x14ac:dyDescent="0.3">
      <c r="C2" s="44" t="s">
        <v>65</v>
      </c>
      <c r="D2" s="44"/>
      <c r="E2" s="44"/>
      <c r="H2" s="44" t="s">
        <v>66</v>
      </c>
      <c r="I2" s="44"/>
    </row>
    <row r="3" spans="3:9" x14ac:dyDescent="0.25">
      <c r="C3" s="45" t="s">
        <v>51</v>
      </c>
      <c r="D3" s="38">
        <v>2015</v>
      </c>
      <c r="E3" s="38">
        <v>2015</v>
      </c>
      <c r="H3" s="45" t="s">
        <v>51</v>
      </c>
      <c r="I3" s="39">
        <v>2015</v>
      </c>
    </row>
    <row r="4" spans="3:9" ht="15.75" thickBot="1" x14ac:dyDescent="0.3">
      <c r="C4" s="46"/>
      <c r="D4" s="6" t="s">
        <v>63</v>
      </c>
      <c r="E4" s="6" t="s">
        <v>64</v>
      </c>
      <c r="H4" s="46"/>
      <c r="I4" s="41" t="s">
        <v>64</v>
      </c>
    </row>
    <row r="6" spans="3:9" x14ac:dyDescent="0.25">
      <c r="C6" s="3" t="s">
        <v>6</v>
      </c>
      <c r="H6" s="3" t="s">
        <v>6</v>
      </c>
    </row>
    <row r="7" spans="3:9" x14ac:dyDescent="0.25">
      <c r="C7" t="s">
        <v>0</v>
      </c>
      <c r="D7" s="1">
        <v>4397779.08</v>
      </c>
      <c r="E7" s="1">
        <f>+Sheet1!K7</f>
        <v>4707076.3092070119</v>
      </c>
      <c r="H7" t="s">
        <v>0</v>
      </c>
      <c r="I7" s="1">
        <f>+E7</f>
        <v>4707076.3092070119</v>
      </c>
    </row>
    <row r="8" spans="3:9" x14ac:dyDescent="0.25">
      <c r="C8" t="s">
        <v>1</v>
      </c>
      <c r="D8" s="1">
        <v>1101889.1241000001</v>
      </c>
      <c r="E8" s="1">
        <f>+Sheet1!K8</f>
        <v>1217274.3474667713</v>
      </c>
      <c r="H8" t="s">
        <v>1</v>
      </c>
      <c r="I8" s="1">
        <f t="shared" ref="I8:I11" si="0">+E8</f>
        <v>1217274.3474667713</v>
      </c>
    </row>
    <row r="9" spans="3:9" x14ac:dyDescent="0.25">
      <c r="C9" t="s">
        <v>2</v>
      </c>
      <c r="D9" s="1">
        <v>1031964.8706</v>
      </c>
      <c r="E9" s="1">
        <f>+Sheet1!K9</f>
        <v>1303138.4824059119</v>
      </c>
      <c r="H9" t="s">
        <v>2</v>
      </c>
      <c r="I9" s="1">
        <f t="shared" si="0"/>
        <v>1303138.4824059119</v>
      </c>
    </row>
    <row r="10" spans="3:9" x14ac:dyDescent="0.25">
      <c r="C10" t="s">
        <v>3</v>
      </c>
      <c r="D10" s="1">
        <v>200307</v>
      </c>
      <c r="E10" s="1">
        <f>+Sheet1!K10</f>
        <v>235744.01260015892</v>
      </c>
      <c r="H10" t="s">
        <v>3</v>
      </c>
      <c r="I10" s="1">
        <f t="shared" si="0"/>
        <v>235744.01260015892</v>
      </c>
    </row>
    <row r="11" spans="3:9" x14ac:dyDescent="0.25">
      <c r="C11" s="7" t="s">
        <v>4</v>
      </c>
      <c r="D11" s="8">
        <v>4835</v>
      </c>
      <c r="E11" s="8">
        <f>+Sheet1!K11</f>
        <v>3465</v>
      </c>
      <c r="H11" s="7" t="s">
        <v>4</v>
      </c>
      <c r="I11" s="8">
        <f t="shared" si="0"/>
        <v>3465</v>
      </c>
    </row>
    <row r="12" spans="3:9" x14ac:dyDescent="0.25">
      <c r="D12" s="1"/>
      <c r="E12" s="1"/>
      <c r="I12" s="1"/>
    </row>
    <row r="13" spans="3:9" ht="15.75" thickBot="1" x14ac:dyDescent="0.3">
      <c r="C13" s="12"/>
      <c r="D13" s="24">
        <f>SUM(D7:D12)</f>
        <v>6736775.0746999998</v>
      </c>
      <c r="E13" s="24">
        <f>SUM(E7:E12)</f>
        <v>7466698.1516798548</v>
      </c>
      <c r="H13" s="12" t="s">
        <v>67</v>
      </c>
      <c r="I13" s="24">
        <f>SUM(I7:I12)</f>
        <v>7466698.1516798548</v>
      </c>
    </row>
    <row r="15" spans="3:9" x14ac:dyDescent="0.25">
      <c r="E15" s="2">
        <f>+E13-D13</f>
        <v>729923.07697985508</v>
      </c>
    </row>
    <row r="16" spans="3:9" x14ac:dyDescent="0.25">
      <c r="D16">
        <v>200307</v>
      </c>
    </row>
  </sheetData>
  <mergeCells count="4">
    <mergeCell ref="C2:E2"/>
    <mergeCell ref="C3:C4"/>
    <mergeCell ref="H2:I2"/>
    <mergeCell ref="H3:H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Summary Table</vt:lpstr>
      <vt:lpstr>Normalized Revenues</vt:lpstr>
      <vt:lpstr>Yr over Yr Tables</vt:lpstr>
      <vt:lpstr>2015 propose vs current</vt:lpstr>
      <vt:lpstr>'Summary Table'!Print_Area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Kent</dc:creator>
  <cp:lastModifiedBy>Sladjana Krljanac</cp:lastModifiedBy>
  <cp:lastPrinted>2014-03-26T18:43:57Z</cp:lastPrinted>
  <dcterms:created xsi:type="dcterms:W3CDTF">2014-03-25T17:59:20Z</dcterms:created>
  <dcterms:modified xsi:type="dcterms:W3CDTF">2014-04-30T19:11:41Z</dcterms:modified>
</cp:coreProperties>
</file>