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5600" windowHeight="11760"/>
  </bookViews>
  <sheets>
    <sheet name="Cover Sheet" sheetId="22" r:id="rId1"/>
    <sheet name="Tariff Sheet" sheetId="6" r:id="rId2"/>
    <sheet name="Forecast" sheetId="31" r:id="rId3"/>
    <sheet name="Cost Allocation - O1" sheetId="32" r:id="rId4"/>
    <sheet name="2011 EDR Cost Allocation" sheetId="25" r:id="rId5"/>
    <sheet name="2015 Cost Allocation Results" sheetId="27" r:id="rId6"/>
    <sheet name="2015 Cost Allocation Design" sheetId="33" r:id="rId7"/>
    <sheet name="Allocated Revenues" sheetId="14" r:id="rId8"/>
    <sheet name="Stranded Meters" sheetId="34" r:id="rId9"/>
    <sheet name="2015 RRRP Rate Design" sheetId="29" r:id="rId10"/>
    <sheet name="2015 Non-RRRP Rate Design" sheetId="30" r:id="rId11"/>
    <sheet name="Reconciliation" sheetId="26" r:id="rId12"/>
  </sheets>
  <calcPr calcId="144525" iterate="1" calcOnSave="0"/>
</workbook>
</file>

<file path=xl/calcChain.xml><?xml version="1.0" encoding="utf-8"?>
<calcChain xmlns="http://schemas.openxmlformats.org/spreadsheetml/2006/main">
  <c r="M12" i="29" l="1"/>
  <c r="M10" i="29"/>
  <c r="J17" i="6" l="1"/>
  <c r="I10" i="30"/>
  <c r="I8" i="30"/>
  <c r="H7" i="30"/>
  <c r="M8" i="30"/>
  <c r="M9" i="30"/>
  <c r="M7" i="30"/>
  <c r="H9" i="30"/>
  <c r="G9" i="30"/>
  <c r="G7" i="30"/>
  <c r="L22" i="29"/>
  <c r="M22" i="29" s="1"/>
  <c r="M8" i="29"/>
  <c r="L8" i="29"/>
  <c r="K8" i="29"/>
  <c r="H8" i="29"/>
  <c r="M7" i="29"/>
  <c r="L7" i="29"/>
  <c r="K7" i="29"/>
  <c r="K12" i="29" s="1"/>
  <c r="H7" i="29"/>
  <c r="G7" i="29"/>
  <c r="G8" i="29"/>
  <c r="M16" i="29"/>
  <c r="I33" i="31" l="1"/>
  <c r="H33" i="31"/>
  <c r="F33" i="31"/>
  <c r="E33" i="31"/>
  <c r="D33" i="31"/>
  <c r="N9" i="14" l="1"/>
  <c r="N10" i="14"/>
  <c r="N11" i="14"/>
  <c r="N8" i="14"/>
  <c r="K22" i="14"/>
  <c r="L22" i="14"/>
  <c r="J22" i="14" s="1"/>
  <c r="K23" i="14"/>
  <c r="M21" i="14"/>
  <c r="L21" i="14" s="1"/>
  <c r="M22" i="14"/>
  <c r="M23" i="14"/>
  <c r="L23" i="14" s="1"/>
  <c r="M20" i="14"/>
  <c r="M24" i="14" s="1"/>
  <c r="H21" i="14"/>
  <c r="H22" i="14"/>
  <c r="H23" i="14"/>
  <c r="H20" i="14"/>
  <c r="E23" i="14"/>
  <c r="E22" i="14"/>
  <c r="F21" i="14"/>
  <c r="E20" i="14"/>
  <c r="H11" i="33"/>
  <c r="D22" i="14"/>
  <c r="D21" i="14"/>
  <c r="D23" i="14"/>
  <c r="D20" i="14"/>
  <c r="D8" i="33"/>
  <c r="F8" i="33"/>
  <c r="C8" i="33"/>
  <c r="D7" i="33"/>
  <c r="F7" i="33"/>
  <c r="C7" i="33"/>
  <c r="D6" i="33"/>
  <c r="G6" i="33" s="1"/>
  <c r="F6" i="33"/>
  <c r="C6" i="33"/>
  <c r="D5" i="33"/>
  <c r="F5" i="33"/>
  <c r="C5" i="33"/>
  <c r="F9" i="27"/>
  <c r="F8" i="27"/>
  <c r="F7" i="27"/>
  <c r="F6" i="27"/>
  <c r="E9" i="27"/>
  <c r="E8" i="27"/>
  <c r="E7" i="27"/>
  <c r="E6" i="27"/>
  <c r="D9" i="27"/>
  <c r="D8" i="27"/>
  <c r="D7" i="27"/>
  <c r="D6" i="27"/>
  <c r="J21" i="14" l="1"/>
  <c r="J8" i="29" s="1"/>
  <c r="D7" i="29"/>
  <c r="C5" i="26"/>
  <c r="E9" i="30"/>
  <c r="D8" i="26"/>
  <c r="C8" i="26"/>
  <c r="D9" i="30"/>
  <c r="D5" i="26"/>
  <c r="E7" i="29"/>
  <c r="I23" i="14"/>
  <c r="N23" i="14" s="1"/>
  <c r="D8" i="29"/>
  <c r="C6" i="26"/>
  <c r="D6" i="26"/>
  <c r="F8" i="29"/>
  <c r="J23" i="14"/>
  <c r="C7" i="26"/>
  <c r="D7" i="30"/>
  <c r="K8" i="30" s="1"/>
  <c r="E7" i="30"/>
  <c r="D7" i="26"/>
  <c r="I22" i="14"/>
  <c r="N22" i="14" s="1"/>
  <c r="G7" i="33"/>
  <c r="G5" i="33"/>
  <c r="K21" i="14"/>
  <c r="I21" i="14" s="1"/>
  <c r="L20" i="14"/>
  <c r="E8" i="33"/>
  <c r="K20" i="14"/>
  <c r="E7" i="33"/>
  <c r="G8" i="33"/>
  <c r="E6" i="33"/>
  <c r="D9" i="33"/>
  <c r="C9" i="33"/>
  <c r="E5" i="33"/>
  <c r="F9" i="33"/>
  <c r="F10" i="27"/>
  <c r="N21" i="14" l="1"/>
  <c r="I8" i="29"/>
  <c r="G8" i="30"/>
  <c r="L8" i="30"/>
  <c r="L24" i="14"/>
  <c r="M26" i="14" s="1"/>
  <c r="J20" i="14"/>
  <c r="J7" i="29" s="1"/>
  <c r="I20" i="14"/>
  <c r="K24" i="14"/>
  <c r="E9" i="33"/>
  <c r="H8" i="30" l="1"/>
  <c r="J8" i="30"/>
  <c r="J18" i="6" s="1"/>
  <c r="N20" i="14"/>
  <c r="N24" i="14" s="1"/>
  <c r="I7" i="29"/>
  <c r="C9" i="27" l="1"/>
  <c r="G9" i="27" s="1"/>
  <c r="C8" i="27"/>
  <c r="G8" i="27" s="1"/>
  <c r="C7" i="27"/>
  <c r="G7" i="27" s="1"/>
  <c r="C6" i="27"/>
  <c r="G6" i="27" s="1"/>
  <c r="I20" i="29" l="1"/>
  <c r="J21" i="6"/>
  <c r="F20" i="29"/>
  <c r="E19" i="29"/>
  <c r="D20" i="29"/>
  <c r="K21" i="29" s="1"/>
  <c r="D19" i="29"/>
  <c r="J13" i="6"/>
  <c r="K18" i="25"/>
  <c r="E15" i="25"/>
  <c r="E19" i="25" s="1"/>
  <c r="K16" i="25" l="1"/>
  <c r="E10" i="25"/>
  <c r="F8" i="25" s="1"/>
  <c r="H8" i="25" s="1"/>
  <c r="C10" i="25"/>
  <c r="D7" i="25" s="1"/>
  <c r="G7" i="25" s="1"/>
  <c r="C10" i="27"/>
  <c r="E6" i="26"/>
  <c r="G6" i="26" s="1"/>
  <c r="E10" i="27"/>
  <c r="I19" i="29"/>
  <c r="J9" i="6" s="1"/>
  <c r="J20" i="29"/>
  <c r="L20" i="29" s="1"/>
  <c r="J19" i="29"/>
  <c r="J10" i="6" s="1"/>
  <c r="K10" i="30"/>
  <c r="K11" i="30" s="1"/>
  <c r="K20" i="29"/>
  <c r="E8" i="26"/>
  <c r="G8" i="26" s="1"/>
  <c r="F12" i="27" l="1"/>
  <c r="F7" i="25"/>
  <c r="H7" i="25" s="1"/>
  <c r="I7" i="25" s="1"/>
  <c r="C16" i="25" s="1"/>
  <c r="F9" i="25"/>
  <c r="H9" i="25" s="1"/>
  <c r="F6" i="25"/>
  <c r="H6" i="25" s="1"/>
  <c r="K19" i="29"/>
  <c r="K23" i="29" s="1"/>
  <c r="D9" i="25"/>
  <c r="G9" i="25" s="1"/>
  <c r="D6" i="25"/>
  <c r="D8" i="25"/>
  <c r="G8" i="25" s="1"/>
  <c r="I8" i="25" s="1"/>
  <c r="C17" i="25" s="1"/>
  <c r="L19" i="29"/>
  <c r="F5" i="26"/>
  <c r="H5" i="26" s="1"/>
  <c r="E5" i="26"/>
  <c r="G5" i="26" s="1"/>
  <c r="M20" i="29"/>
  <c r="G20" i="29" s="1"/>
  <c r="F10" i="25" l="1"/>
  <c r="I9" i="25"/>
  <c r="C18" i="25" s="1"/>
  <c r="M19" i="29"/>
  <c r="G6" i="25"/>
  <c r="I6" i="25" s="1"/>
  <c r="D10" i="25"/>
  <c r="I5" i="26"/>
  <c r="L21" i="29"/>
  <c r="H20" i="29"/>
  <c r="G19" i="29" l="1"/>
  <c r="H19" i="29"/>
  <c r="I10" i="25"/>
  <c r="C15" i="25"/>
  <c r="J21" i="29"/>
  <c r="J14" i="6" s="1"/>
  <c r="M21" i="29"/>
  <c r="H21" i="29" s="1"/>
  <c r="L23" i="29"/>
  <c r="M23" i="29" l="1"/>
  <c r="C19" i="25"/>
  <c r="G21" i="29"/>
  <c r="F6" i="26"/>
  <c r="H6" i="26" s="1"/>
  <c r="D15" i="25" l="1"/>
  <c r="F17" i="25"/>
  <c r="D17" i="25"/>
  <c r="F18" i="25"/>
  <c r="D18" i="25"/>
  <c r="F16" i="25"/>
  <c r="D16" i="25"/>
  <c r="F15" i="25"/>
  <c r="I6" i="26"/>
  <c r="D19" i="25" l="1"/>
  <c r="H16" i="25"/>
  <c r="G16" i="25"/>
  <c r="G17" i="25"/>
  <c r="H17" i="25"/>
  <c r="H15" i="25"/>
  <c r="F19" i="25"/>
  <c r="G15" i="25"/>
  <c r="G18" i="25"/>
  <c r="H18" i="25"/>
  <c r="L10" i="30" l="1"/>
  <c r="L11" i="30" s="1"/>
  <c r="K7" i="30"/>
  <c r="L7" i="30" l="1"/>
  <c r="K9" i="30"/>
  <c r="I9" i="30" s="1"/>
  <c r="L9" i="30"/>
  <c r="J9" i="30" s="1"/>
  <c r="M10" i="30"/>
  <c r="M11" i="30" s="1"/>
  <c r="L13" i="30" s="1"/>
  <c r="J10" i="30"/>
  <c r="J22" i="6" s="1"/>
  <c r="I7" i="30"/>
  <c r="M25" i="29"/>
  <c r="M27" i="29" s="1"/>
  <c r="J7" i="30" l="1"/>
  <c r="F8" i="26"/>
  <c r="H8" i="26" s="1"/>
  <c r="I8" i="26" s="1"/>
  <c r="J24" i="6"/>
  <c r="G10" i="30"/>
  <c r="H10" i="30"/>
  <c r="E7" i="26"/>
  <c r="G7" i="26" s="1"/>
  <c r="L12" i="29"/>
  <c r="F7" i="26" l="1"/>
  <c r="H7" i="26" s="1"/>
  <c r="I7" i="26" s="1"/>
  <c r="I9" i="26" s="1"/>
  <c r="G9" i="26"/>
  <c r="J9" i="26"/>
  <c r="H9" i="26" l="1"/>
  <c r="K9" i="26"/>
  <c r="K11" i="26" s="1"/>
</calcChain>
</file>

<file path=xl/sharedStrings.xml><?xml version="1.0" encoding="utf-8"?>
<sst xmlns="http://schemas.openxmlformats.org/spreadsheetml/2006/main" count="429" uniqueCount="227">
  <si>
    <t>Algoma Power Inc.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</si>
  <si>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</si>
  <si>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</si>
  <si>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</si>
  <si>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</si>
  <si>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</si>
  <si>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</si>
  <si>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</si>
  <si>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</si>
  <si>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</si>
  <si>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</si>
  <si>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</si>
  <si>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</si>
  <si>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</si>
  <si>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</si>
  <si>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</si>
  <si>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</si>
  <si>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</si>
  <si>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</si>
  <si>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</si>
  <si>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</si>
  <si>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</si>
  <si>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</si>
  <si>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</si>
  <si>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</si>
  <si>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</si>
  <si>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</si>
  <si>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</si>
  <si>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</si>
  <si>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</si>
  <si>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</si>
  <si>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</si>
  <si>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</si>
  <si>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</si>
  <si>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</si>
  <si>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</si>
  <si>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</si>
  <si>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</si>
  <si>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</si>
  <si>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</si>
  <si>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</si>
  <si>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</si>
  <si>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</si>
  <si>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</si>
  <si>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</si>
  <si>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</si>
  <si>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</si>
  <si>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</si>
  <si>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</si>
  <si>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</si>
  <si>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</si>
  <si>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</si>
  <si>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</si>
  <si>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</si>
  <si>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</si>
  <si>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</si>
  <si>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</si>
  <si>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</si>
  <si>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</si>
  <si>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</si>
  <si>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</si>
  <si>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</si>
  <si>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</si>
  <si>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</si>
  <si>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</si>
  <si>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</si>
  <si>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</si>
  <si>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</si>
  <si>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</si>
  <si>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</si>
  <si>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</si>
  <si>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</si>
  <si>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</si>
  <si>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</si>
  <si>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</si>
  <si>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</si>
  <si>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</si>
  <si>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</si>
  <si>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</si>
  <si>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</si>
  <si>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</si>
  <si>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</si>
  <si>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</si>
  <si>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</si>
  <si>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</si>
  <si>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</si>
  <si>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</si>
  <si>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</si>
  <si>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</si>
  <si>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</si>
  <si>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</si>
  <si>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</si>
  <si>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</si>
  <si>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Charge Determinant</t>
  </si>
  <si>
    <t>No. of Customers</t>
  </si>
  <si>
    <t>Delivery Charges Indexed by Simple Average of Other LDC Increases in Current Year</t>
  </si>
  <si>
    <t>Delivery Charges</t>
  </si>
  <si>
    <t>Rural and Remote Rate Protection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</si>
  <si>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</si>
  <si>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</si>
  <si>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</si>
  <si>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</si>
  <si>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</si>
  <si>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Over/(Under) Contributing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</si>
  <si>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</si>
  <si>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</si>
  <si>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</si>
  <si>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</si>
  <si>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</si>
  <si>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Target R|C Ratio</t>
  </si>
  <si>
    <t>Hold Residential - R2 Fixed Charge at $596.12</t>
  </si>
  <si>
    <t>Approved</t>
  </si>
  <si>
    <t>Total Service Revenue</t>
  </si>
  <si>
    <t>Total Service Revenue plus RRRP</t>
  </si>
  <si>
    <t>Board Approved EB-2009-0278</t>
  </si>
  <si>
    <t>Determination of Seasonal and Street Lighting Distribution Rates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</si>
  <si>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</si>
  <si>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</si>
  <si>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</si>
  <si>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</si>
  <si>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</si>
  <si>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Equivalent Distribution Rates</t>
  </si>
  <si>
    <t>Balanced?</t>
  </si>
  <si>
    <t>2014 Distribution Price Indexed Electricity Distribution Rates</t>
  </si>
  <si>
    <t>2014 Distribution Base Rate Determination</t>
  </si>
  <si>
    <t>EB-2013-0110</t>
  </si>
  <si>
    <t>EB-2014-0055</t>
  </si>
  <si>
    <t>2015 Electricity Distribution Rate Application</t>
  </si>
  <si>
    <t>Rate Design Model</t>
  </si>
  <si>
    <t>Cost of Service</t>
  </si>
  <si>
    <t>Effective January 1, 2014  Implemented March 1, 2014</t>
  </si>
  <si>
    <t>Effective January 1, 2015</t>
  </si>
  <si>
    <t>2015 Cost Allocation Results</t>
  </si>
  <si>
    <t>Board Approved EB-2013-0110</t>
  </si>
  <si>
    <t>2015 EDR</t>
  </si>
  <si>
    <t xml:space="preserve">   Customer Class Name</t>
  </si>
  <si>
    <t>2010 Actual</t>
  </si>
  <si>
    <t>2011 Actual</t>
  </si>
  <si>
    <t>2012 Actual</t>
  </si>
  <si>
    <t>2013 Year End</t>
  </si>
  <si>
    <t>2013 Normalized</t>
  </si>
  <si>
    <t>Bridge Year 2014 Normalized</t>
  </si>
  <si>
    <t>Test Year 2015 Normalized</t>
  </si>
  <si>
    <t>Customers and Connections</t>
  </si>
  <si>
    <t xml:space="preserve">   Residential - R1</t>
  </si>
  <si>
    <t xml:space="preserve">   Seasonal</t>
  </si>
  <si>
    <t xml:space="preserve">   Residential - R2</t>
  </si>
  <si>
    <t xml:space="preserve">   Street Lighting (# of Connections)</t>
  </si>
  <si>
    <t xml:space="preserve">   TOTAL</t>
  </si>
  <si>
    <t xml:space="preserve">   Volumes in kWh</t>
  </si>
  <si>
    <t xml:space="preserve">   Street Lighting</t>
  </si>
  <si>
    <t xml:space="preserve">   Volumes in kW</t>
  </si>
  <si>
    <t>Note: Street Ligting revenue in API is based on kWh.</t>
  </si>
  <si>
    <t>Sheet O1 Revenue to Cost Summary Worksheet  - Final Submission</t>
  </si>
  <si>
    <t>Rate class 2</t>
  </si>
  <si>
    <t>Rate class 3</t>
  </si>
  <si>
    <t>Rate class 4</t>
  </si>
  <si>
    <t>Rate class 5</t>
  </si>
  <si>
    <t>Rate class 6</t>
  </si>
  <si>
    <t>Rate class 7</t>
  </si>
  <si>
    <t>Rate class 8</t>
  </si>
  <si>
    <t>Rate class 9</t>
  </si>
  <si>
    <t>Distribution Revenue at Existing Rates</t>
  </si>
  <si>
    <t>Miscellaneous Revenue Input equals Output</t>
  </si>
  <si>
    <t>Total Revenue at Existing Rates</t>
  </si>
  <si>
    <t>Factor required to recover deficiency (1 + D)</t>
  </si>
  <si>
    <t>Distribution Revenue at Status Quo Rates</t>
  </si>
  <si>
    <t>Total Revenue at Status Quo Rates</t>
  </si>
  <si>
    <t>Revenue Requirement Input equals Output</t>
  </si>
  <si>
    <t>REVENUE TO EXPENSES STATUS QUO%</t>
  </si>
  <si>
    <t>Deficiency Input equals Output</t>
  </si>
  <si>
    <t>STATUS QUO REVENUE MINUS ALLOCATED COSTS</t>
  </si>
  <si>
    <t>RRRP Adjustment Factor</t>
  </si>
  <si>
    <t>N/a</t>
  </si>
  <si>
    <t>2013 Actual</t>
  </si>
  <si>
    <t>2014 Actual</t>
  </si>
  <si>
    <t>2015 Estimated</t>
  </si>
  <si>
    <t>Revenue Deficiency Factor</t>
  </si>
  <si>
    <t>Distribution Revenue at Status Quo Equivalent Rates</t>
  </si>
  <si>
    <t>Misc. Revenue</t>
  </si>
  <si>
    <t>Revenue to Cost Ratio</t>
  </si>
  <si>
    <t>85 - 115</t>
  </si>
  <si>
    <t>80 - 120</t>
  </si>
  <si>
    <t>70 - 120</t>
  </si>
  <si>
    <t>Board's Policy Range     %</t>
  </si>
  <si>
    <t>Allocation of Revenue Requirement Including Net Income</t>
  </si>
  <si>
    <t>Test Year Revenue To Cost Ratios as Determined by the Cost Allocation Study</t>
  </si>
  <si>
    <t>Balanced ?</t>
  </si>
  <si>
    <t>Allocation of Distribution Revenue Requirement Including Net Income</t>
  </si>
  <si>
    <t>Target Revenue to Cost Ratio</t>
  </si>
  <si>
    <t>Check</t>
  </si>
  <si>
    <t>Adjusted Distribution Revenue to Achieve Target Revenue to Cost Ratios</t>
  </si>
  <si>
    <t>2015 Proposed Equivalent Electricity Distribution Rates</t>
  </si>
  <si>
    <t>Reconciliation</t>
  </si>
  <si>
    <t xml:space="preserve">Excluding Transformer Ownership Allowance </t>
  </si>
  <si>
    <t>Setting Target Revenue to Cost Ratios</t>
  </si>
  <si>
    <t>Transformer Ownership Allowance</t>
  </si>
  <si>
    <t>Equivalent Distribution Rates Required to Recover the Proposed 2015 Base Revenue Requirement at the Target Revenue to Cost Ratios</t>
  </si>
  <si>
    <t>2015 Distribution Base Rate Determination</t>
  </si>
  <si>
    <t>Determination of Residential R1 &amp; R2 2015 Electricity Distribution Rates and RRRP Funding</t>
  </si>
  <si>
    <t>2015 Application of Rate Indexing Methodology</t>
  </si>
  <si>
    <t>Distribution Charges</t>
  </si>
  <si>
    <t>Proposed Distribution Charges</t>
  </si>
  <si>
    <t>Transformer Ownership Allowance - Allocated to the Residential - R2 class</t>
  </si>
  <si>
    <t>Simple Average Increase in Delivery Charge for 2015 using the 2014 Board Approved RRRP Adjustment Factor</t>
  </si>
  <si>
    <t>Seasonal (adj.)</t>
  </si>
  <si>
    <t>Street Lighting (adj.)</t>
  </si>
  <si>
    <t>2015 Monthly Service Charge</t>
  </si>
  <si>
    <t>2015 Volumetric Distribution Charge</t>
  </si>
  <si>
    <t>2015 Monthly Service Charge Revenue</t>
  </si>
  <si>
    <t>2015 Volumetric Distribution Revenue</t>
  </si>
  <si>
    <t>Proposed 2015 RRRP</t>
  </si>
  <si>
    <t>Reconciliation of 2015 Proposed Distribution Revenue including Transformer Ownership Allowance</t>
  </si>
  <si>
    <t>Proposed Distribution Charges and RRRP Funding for 2015 Test Year</t>
  </si>
  <si>
    <t>2015 Test Year Normalized Customer and Load Forecast Information</t>
  </si>
  <si>
    <t>Residential</t>
  </si>
  <si>
    <t>GS&lt;50</t>
  </si>
  <si>
    <t>Number of Meters Installed (2007 to 2012):</t>
  </si>
  <si>
    <t>Allocation of Number of Meters Installed</t>
  </si>
  <si>
    <t>Stranded Meter Costs</t>
  </si>
  <si>
    <t xml:space="preserve">   Scenario A</t>
  </si>
  <si>
    <t xml:space="preserve">   Scenario B</t>
  </si>
  <si>
    <t>Determination of Residential - R1 Allocated Stranded Meter Costs' Contribution to RRRP Funding for the 2015 Test Year</t>
  </si>
  <si>
    <t>Calculation of Stranded Meter Cost</t>
  </si>
  <si>
    <t>The Rural and Remote Rate Protection Amount Required for 2015</t>
  </si>
  <si>
    <t>Alloaction of Stranded Meter Cost</t>
  </si>
  <si>
    <t>May 12,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</si>
</sst>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0.0000"/>
    <numFmt numFmtId="174" formatCode="0.000%"/>
    <numFmt numFmtId="175" formatCode="_-&quot;$&quot;* #,##0_-;\-&quot;$&quot;* #,##0_-;_-&quot;$&quot;* &quot;-&quot;??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5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Border="1"/>
    <xf numFmtId="164" fontId="7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164" fontId="10" fillId="2" borderId="5" xfId="0" applyNumberFormat="1" applyFont="1" applyFill="1" applyBorder="1"/>
    <xf numFmtId="164" fontId="10" fillId="2" borderId="6" xfId="0" applyNumberFormat="1" applyFont="1" applyFill="1" applyBorder="1"/>
    <xf numFmtId="0" fontId="8" fillId="3" borderId="3" xfId="0" applyFont="1" applyFill="1" applyBorder="1"/>
    <xf numFmtId="164" fontId="10" fillId="3" borderId="8" xfId="0" applyNumberFormat="1" applyFont="1" applyFill="1" applyBorder="1"/>
    <xf numFmtId="164" fontId="8" fillId="3" borderId="9" xfId="0" applyNumberFormat="1" applyFont="1" applyFill="1" applyBorder="1"/>
    <xf numFmtId="164" fontId="10" fillId="2" borderId="3" xfId="0" applyNumberFormat="1" applyFont="1" applyFill="1" applyBorder="1"/>
    <xf numFmtId="0" fontId="8" fillId="2" borderId="3" xfId="0" applyFont="1" applyFill="1" applyBorder="1"/>
    <xf numFmtId="164" fontId="10" fillId="2" borderId="3" xfId="0" applyNumberFormat="1" applyFont="1" applyFill="1" applyBorder="1" applyAlignment="1">
      <alignment horizontal="right"/>
    </xf>
    <xf numFmtId="164" fontId="8" fillId="2" borderId="1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11" fillId="2" borderId="3" xfId="0" applyFont="1" applyFill="1" applyBorder="1"/>
    <xf numFmtId="164" fontId="10" fillId="2" borderId="6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vertical="center" wrapText="1"/>
    </xf>
    <xf numFmtId="164" fontId="13" fillId="3" borderId="3" xfId="0" applyNumberFormat="1" applyFont="1" applyFill="1" applyBorder="1"/>
    <xf numFmtId="164" fontId="12" fillId="3" borderId="10" xfId="0" applyNumberFormat="1" applyFont="1" applyFill="1" applyBorder="1"/>
    <xf numFmtId="164" fontId="10" fillId="3" borderId="11" xfId="0" applyNumberFormat="1" applyFont="1" applyFill="1" applyBorder="1"/>
    <xf numFmtId="164" fontId="8" fillId="3" borderId="12" xfId="0" applyNumberFormat="1" applyFont="1" applyFill="1" applyBorder="1"/>
    <xf numFmtId="164" fontId="10" fillId="3" borderId="3" xfId="0" applyNumberFormat="1" applyFont="1" applyFill="1" applyBorder="1"/>
    <xf numFmtId="164" fontId="8" fillId="3" borderId="10" xfId="0" applyNumberFormat="1" applyFont="1" applyFill="1" applyBorder="1"/>
    <xf numFmtId="10" fontId="9" fillId="2" borderId="0" xfId="3" applyNumberFormat="1" applyFont="1" applyFill="1" applyBorder="1" applyAlignment="1">
      <alignment horizontal="center"/>
    </xf>
    <xf numFmtId="10" fontId="10" fillId="2" borderId="3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8" fillId="0" borderId="13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65" fontId="0" fillId="0" borderId="0" xfId="2" applyFont="1"/>
    <xf numFmtId="0" fontId="0" fillId="0" borderId="0" xfId="0" applyBorder="1"/>
    <xf numFmtId="0" fontId="8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168" fontId="0" fillId="5" borderId="13" xfId="0" applyNumberForma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8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168" fontId="0" fillId="0" borderId="27" xfId="0" applyNumberFormat="1" applyBorder="1"/>
    <xf numFmtId="169" fontId="1" fillId="0" borderId="27" xfId="3" applyNumberFormat="1" applyBorder="1" applyAlignment="1">
      <alignment horizontal="center"/>
    </xf>
    <xf numFmtId="0" fontId="0" fillId="0" borderId="28" xfId="0" applyBorder="1"/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8" fillId="0" borderId="24" xfId="0" applyFont="1" applyBorder="1"/>
    <xf numFmtId="0" fontId="8" fillId="0" borderId="26" xfId="0" applyFont="1" applyBorder="1"/>
    <xf numFmtId="0" fontId="0" fillId="0" borderId="27" xfId="0" applyBorder="1" applyAlignment="1">
      <alignment horizontal="center"/>
    </xf>
    <xf numFmtId="0" fontId="0" fillId="3" borderId="29" xfId="0" applyFill="1" applyBorder="1"/>
    <xf numFmtId="168" fontId="0" fillId="0" borderId="30" xfId="1" applyNumberFormat="1" applyFont="1" applyBorder="1" applyAlignment="1">
      <alignment horizontal="center"/>
    </xf>
    <xf numFmtId="0" fontId="0" fillId="0" borderId="31" xfId="0" applyBorder="1"/>
    <xf numFmtId="0" fontId="0" fillId="0" borderId="21" xfId="0" applyBorder="1"/>
    <xf numFmtId="0" fontId="14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24" xfId="0" applyFont="1" applyBorder="1"/>
    <xf numFmtId="0" fontId="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3" fontId="18" fillId="9" borderId="13" xfId="0" applyNumberFormat="1" applyFont="1" applyFill="1" applyBorder="1" applyAlignment="1">
      <alignment horizontal="center" vertical="center"/>
    </xf>
    <xf numFmtId="3" fontId="18" fillId="9" borderId="13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/>
    </xf>
    <xf numFmtId="0" fontId="18" fillId="9" borderId="13" xfId="0" applyFont="1" applyFill="1" applyBorder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1" fillId="2" borderId="0" xfId="0" applyFont="1" applyFill="1" applyBorder="1"/>
    <xf numFmtId="0" fontId="2" fillId="2" borderId="0" xfId="0" applyNumberFormat="1" applyFont="1" applyFill="1" applyBorder="1"/>
    <xf numFmtId="0" fontId="1" fillId="2" borderId="3" xfId="0" applyFont="1" applyFill="1" applyBorder="1"/>
    <xf numFmtId="164" fontId="1" fillId="2" borderId="1" xfId="0" applyNumberFormat="1" applyFont="1" applyFill="1" applyBorder="1"/>
    <xf numFmtId="164" fontId="10" fillId="2" borderId="10" xfId="0" applyNumberFormat="1" applyFont="1" applyFill="1" applyBorder="1"/>
    <xf numFmtId="164" fontId="1" fillId="2" borderId="10" xfId="0" applyNumberFormat="1" applyFont="1" applyFill="1" applyBorder="1"/>
    <xf numFmtId="0" fontId="2" fillId="2" borderId="14" xfId="0" applyFont="1" applyFill="1" applyBorder="1"/>
    <xf numFmtId="164" fontId="1" fillId="2" borderId="7" xfId="0" applyNumberFormat="1" applyFont="1" applyFill="1" applyBorder="1"/>
    <xf numFmtId="0" fontId="6" fillId="2" borderId="0" xfId="0" applyFont="1" applyFill="1" applyBorder="1"/>
    <xf numFmtId="173" fontId="10" fillId="2" borderId="3" xfId="3" applyNumberFormat="1" applyFont="1" applyFill="1" applyBorder="1" applyAlignment="1">
      <alignment horizontal="right"/>
    </xf>
    <xf numFmtId="0" fontId="1" fillId="2" borderId="10" xfId="0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164" fontId="8" fillId="2" borderId="46" xfId="0" applyNumberFormat="1" applyFont="1" applyFill="1" applyBorder="1"/>
    <xf numFmtId="164" fontId="1" fillId="2" borderId="3" xfId="0" applyNumberFormat="1" applyFont="1" applyFill="1" applyBorder="1"/>
    <xf numFmtId="10" fontId="8" fillId="2" borderId="3" xfId="3" applyNumberFormat="1" applyFont="1" applyFill="1" applyBorder="1"/>
    <xf numFmtId="10" fontId="8" fillId="2" borderId="10" xfId="3" applyNumberFormat="1" applyFont="1" applyFill="1" applyBorder="1" applyAlignment="1">
      <alignment horizontal="right"/>
    </xf>
    <xf numFmtId="10" fontId="1" fillId="2" borderId="10" xfId="3" applyNumberFormat="1" applyFont="1" applyFill="1" applyBorder="1" applyAlignment="1">
      <alignment horizontal="right"/>
    </xf>
    <xf numFmtId="10" fontId="2" fillId="2" borderId="0" xfId="3" applyNumberFormat="1" applyFont="1" applyFill="1" applyBorder="1"/>
    <xf numFmtId="164" fontId="1" fillId="2" borderId="46" xfId="0" applyNumberFormat="1" applyFont="1" applyFill="1" applyBorder="1"/>
    <xf numFmtId="10" fontId="1" fillId="2" borderId="6" xfId="3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11" borderId="13" xfId="0" applyFill="1" applyBorder="1"/>
    <xf numFmtId="0" fontId="1" fillId="0" borderId="13" xfId="0" applyFont="1" applyBorder="1"/>
    <xf numFmtId="174" fontId="0" fillId="0" borderId="13" xfId="3" applyNumberFormat="1" applyFont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2" fillId="0" borderId="13" xfId="0" applyFont="1" applyFill="1" applyBorder="1"/>
    <xf numFmtId="0" fontId="12" fillId="0" borderId="13" xfId="0" applyFont="1" applyFill="1" applyBorder="1" applyAlignment="1">
      <alignment horizontal="center" vertical="center"/>
    </xf>
    <xf numFmtId="0" fontId="12" fillId="11" borderId="13" xfId="0" applyFont="1" applyFill="1" applyBorder="1"/>
    <xf numFmtId="0" fontId="12" fillId="0" borderId="13" xfId="0" applyFont="1" applyFill="1" applyBorder="1" applyAlignment="1">
      <alignment horizontal="center" wrapText="1"/>
    </xf>
    <xf numFmtId="168" fontId="0" fillId="0" borderId="27" xfId="0" applyNumberFormat="1" applyFill="1" applyBorder="1"/>
    <xf numFmtId="0" fontId="8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8" fillId="0" borderId="40" xfId="0" applyFont="1" applyBorder="1"/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8" fontId="1" fillId="0" borderId="25" xfId="1" applyNumberFormat="1" applyBorder="1"/>
    <xf numFmtId="168" fontId="1" fillId="0" borderId="27" xfId="1" applyNumberFormat="1" applyBorder="1"/>
    <xf numFmtId="0" fontId="0" fillId="0" borderId="27" xfId="0" applyBorder="1"/>
    <xf numFmtId="168" fontId="0" fillId="0" borderId="28" xfId="0" applyNumberFormat="1" applyBorder="1"/>
    <xf numFmtId="0" fontId="14" fillId="0" borderId="0" xfId="0" applyFont="1" applyBorder="1" applyAlignment="1">
      <alignment wrapText="1"/>
    </xf>
    <xf numFmtId="0" fontId="0" fillId="0" borderId="46" xfId="0" applyBorder="1"/>
    <xf numFmtId="0" fontId="0" fillId="0" borderId="3" xfId="0" applyBorder="1"/>
    <xf numFmtId="0" fontId="8" fillId="0" borderId="25" xfId="0" applyFont="1" applyFill="1" applyBorder="1" applyAlignment="1">
      <alignment horizontal="center" vertical="center"/>
    </xf>
    <xf numFmtId="168" fontId="8" fillId="0" borderId="27" xfId="0" applyNumberFormat="1" applyFont="1" applyBorder="1"/>
    <xf numFmtId="168" fontId="0" fillId="0" borderId="25" xfId="0" applyNumberFormat="1" applyBorder="1"/>
    <xf numFmtId="168" fontId="8" fillId="0" borderId="28" xfId="0" applyNumberFormat="1" applyFont="1" applyBorder="1"/>
    <xf numFmtId="0" fontId="1" fillId="0" borderId="13" xfId="0" applyFont="1" applyBorder="1" applyAlignment="1">
      <alignment horizontal="left" indent="1"/>
    </xf>
    <xf numFmtId="1" fontId="1" fillId="11" borderId="13" xfId="0" applyNumberFormat="1" applyFont="1" applyFill="1" applyBorder="1" applyAlignment="1">
      <alignment horizontal="center"/>
    </xf>
    <xf numFmtId="168" fontId="1" fillId="11" borderId="13" xfId="1" applyNumberFormat="1" applyFill="1" applyBorder="1"/>
    <xf numFmtId="169" fontId="1" fillId="11" borderId="13" xfId="3" applyNumberForma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0" fillId="0" borderId="41" xfId="0" applyBorder="1"/>
    <xf numFmtId="0" fontId="8" fillId="0" borderId="49" xfId="0" applyFont="1" applyBorder="1" applyAlignment="1">
      <alignment horizontal="center"/>
    </xf>
    <xf numFmtId="0" fontId="0" fillId="0" borderId="40" xfId="0" applyBorder="1"/>
    <xf numFmtId="168" fontId="0" fillId="0" borderId="32" xfId="1" applyNumberFormat="1" applyFont="1" applyBorder="1"/>
    <xf numFmtId="168" fontId="0" fillId="0" borderId="33" xfId="1" applyNumberFormat="1" applyFont="1" applyBorder="1"/>
    <xf numFmtId="169" fontId="0" fillId="0" borderId="13" xfId="3" applyNumberFormat="1" applyFont="1" applyBorder="1"/>
    <xf numFmtId="169" fontId="0" fillId="0" borderId="25" xfId="3" applyNumberFormat="1" applyFont="1" applyBorder="1"/>
    <xf numFmtId="0" fontId="0" fillId="0" borderId="25" xfId="0" applyBorder="1"/>
    <xf numFmtId="175" fontId="0" fillId="0" borderId="13" xfId="2" applyNumberFormat="1" applyFont="1" applyBorder="1"/>
    <xf numFmtId="175" fontId="0" fillId="0" borderId="47" xfId="2" applyNumberFormat="1" applyFont="1" applyBorder="1"/>
    <xf numFmtId="175" fontId="0" fillId="0" borderId="50" xfId="2" applyNumberFormat="1" applyFont="1" applyBorder="1"/>
    <xf numFmtId="175" fontId="0" fillId="0" borderId="27" xfId="2" applyNumberFormat="1" applyFont="1" applyBorder="1"/>
    <xf numFmtId="175" fontId="0" fillId="0" borderId="28" xfId="2" applyNumberFormat="1" applyFont="1" applyBorder="1"/>
    <xf numFmtId="175" fontId="8" fillId="0" borderId="51" xfId="2" applyNumberFormat="1" applyFont="1" applyBorder="1"/>
    <xf numFmtId="175" fontId="8" fillId="0" borderId="52" xfId="2" applyNumberFormat="1" applyFont="1" applyBorder="1"/>
    <xf numFmtId="0" fontId="1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3" fontId="18" fillId="9" borderId="22" xfId="0" applyNumberFormat="1" applyFont="1" applyFill="1" applyBorder="1" applyAlignment="1">
      <alignment horizontal="left" vertical="center"/>
    </xf>
    <xf numFmtId="3" fontId="18" fillId="9" borderId="15" xfId="0" applyNumberFormat="1" applyFont="1" applyFill="1" applyBorder="1" applyAlignment="1">
      <alignment horizontal="left" vertical="center"/>
    </xf>
    <xf numFmtId="3" fontId="18" fillId="9" borderId="23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10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10" borderId="3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 indent="10"/>
    </xf>
    <xf numFmtId="164" fontId="6" fillId="2" borderId="0" xfId="0" applyNumberFormat="1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8" fillId="0" borderId="4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14" fillId="0" borderId="4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left"/>
    </xf>
    <xf numFmtId="1" fontId="0" fillId="0" borderId="23" xfId="0" applyNumberForma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 wrapText="1"/>
    </xf>
    <xf numFmtId="169" fontId="1" fillId="0" borderId="25" xfId="3" applyNumberFormat="1" applyFont="1" applyBorder="1" applyAlignment="1">
      <alignment horizontal="center"/>
    </xf>
    <xf numFmtId="169" fontId="1" fillId="0" borderId="25" xfId="3" applyNumberFormat="1" applyBorder="1" applyAlignment="1">
      <alignment horizontal="center"/>
    </xf>
    <xf numFmtId="169" fontId="1" fillId="4" borderId="27" xfId="3" applyNumberFormat="1" applyFill="1" applyBorder="1" applyAlignment="1">
      <alignment horizontal="center"/>
    </xf>
    <xf numFmtId="169" fontId="1" fillId="0" borderId="27" xfId="3" applyNumberFormat="1" applyFill="1" applyBorder="1" applyAlignment="1">
      <alignment horizontal="center"/>
    </xf>
    <xf numFmtId="10" fontId="1" fillId="0" borderId="27" xfId="3" applyNumberFormat="1" applyFont="1" applyFill="1" applyBorder="1" applyAlignment="1">
      <alignment horizontal="center"/>
    </xf>
    <xf numFmtId="168" fontId="8" fillId="0" borderId="25" xfId="0" applyNumberFormat="1" applyFont="1" applyBorder="1"/>
    <xf numFmtId="0" fontId="8" fillId="0" borderId="18" xfId="0" applyFont="1" applyBorder="1" applyAlignment="1">
      <alignment horizontal="center"/>
    </xf>
    <xf numFmtId="10" fontId="8" fillId="8" borderId="25" xfId="3" applyNumberFormat="1" applyFont="1" applyFill="1" applyBorder="1"/>
    <xf numFmtId="0" fontId="8" fillId="3" borderId="24" xfId="0" applyFont="1" applyFill="1" applyBorder="1"/>
    <xf numFmtId="168" fontId="0" fillId="3" borderId="25" xfId="0" applyNumberFormat="1" applyFill="1" applyBorder="1"/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171" fontId="8" fillId="0" borderId="28" xfId="2" applyNumberFormat="1" applyFont="1" applyBorder="1"/>
    <xf numFmtId="0" fontId="8" fillId="11" borderId="24" xfId="0" applyFont="1" applyFill="1" applyBorder="1"/>
    <xf numFmtId="168" fontId="1" fillId="0" borderId="25" xfId="1" applyNumberFormat="1" applyBorder="1" applyAlignment="1">
      <alignment horizontal="center"/>
    </xf>
    <xf numFmtId="0" fontId="0" fillId="0" borderId="40" xfId="0" applyBorder="1" applyAlignment="1">
      <alignment vertical="center"/>
    </xf>
    <xf numFmtId="168" fontId="0" fillId="7" borderId="28" xfId="0" applyNumberForma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9"/>
  <sheetViews>
    <sheetView showGridLines="0" tabSelected="1" topLeftCell="A10" workbookViewId="0">
      <selection activeCell="B30" sqref="B30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5" t="s">
        <v>0</v>
      </c>
      <c r="C20" s="215"/>
      <c r="D20" s="215"/>
      <c r="E20" s="215"/>
      <c r="F20" s="215"/>
      <c r="G20" s="215"/>
      <c r="H20" s="215"/>
      <c r="I20" s="215"/>
    </row>
    <row r="21" spans="2:9" ht="33.75" x14ac:dyDescent="0.5">
      <c r="B21" s="215" t="s">
        <v>127</v>
      </c>
      <c r="C21" s="215"/>
      <c r="D21" s="215"/>
      <c r="E21" s="215"/>
      <c r="F21" s="215"/>
      <c r="G21" s="215"/>
      <c r="H21" s="215"/>
      <c r="I21" s="215"/>
    </row>
    <row r="22" spans="2:9" ht="33.75" x14ac:dyDescent="0.5">
      <c r="B22" s="215" t="s">
        <v>129</v>
      </c>
      <c r="C22" s="215"/>
      <c r="D22" s="215"/>
      <c r="E22" s="215"/>
      <c r="F22" s="215"/>
      <c r="G22" s="215"/>
      <c r="H22" s="215"/>
      <c r="I22" s="215"/>
    </row>
    <row r="25" spans="2:9" ht="30" x14ac:dyDescent="0.4">
      <c r="B25" s="217" t="s">
        <v>128</v>
      </c>
      <c r="C25" s="217"/>
      <c r="D25" s="217"/>
      <c r="E25" s="217"/>
      <c r="F25" s="217"/>
      <c r="G25" s="217"/>
      <c r="H25" s="217"/>
      <c r="I25" s="217"/>
    </row>
    <row r="26" spans="2:9" ht="33.75" x14ac:dyDescent="0.5">
      <c r="B26" s="215" t="s">
        <v>126</v>
      </c>
      <c r="C26" s="215"/>
      <c r="D26" s="215"/>
      <c r="E26" s="215"/>
      <c r="F26" s="215"/>
      <c r="G26" s="215"/>
      <c r="H26" s="215"/>
      <c r="I26" s="215"/>
    </row>
    <row r="27" spans="2:9" ht="33.75" x14ac:dyDescent="0.5">
      <c r="B27" s="215"/>
      <c r="C27" s="216"/>
      <c r="D27" s="216"/>
      <c r="E27" s="216"/>
      <c r="F27" s="216"/>
      <c r="G27" s="216"/>
      <c r="H27" s="216"/>
      <c r="I27" s="216"/>
    </row>
    <row r="28" spans="2:9" ht="33.75" x14ac:dyDescent="0.5">
      <c r="B28" s="214"/>
      <c r="C28" s="213"/>
      <c r="D28" s="213"/>
      <c r="E28" s="213"/>
      <c r="F28" s="213"/>
      <c r="G28" s="213"/>
      <c r="H28" s="213"/>
      <c r="I28" s="213"/>
    </row>
    <row r="29" spans="2:9" ht="33.75" x14ac:dyDescent="0.5">
      <c r="B29" s="213" t="s">
        <v>226</v>
      </c>
      <c r="C29" s="213"/>
      <c r="D29" s="213"/>
      <c r="E29" s="213"/>
      <c r="F29" s="213"/>
      <c r="G29" s="213"/>
      <c r="H29" s="213"/>
      <c r="I29" s="213"/>
    </row>
  </sheetData>
  <mergeCells count="8">
    <mergeCell ref="B29:I29"/>
    <mergeCell ref="B28:I28"/>
    <mergeCell ref="B27:I27"/>
    <mergeCell ref="B20:I20"/>
    <mergeCell ref="B21:I21"/>
    <mergeCell ref="B25:I25"/>
    <mergeCell ref="B26:I26"/>
    <mergeCell ref="B22:I22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7"/>
  <sheetViews>
    <sheetView showGridLines="0" workbookViewId="0">
      <selection activeCell="H34" sqref="H34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18" t="s">
        <v>199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2:13" ht="13.5" thickBot="1" x14ac:dyDescent="0.25"/>
    <row r="4" spans="2:13" x14ac:dyDescent="0.2">
      <c r="B4" s="268" t="s">
        <v>198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70"/>
    </row>
    <row r="5" spans="2:13" x14ac:dyDescent="0.2">
      <c r="B5" s="285" t="s">
        <v>74</v>
      </c>
      <c r="C5" s="286" t="s">
        <v>75</v>
      </c>
      <c r="D5" s="294" t="s">
        <v>76</v>
      </c>
      <c r="E5" s="265" t="s">
        <v>77</v>
      </c>
      <c r="F5" s="265"/>
      <c r="G5" s="265" t="s">
        <v>87</v>
      </c>
      <c r="H5" s="265"/>
      <c r="I5" s="265" t="s">
        <v>85</v>
      </c>
      <c r="J5" s="265"/>
      <c r="K5" s="265" t="s">
        <v>78</v>
      </c>
      <c r="L5" s="265"/>
      <c r="M5" s="280"/>
    </row>
    <row r="6" spans="2:13" ht="38.25" x14ac:dyDescent="0.2">
      <c r="B6" s="285"/>
      <c r="C6" s="286"/>
      <c r="D6" s="295"/>
      <c r="E6" s="212" t="s">
        <v>69</v>
      </c>
      <c r="F6" s="212" t="s">
        <v>68</v>
      </c>
      <c r="G6" s="45" t="s">
        <v>83</v>
      </c>
      <c r="H6" s="45" t="s">
        <v>84</v>
      </c>
      <c r="I6" s="45" t="s">
        <v>79</v>
      </c>
      <c r="J6" s="45" t="s">
        <v>80</v>
      </c>
      <c r="K6" s="45" t="s">
        <v>81</v>
      </c>
      <c r="L6" s="45" t="s">
        <v>82</v>
      </c>
      <c r="M6" s="171" t="s">
        <v>18</v>
      </c>
    </row>
    <row r="7" spans="2:13" x14ac:dyDescent="0.2">
      <c r="B7" s="108" t="s">
        <v>65</v>
      </c>
      <c r="C7" s="46" t="s">
        <v>69</v>
      </c>
      <c r="D7" s="47">
        <f>'Allocated Revenues'!D20</f>
        <v>8496</v>
      </c>
      <c r="E7" s="54">
        <f>'Allocated Revenues'!E20</f>
        <v>104826589.3</v>
      </c>
      <c r="F7" s="54"/>
      <c r="G7" s="56">
        <f>'Allocated Revenues'!G20</f>
        <v>0.13646721756898086</v>
      </c>
      <c r="H7" s="56">
        <f>'Allocated Revenues'!H20</f>
        <v>0.86353278243101916</v>
      </c>
      <c r="I7" s="57">
        <f>'Allocated Revenues'!I20</f>
        <v>22.773774585719746</v>
      </c>
      <c r="J7" s="55">
        <f>'Allocated Revenues'!J20</f>
        <v>0.14015539009748318</v>
      </c>
      <c r="K7" s="54">
        <f>'Allocated Revenues'!K20</f>
        <v>2321831.8665632997</v>
      </c>
      <c r="L7" s="54">
        <f>'Allocated Revenues'!L20</f>
        <v>14692011.515930155</v>
      </c>
      <c r="M7" s="188">
        <f>'Allocated Revenues'!M20</f>
        <v>17013843.382493455</v>
      </c>
    </row>
    <row r="8" spans="2:13" x14ac:dyDescent="0.2">
      <c r="B8" s="108" t="s">
        <v>66</v>
      </c>
      <c r="C8" s="46" t="s">
        <v>68</v>
      </c>
      <c r="D8" s="47">
        <f>'Allocated Revenues'!D21</f>
        <v>50</v>
      </c>
      <c r="E8" s="54"/>
      <c r="F8" s="54">
        <f>'Allocated Revenues'!F21</f>
        <v>198897</v>
      </c>
      <c r="G8" s="56">
        <f>'Allocated Revenues'!G21</f>
        <v>0.1200968956263495</v>
      </c>
      <c r="H8" s="56">
        <f>'Allocated Revenues'!H21</f>
        <v>0.87990310437365049</v>
      </c>
      <c r="I8" s="57">
        <f>'Allocated Revenues'!I21</f>
        <v>846.3764002182827</v>
      </c>
      <c r="J8" s="55">
        <f>'Allocated Revenues'!J21</f>
        <v>18.70637479416088</v>
      </c>
      <c r="K8" s="54">
        <f>'Allocated Revenues'!K21</f>
        <v>507825.84013096959</v>
      </c>
      <c r="L8" s="54">
        <f>'Allocated Revenues'!L21</f>
        <v>3720641.8274342162</v>
      </c>
      <c r="M8" s="188">
        <f>'Allocated Revenues'!M21</f>
        <v>4228467.6675651856</v>
      </c>
    </row>
    <row r="9" spans="2:13" ht="6.75" customHeight="1" x14ac:dyDescent="0.2">
      <c r="B9" s="108"/>
      <c r="C9" s="46"/>
      <c r="D9" s="47"/>
      <c r="E9" s="54"/>
      <c r="F9" s="54"/>
      <c r="G9" s="56"/>
      <c r="H9" s="56"/>
      <c r="I9" s="57"/>
      <c r="J9" s="55"/>
      <c r="K9" s="54"/>
      <c r="L9" s="54"/>
      <c r="M9" s="188"/>
    </row>
    <row r="10" spans="2:13" x14ac:dyDescent="0.2">
      <c r="B10" s="108" t="s">
        <v>65</v>
      </c>
      <c r="C10" s="211" t="s">
        <v>89</v>
      </c>
      <c r="D10" s="296" t="s">
        <v>225</v>
      </c>
      <c r="E10" s="297"/>
      <c r="F10" s="297"/>
      <c r="G10" s="297"/>
      <c r="H10" s="297"/>
      <c r="I10" s="297"/>
      <c r="J10" s="297"/>
      <c r="K10" s="297"/>
      <c r="L10" s="298"/>
      <c r="M10" s="188">
        <f>'Stranded Meters'!D13</f>
        <v>192509.24501257052</v>
      </c>
    </row>
    <row r="11" spans="2:13" ht="6.75" customHeight="1" x14ac:dyDescent="0.2">
      <c r="B11" s="108"/>
      <c r="C11" s="46"/>
      <c r="D11" s="47"/>
      <c r="E11" s="54"/>
      <c r="F11" s="54"/>
      <c r="G11" s="56"/>
      <c r="H11" s="56"/>
      <c r="I11" s="57"/>
      <c r="J11" s="55"/>
      <c r="K11" s="54"/>
      <c r="L11" s="54"/>
      <c r="M11" s="188"/>
    </row>
    <row r="12" spans="2:13" x14ac:dyDescent="0.2">
      <c r="B12" s="100"/>
      <c r="C12" s="52"/>
      <c r="D12" s="52"/>
      <c r="E12" s="52"/>
      <c r="F12" s="52"/>
      <c r="G12" s="52"/>
      <c r="H12" s="52"/>
      <c r="I12" s="52"/>
      <c r="J12" s="52"/>
      <c r="K12" s="53">
        <f>SUM(K7:K8)</f>
        <v>2829657.7066942691</v>
      </c>
      <c r="L12" s="53">
        <f>SUM(L7:L8)</f>
        <v>18412653.343364373</v>
      </c>
      <c r="M12" s="310">
        <f>SUM(M7:M8)+M10</f>
        <v>21434820.295071211</v>
      </c>
    </row>
    <row r="13" spans="2:13" x14ac:dyDescent="0.2">
      <c r="B13" s="302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303"/>
    </row>
    <row r="14" spans="2:13" x14ac:dyDescent="0.2">
      <c r="B14" s="281" t="s">
        <v>200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80"/>
    </row>
    <row r="15" spans="2:13" ht="12.75" customHeight="1" x14ac:dyDescent="0.2">
      <c r="B15" s="281" t="s">
        <v>95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80"/>
    </row>
    <row r="16" spans="2:13" x14ac:dyDescent="0.2">
      <c r="B16" s="311" t="s">
        <v>204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1"/>
      <c r="M16" s="312">
        <f>Forecast!I29</f>
        <v>3.7600000000000001E-2</v>
      </c>
    </row>
    <row r="17" spans="2:13" x14ac:dyDescent="0.2">
      <c r="B17" s="285" t="s">
        <v>74</v>
      </c>
      <c r="C17" s="286" t="s">
        <v>75</v>
      </c>
      <c r="D17" s="294" t="s">
        <v>76</v>
      </c>
      <c r="E17" s="265" t="s">
        <v>77</v>
      </c>
      <c r="F17" s="265"/>
      <c r="G17" s="265" t="s">
        <v>87</v>
      </c>
      <c r="H17" s="265"/>
      <c r="I17" s="265" t="s">
        <v>85</v>
      </c>
      <c r="J17" s="265"/>
      <c r="K17" s="265" t="s">
        <v>78</v>
      </c>
      <c r="L17" s="265"/>
      <c r="M17" s="280"/>
    </row>
    <row r="18" spans="2:13" ht="38.25" x14ac:dyDescent="0.2">
      <c r="B18" s="285"/>
      <c r="C18" s="286"/>
      <c r="D18" s="295"/>
      <c r="E18" s="212" t="s">
        <v>69</v>
      </c>
      <c r="F18" s="212" t="s">
        <v>68</v>
      </c>
      <c r="G18" s="45" t="s">
        <v>83</v>
      </c>
      <c r="H18" s="45" t="s">
        <v>84</v>
      </c>
      <c r="I18" s="45" t="s">
        <v>79</v>
      </c>
      <c r="J18" s="45" t="s">
        <v>80</v>
      </c>
      <c r="K18" s="45" t="s">
        <v>81</v>
      </c>
      <c r="L18" s="45" t="s">
        <v>82</v>
      </c>
      <c r="M18" s="171" t="s">
        <v>18</v>
      </c>
    </row>
    <row r="19" spans="2:13" x14ac:dyDescent="0.2">
      <c r="B19" s="108" t="s">
        <v>65</v>
      </c>
      <c r="C19" s="46" t="s">
        <v>69</v>
      </c>
      <c r="D19" s="47">
        <f>D7</f>
        <v>8496</v>
      </c>
      <c r="E19" s="54">
        <f>E7</f>
        <v>104826589.3</v>
      </c>
      <c r="F19" s="54"/>
      <c r="G19" s="56">
        <f>K19/M19</f>
        <v>0.40935829626962777</v>
      </c>
      <c r="H19" s="56">
        <f>L19/M19</f>
        <v>0.59064170373037217</v>
      </c>
      <c r="I19" s="57">
        <f>'Tariff Sheet'!F9*(1+M16)</f>
        <v>24.030816000000002</v>
      </c>
      <c r="J19" s="55">
        <f>'Tariff Sheet'!F10*(1+M16)</f>
        <v>3.3722000000000002E-2</v>
      </c>
      <c r="K19" s="54">
        <f>D19*I19*12</f>
        <v>2449989.7528320001</v>
      </c>
      <c r="L19" s="54">
        <f>J19*E19</f>
        <v>3534962.2443746002</v>
      </c>
      <c r="M19" s="188">
        <f>K19+L19</f>
        <v>5984951.9972066004</v>
      </c>
    </row>
    <row r="20" spans="2:13" x14ac:dyDescent="0.2">
      <c r="B20" s="313" t="s">
        <v>66</v>
      </c>
      <c r="C20" s="70" t="s">
        <v>68</v>
      </c>
      <c r="D20" s="71">
        <f>D8</f>
        <v>50</v>
      </c>
      <c r="E20" s="72"/>
      <c r="F20" s="72">
        <f>F8</f>
        <v>198897</v>
      </c>
      <c r="G20" s="73">
        <f>K20/M20</f>
        <v>0.36797335372674761</v>
      </c>
      <c r="H20" s="73">
        <f>L20/M20</f>
        <v>0.63202664627325233</v>
      </c>
      <c r="I20" s="74">
        <f>'Tariff Sheet'!F13*(1+M16)</f>
        <v>618.53411200000005</v>
      </c>
      <c r="J20" s="75">
        <f>'Tariff Sheet'!F14*(1+M16)</f>
        <v>3.2048351199999998</v>
      </c>
      <c r="K20" s="72">
        <f>D20*I20*12</f>
        <v>371120.46720000001</v>
      </c>
      <c r="L20" s="72">
        <f>J20*F20</f>
        <v>637432.09086263995</v>
      </c>
      <c r="M20" s="314">
        <f>K20+L20</f>
        <v>1008552.55806264</v>
      </c>
    </row>
    <row r="21" spans="2:13" x14ac:dyDescent="0.2">
      <c r="B21" s="108" t="s">
        <v>110</v>
      </c>
      <c r="C21" s="46"/>
      <c r="D21" s="47"/>
      <c r="E21" s="54"/>
      <c r="F21" s="54"/>
      <c r="G21" s="56">
        <f>K21/M21</f>
        <v>0.35463892996024249</v>
      </c>
      <c r="H21" s="56">
        <f>L21/M21</f>
        <v>0.64536107003975751</v>
      </c>
      <c r="I21" s="57">
        <v>596.12</v>
      </c>
      <c r="J21" s="55">
        <f>L21/F20</f>
        <v>3.272450354015596</v>
      </c>
      <c r="K21" s="54">
        <f>D20*I21*12</f>
        <v>357672</v>
      </c>
      <c r="L21" s="54">
        <f>M20-K21</f>
        <v>650880.55806264002</v>
      </c>
      <c r="M21" s="188">
        <f>K21+L21</f>
        <v>1008552.55806264</v>
      </c>
    </row>
    <row r="22" spans="2:13" x14ac:dyDescent="0.2">
      <c r="B22" s="108" t="s">
        <v>203</v>
      </c>
      <c r="C22" s="46"/>
      <c r="D22" s="47"/>
      <c r="E22" s="54"/>
      <c r="F22" s="54"/>
      <c r="G22" s="56"/>
      <c r="H22" s="56"/>
      <c r="I22" s="57"/>
      <c r="J22" s="55"/>
      <c r="K22" s="54"/>
      <c r="L22" s="54">
        <f>Forecast!I33</f>
        <v>74096.399999999994</v>
      </c>
      <c r="M22" s="188">
        <f>K22+L22</f>
        <v>74096.399999999994</v>
      </c>
    </row>
    <row r="23" spans="2:13" x14ac:dyDescent="0.2">
      <c r="B23" s="100"/>
      <c r="C23" s="52"/>
      <c r="D23" s="52"/>
      <c r="E23" s="52"/>
      <c r="F23" s="52"/>
      <c r="G23" s="52"/>
      <c r="H23" s="52"/>
      <c r="I23" s="52"/>
      <c r="J23" s="52"/>
      <c r="K23" s="53">
        <f>K19+K21</f>
        <v>2807661.7528320001</v>
      </c>
      <c r="L23" s="53">
        <f>L19+L21</f>
        <v>4185842.8024372403</v>
      </c>
      <c r="M23" s="310">
        <f>M19+M21</f>
        <v>6993504.5552692404</v>
      </c>
    </row>
    <row r="24" spans="2:13" x14ac:dyDescent="0.2">
      <c r="B24" s="100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203"/>
    </row>
    <row r="25" spans="2:13" ht="13.5" thickBot="1" x14ac:dyDescent="0.25">
      <c r="B25" s="315" t="s">
        <v>224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7">
        <f>M12+M22-M23</f>
        <v>14515412.139801968</v>
      </c>
    </row>
    <row r="27" spans="2:13" x14ac:dyDescent="0.2">
      <c r="L27" s="80" t="s">
        <v>187</v>
      </c>
      <c r="M27" s="44" t="str">
        <f>IF(ABS((M12+M22)-(M23+M25)&lt;1),"YES","NO")</f>
        <v>YES</v>
      </c>
    </row>
  </sheetData>
  <mergeCells count="22">
    <mergeCell ref="D10:L10"/>
    <mergeCell ref="B25:L25"/>
    <mergeCell ref="B13:M13"/>
    <mergeCell ref="B14:M14"/>
    <mergeCell ref="B15:M15"/>
    <mergeCell ref="B16:L16"/>
    <mergeCell ref="B17:B18"/>
    <mergeCell ref="C17:C18"/>
    <mergeCell ref="D17:D18"/>
    <mergeCell ref="G17:H17"/>
    <mergeCell ref="I17:J17"/>
    <mergeCell ref="E17:F17"/>
    <mergeCell ref="K17:M17"/>
    <mergeCell ref="B2:M2"/>
    <mergeCell ref="B4:M4"/>
    <mergeCell ref="B5:B6"/>
    <mergeCell ref="C5:C6"/>
    <mergeCell ref="D5:D6"/>
    <mergeCell ref="E5:F5"/>
    <mergeCell ref="I5:J5"/>
    <mergeCell ref="G5:H5"/>
    <mergeCell ref="K5:M5"/>
  </mergeCells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3"/>
  <sheetViews>
    <sheetView showGridLines="0" workbookViewId="0">
      <selection activeCell="B4" sqref="B4:M11"/>
    </sheetView>
  </sheetViews>
  <sheetFormatPr defaultRowHeight="12.75" x14ac:dyDescent="0.2"/>
  <cols>
    <col min="1" max="1" width="4.140625" customWidth="1"/>
    <col min="2" max="2" width="19.85546875" bestFit="1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18" t="s">
        <v>115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2:13" ht="13.5" thickBot="1" x14ac:dyDescent="0.25"/>
    <row r="4" spans="2:13" x14ac:dyDescent="0.2">
      <c r="B4" s="268" t="s">
        <v>124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70"/>
    </row>
    <row r="5" spans="2:13" x14ac:dyDescent="0.2">
      <c r="B5" s="285" t="s">
        <v>74</v>
      </c>
      <c r="C5" s="286" t="s">
        <v>75</v>
      </c>
      <c r="D5" s="287" t="s">
        <v>76</v>
      </c>
      <c r="E5" s="265" t="s">
        <v>77</v>
      </c>
      <c r="F5" s="265"/>
      <c r="G5" s="299" t="s">
        <v>87</v>
      </c>
      <c r="H5" s="301"/>
      <c r="I5" s="265" t="s">
        <v>85</v>
      </c>
      <c r="J5" s="265"/>
      <c r="K5" s="265" t="s">
        <v>78</v>
      </c>
      <c r="L5" s="265"/>
      <c r="M5" s="280"/>
    </row>
    <row r="6" spans="2:13" ht="38.25" x14ac:dyDescent="0.2">
      <c r="B6" s="285"/>
      <c r="C6" s="286"/>
      <c r="D6" s="287"/>
      <c r="E6" s="212" t="s">
        <v>69</v>
      </c>
      <c r="F6" s="212" t="s">
        <v>68</v>
      </c>
      <c r="G6" s="45" t="s">
        <v>83</v>
      </c>
      <c r="H6" s="45" t="s">
        <v>84</v>
      </c>
      <c r="I6" s="45" t="s">
        <v>79</v>
      </c>
      <c r="J6" s="45" t="s">
        <v>80</v>
      </c>
      <c r="K6" s="45" t="s">
        <v>81</v>
      </c>
      <c r="L6" s="45" t="s">
        <v>82</v>
      </c>
      <c r="M6" s="171" t="s">
        <v>18</v>
      </c>
    </row>
    <row r="7" spans="2:13" x14ac:dyDescent="0.2">
      <c r="B7" s="318" t="s">
        <v>14</v>
      </c>
      <c r="C7" s="162" t="s">
        <v>69</v>
      </c>
      <c r="D7" s="191">
        <f>'Allocated Revenues'!D22</f>
        <v>3138</v>
      </c>
      <c r="E7" s="192">
        <f>'Allocated Revenues'!E22</f>
        <v>7680066</v>
      </c>
      <c r="F7" s="192"/>
      <c r="G7" s="193">
        <f>'Allocated Revenues'!G22</f>
        <v>0.43756357758419168</v>
      </c>
      <c r="H7" s="56">
        <f>'Allocated Revenues'!H22</f>
        <v>0.56243642241580827</v>
      </c>
      <c r="I7" s="105">
        <f>K7/(D7*12)</f>
        <v>23.511486417730683</v>
      </c>
      <c r="J7" s="107">
        <f>L7/E7</f>
        <v>0.14817727101588518</v>
      </c>
      <c r="K7" s="106">
        <f>G7*M7</f>
        <v>885348.53254606656</v>
      </c>
      <c r="L7" s="106">
        <f>H7*M7</f>
        <v>1138011.2211018852</v>
      </c>
      <c r="M7" s="319">
        <f>'Allocated Revenues'!M22</f>
        <v>2023359.7536479519</v>
      </c>
    </row>
    <row r="8" spans="2:13" x14ac:dyDescent="0.2">
      <c r="B8" s="108" t="s">
        <v>205</v>
      </c>
      <c r="C8" s="46"/>
      <c r="D8" s="47"/>
      <c r="E8" s="54"/>
      <c r="F8" s="54"/>
      <c r="G8" s="56">
        <f>K8/M8</f>
        <v>0.49783435604267812</v>
      </c>
      <c r="H8" s="56">
        <f>L8/M8</f>
        <v>0.50216564395732188</v>
      </c>
      <c r="I8" s="105">
        <f>'Tariff Sheet'!F17</f>
        <v>26.75</v>
      </c>
      <c r="J8" s="107">
        <f>L8/E7</f>
        <v>0.13229857056540295</v>
      </c>
      <c r="K8" s="106">
        <f>D7*I8*12</f>
        <v>1007298</v>
      </c>
      <c r="L8" s="106">
        <f>M8-K8</f>
        <v>1016061.7536479519</v>
      </c>
      <c r="M8" s="319">
        <f>M7</f>
        <v>2023359.7536479519</v>
      </c>
    </row>
    <row r="9" spans="2:13" x14ac:dyDescent="0.2">
      <c r="B9" s="318" t="s">
        <v>67</v>
      </c>
      <c r="C9" s="162" t="s">
        <v>69</v>
      </c>
      <c r="D9" s="191">
        <f>'Allocated Revenues'!D23</f>
        <v>1018</v>
      </c>
      <c r="E9" s="192">
        <f>'Allocated Revenues'!E23</f>
        <v>804690</v>
      </c>
      <c r="F9" s="192"/>
      <c r="G9" s="193">
        <f>'Allocated Revenues'!G23</f>
        <v>0</v>
      </c>
      <c r="H9" s="56">
        <f>1-G9</f>
        <v>1</v>
      </c>
      <c r="I9" s="105">
        <f>K9/(D9*12)</f>
        <v>0</v>
      </c>
      <c r="J9" s="107">
        <f>L9/E9</f>
        <v>0.19977885286269043</v>
      </c>
      <c r="K9" s="106">
        <f>G9*M9</f>
        <v>0</v>
      </c>
      <c r="L9" s="106">
        <f>H9*M9</f>
        <v>160760.04511007835</v>
      </c>
      <c r="M9" s="319">
        <f>'Allocated Revenues'!M23</f>
        <v>160760.04511007835</v>
      </c>
    </row>
    <row r="10" spans="2:13" x14ac:dyDescent="0.2">
      <c r="B10" s="108" t="s">
        <v>206</v>
      </c>
      <c r="C10" s="79"/>
      <c r="D10" s="47"/>
      <c r="E10" s="54"/>
      <c r="F10" s="54"/>
      <c r="G10" s="56">
        <f>K10/M10</f>
        <v>7.4469250066473591E-2</v>
      </c>
      <c r="H10" s="56">
        <f>L10/M10</f>
        <v>0.92553074993352646</v>
      </c>
      <c r="I10" s="76">
        <f>'Tariff Sheet'!F21</f>
        <v>0.98</v>
      </c>
      <c r="J10" s="55">
        <f>L10/E9</f>
        <v>0.1849014715108655</v>
      </c>
      <c r="K10" s="54">
        <f>(I10*D9*12)</f>
        <v>11971.68</v>
      </c>
      <c r="L10" s="54">
        <f>M9-K10</f>
        <v>148788.36511007836</v>
      </c>
      <c r="M10" s="188">
        <f>K10+L10</f>
        <v>160760.04511007835</v>
      </c>
    </row>
    <row r="11" spans="2:13" ht="13.5" thickBot="1" x14ac:dyDescent="0.25">
      <c r="B11" s="101"/>
      <c r="C11" s="181"/>
      <c r="D11" s="181"/>
      <c r="E11" s="181"/>
      <c r="F11" s="181"/>
      <c r="G11" s="181"/>
      <c r="H11" s="181"/>
      <c r="I11" s="181"/>
      <c r="J11" s="181"/>
      <c r="K11" s="187">
        <f>K8+K10</f>
        <v>1019269.68</v>
      </c>
      <c r="L11" s="187">
        <f>L8+L10</f>
        <v>1164850.1187580302</v>
      </c>
      <c r="M11" s="189">
        <f>M8+M10</f>
        <v>2184119.7987580304</v>
      </c>
    </row>
    <row r="13" spans="2:13" x14ac:dyDescent="0.2">
      <c r="K13" s="80" t="s">
        <v>187</v>
      </c>
      <c r="L13" s="44" t="str">
        <f>IF(ABS(M11-L11-K11&lt;1),"YES","NO")</f>
        <v>YES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D24" sqref="D24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  <col min="13" max="13" width="11.28515625" bestFit="1" customWidth="1"/>
  </cols>
  <sheetData>
    <row r="2" spans="2:13" ht="15.75" x14ac:dyDescent="0.25">
      <c r="B2" s="218" t="s">
        <v>212</v>
      </c>
      <c r="C2" s="218"/>
      <c r="D2" s="218"/>
      <c r="E2" s="218"/>
      <c r="F2" s="218"/>
      <c r="G2" s="218"/>
      <c r="H2" s="218"/>
      <c r="I2" s="218"/>
      <c r="J2" s="218"/>
      <c r="K2" s="218"/>
    </row>
    <row r="3" spans="2:13" ht="13.5" thickBot="1" x14ac:dyDescent="0.25"/>
    <row r="4" spans="2:13" ht="51" x14ac:dyDescent="0.2">
      <c r="B4" s="320"/>
      <c r="C4" s="177" t="s">
        <v>94</v>
      </c>
      <c r="D4" s="177" t="s">
        <v>93</v>
      </c>
      <c r="E4" s="177" t="s">
        <v>207</v>
      </c>
      <c r="F4" s="177" t="s">
        <v>208</v>
      </c>
      <c r="G4" s="177" t="s">
        <v>209</v>
      </c>
      <c r="H4" s="177" t="s">
        <v>210</v>
      </c>
      <c r="I4" s="177" t="s">
        <v>112</v>
      </c>
      <c r="J4" s="177" t="s">
        <v>211</v>
      </c>
      <c r="K4" s="178" t="s">
        <v>113</v>
      </c>
    </row>
    <row r="5" spans="2:13" x14ac:dyDescent="0.2">
      <c r="B5" s="100" t="s">
        <v>65</v>
      </c>
      <c r="C5" s="48">
        <f>'Allocated Revenues'!D20</f>
        <v>8496</v>
      </c>
      <c r="D5" s="48">
        <f>'Allocated Revenues'!E20</f>
        <v>104826589.3</v>
      </c>
      <c r="E5" s="49">
        <f>'Tariff Sheet'!J9</f>
        <v>24.030816000000002</v>
      </c>
      <c r="F5" s="50">
        <f>'Tariff Sheet'!J10</f>
        <v>3.3722000000000002E-2</v>
      </c>
      <c r="G5" s="48">
        <f>C5*E5*12</f>
        <v>2449989.7528320001</v>
      </c>
      <c r="H5" s="48">
        <f>D5*F5</f>
        <v>3534962.2443746002</v>
      </c>
      <c r="I5" s="51">
        <f>G5+H5</f>
        <v>5984951.9972066004</v>
      </c>
      <c r="J5" s="52"/>
      <c r="K5" s="203"/>
    </row>
    <row r="6" spans="2:13" x14ac:dyDescent="0.2">
      <c r="B6" s="100" t="s">
        <v>66</v>
      </c>
      <c r="C6" s="48">
        <f>'Allocated Revenues'!D21</f>
        <v>50</v>
      </c>
      <c r="D6" s="48">
        <f>'Allocated Revenues'!F21</f>
        <v>198897</v>
      </c>
      <c r="E6" s="49">
        <f>'Tariff Sheet'!J13</f>
        <v>596.12</v>
      </c>
      <c r="F6" s="50">
        <f>'Tariff Sheet'!J14</f>
        <v>3.272450354015596</v>
      </c>
      <c r="G6" s="48">
        <f>C6*E6*12</f>
        <v>357672</v>
      </c>
      <c r="H6" s="48">
        <f>D6*F6</f>
        <v>650880.55806264002</v>
      </c>
      <c r="I6" s="51">
        <f>G6+H6</f>
        <v>1008552.55806264</v>
      </c>
      <c r="J6" s="52"/>
      <c r="K6" s="203"/>
    </row>
    <row r="7" spans="2:13" x14ac:dyDescent="0.2">
      <c r="B7" s="100" t="s">
        <v>14</v>
      </c>
      <c r="C7" s="48">
        <f>'Allocated Revenues'!D22</f>
        <v>3138</v>
      </c>
      <c r="D7" s="48">
        <f>'Allocated Revenues'!E22</f>
        <v>7680066</v>
      </c>
      <c r="E7" s="49">
        <f>'Tariff Sheet'!J17</f>
        <v>26.75</v>
      </c>
      <c r="F7" s="50">
        <f>'Tariff Sheet'!J18</f>
        <v>0.13229857056540295</v>
      </c>
      <c r="G7" s="48">
        <f>C7*E7*12</f>
        <v>1007298</v>
      </c>
      <c r="H7" s="48">
        <f>D7*F7</f>
        <v>1016061.753647952</v>
      </c>
      <c r="I7" s="51">
        <f>G7+H7</f>
        <v>2023359.7536479519</v>
      </c>
      <c r="J7" s="52"/>
      <c r="K7" s="203"/>
    </row>
    <row r="8" spans="2:13" x14ac:dyDescent="0.2">
      <c r="B8" s="100" t="s">
        <v>67</v>
      </c>
      <c r="C8" s="48">
        <f>'Allocated Revenues'!D23</f>
        <v>1018</v>
      </c>
      <c r="D8" s="48">
        <f>'Allocated Revenues'!E23</f>
        <v>804690</v>
      </c>
      <c r="E8" s="49">
        <f>'Tariff Sheet'!J21</f>
        <v>0.98</v>
      </c>
      <c r="F8" s="50">
        <f>'Tariff Sheet'!J22</f>
        <v>0.1849014715108655</v>
      </c>
      <c r="G8" s="48">
        <f>C8*E8*12</f>
        <v>11971.68</v>
      </c>
      <c r="H8" s="48">
        <f>D8*F8</f>
        <v>148788.36511007836</v>
      </c>
      <c r="I8" s="51">
        <f>G8+H8</f>
        <v>160760.04511007835</v>
      </c>
      <c r="J8" s="52"/>
      <c r="K8" s="203"/>
    </row>
    <row r="9" spans="2:13" ht="13.5" thickBot="1" x14ac:dyDescent="0.25">
      <c r="B9" s="101"/>
      <c r="C9" s="181"/>
      <c r="D9" s="181"/>
      <c r="E9" s="181"/>
      <c r="F9" s="181"/>
      <c r="G9" s="102">
        <f>SUM(G5:G8)</f>
        <v>3826931.4328320003</v>
      </c>
      <c r="H9" s="102">
        <f>SUM(H5:H8)</f>
        <v>5350692.9211952705</v>
      </c>
      <c r="I9" s="102">
        <f>SUM(I5:I8)</f>
        <v>9177624.3540272713</v>
      </c>
      <c r="J9" s="102">
        <f>'Tariff Sheet'!J24</f>
        <v>14515412.139801968</v>
      </c>
      <c r="K9" s="321">
        <f>J9+I9</f>
        <v>23693036.493829239</v>
      </c>
      <c r="M9" s="194"/>
    </row>
    <row r="10" spans="2:13" x14ac:dyDescent="0.2">
      <c r="M10" s="195"/>
    </row>
    <row r="11" spans="2:13" x14ac:dyDescent="0.2">
      <c r="J11" s="119" t="s">
        <v>122</v>
      </c>
      <c r="K11" s="120" t="str">
        <f>IF(ABS('Allocated Revenues'!M24+'2015 RRRP Rate Design'!M22-Reconciliation!K9&lt;1),"YES","NO")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7"/>
  <sheetViews>
    <sheetView showGridLines="0" zoomScaleNormal="100" workbookViewId="0">
      <selection activeCell="E30" sqref="E30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44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2" spans="2:11" ht="15.75" x14ac:dyDescent="0.25">
      <c r="B2" s="218" t="s">
        <v>213</v>
      </c>
      <c r="C2" s="218"/>
      <c r="D2" s="218"/>
      <c r="E2" s="218"/>
      <c r="F2" s="218"/>
      <c r="G2" s="218"/>
      <c r="H2" s="218"/>
      <c r="I2" s="218"/>
      <c r="J2" s="218"/>
      <c r="K2" s="218"/>
    </row>
    <row r="3" spans="2:11" ht="13.5" thickBot="1" x14ac:dyDescent="0.25"/>
    <row r="4" spans="2:11" ht="16.5" thickBot="1" x14ac:dyDescent="0.3">
      <c r="B4" s="219"/>
      <c r="C4" s="220"/>
      <c r="D4" s="221"/>
      <c r="E4" s="239" t="s">
        <v>111</v>
      </c>
      <c r="F4" s="239"/>
      <c r="G4" s="240"/>
      <c r="H4" s="113"/>
      <c r="I4" s="225" t="s">
        <v>134</v>
      </c>
      <c r="J4" s="226"/>
      <c r="K4" s="227"/>
    </row>
    <row r="5" spans="2:11" ht="16.5" thickBot="1" x14ac:dyDescent="0.3">
      <c r="B5" s="116"/>
      <c r="C5" s="115"/>
      <c r="D5" s="117"/>
      <c r="E5" s="237" t="s">
        <v>125</v>
      </c>
      <c r="F5" s="223"/>
      <c r="G5" s="238"/>
      <c r="H5" s="59"/>
      <c r="I5" s="234" t="s">
        <v>126</v>
      </c>
      <c r="J5" s="235"/>
      <c r="K5" s="236"/>
    </row>
    <row r="6" spans="2:11" ht="33.75" customHeight="1" x14ac:dyDescent="0.25">
      <c r="B6" s="222" t="s">
        <v>201</v>
      </c>
      <c r="C6" s="223"/>
      <c r="D6" s="224"/>
      <c r="E6" s="241" t="s">
        <v>96</v>
      </c>
      <c r="F6" s="242"/>
      <c r="G6" s="243"/>
      <c r="H6" s="59"/>
      <c r="I6" s="228" t="s">
        <v>202</v>
      </c>
      <c r="J6" s="229"/>
      <c r="K6" s="230"/>
    </row>
    <row r="7" spans="2:11" ht="26.25" customHeight="1" x14ac:dyDescent="0.2">
      <c r="B7" s="108" t="s">
        <v>88</v>
      </c>
      <c r="C7" s="118" t="s">
        <v>75</v>
      </c>
      <c r="D7" s="96"/>
      <c r="E7" s="231" t="s">
        <v>130</v>
      </c>
      <c r="F7" s="232"/>
      <c r="G7" s="233"/>
      <c r="H7" s="59"/>
      <c r="I7" s="231" t="s">
        <v>131</v>
      </c>
      <c r="J7" s="232"/>
      <c r="K7" s="233"/>
    </row>
    <row r="8" spans="2:11" x14ac:dyDescent="0.2">
      <c r="B8" s="108" t="s">
        <v>65</v>
      </c>
      <c r="C8" s="46"/>
      <c r="D8" s="93"/>
      <c r="E8" s="97"/>
      <c r="F8" s="98"/>
      <c r="G8" s="89"/>
      <c r="H8" s="59"/>
      <c r="I8" s="88"/>
      <c r="J8" s="82"/>
      <c r="K8" s="89"/>
    </row>
    <row r="9" spans="2:11" x14ac:dyDescent="0.2">
      <c r="B9" s="100" t="s">
        <v>79</v>
      </c>
      <c r="C9" s="46" t="s">
        <v>89</v>
      </c>
      <c r="D9" s="94"/>
      <c r="E9" s="99"/>
      <c r="F9" s="84">
        <v>23.16</v>
      </c>
      <c r="G9" s="89"/>
      <c r="H9" s="59"/>
      <c r="I9" s="86"/>
      <c r="J9" s="81">
        <f>'2015 RRRP Rate Design'!I19</f>
        <v>24.030816000000002</v>
      </c>
      <c r="K9" s="87"/>
    </row>
    <row r="10" spans="2:11" x14ac:dyDescent="0.2">
      <c r="B10" s="100" t="s">
        <v>90</v>
      </c>
      <c r="C10" s="46" t="s">
        <v>91</v>
      </c>
      <c r="D10" s="95"/>
      <c r="E10" s="99"/>
      <c r="F10" s="83">
        <v>3.2500000000000001E-2</v>
      </c>
      <c r="G10" s="89"/>
      <c r="H10" s="59"/>
      <c r="I10" s="88"/>
      <c r="J10" s="83">
        <f>'2015 RRRP Rate Design'!J19</f>
        <v>3.3722000000000002E-2</v>
      </c>
      <c r="K10" s="89"/>
    </row>
    <row r="11" spans="2:11" x14ac:dyDescent="0.2">
      <c r="B11" s="100"/>
      <c r="C11" s="46"/>
      <c r="D11" s="93"/>
      <c r="E11" s="97"/>
      <c r="F11" s="82"/>
      <c r="G11" s="89"/>
      <c r="H11" s="59"/>
      <c r="I11" s="88"/>
      <c r="J11" s="82"/>
      <c r="K11" s="89"/>
    </row>
    <row r="12" spans="2:11" x14ac:dyDescent="0.2">
      <c r="B12" s="108" t="s">
        <v>66</v>
      </c>
      <c r="C12" s="46"/>
      <c r="D12" s="93"/>
      <c r="E12" s="97"/>
      <c r="F12" s="82"/>
      <c r="G12" s="89"/>
      <c r="H12" s="59"/>
      <c r="I12" s="88"/>
      <c r="J12" s="82"/>
      <c r="K12" s="89"/>
    </row>
    <row r="13" spans="2:11" x14ac:dyDescent="0.2">
      <c r="B13" s="100" t="s">
        <v>79</v>
      </c>
      <c r="C13" s="46" t="s">
        <v>89</v>
      </c>
      <c r="D13" s="94"/>
      <c r="E13" s="99"/>
      <c r="F13" s="85">
        <v>596.12</v>
      </c>
      <c r="G13" s="89"/>
      <c r="H13" s="59"/>
      <c r="I13" s="88"/>
      <c r="J13" s="84">
        <f>'2015 RRRP Rate Design'!I21</f>
        <v>596.12</v>
      </c>
      <c r="K13" s="89"/>
    </row>
    <row r="14" spans="2:11" x14ac:dyDescent="0.2">
      <c r="B14" s="100" t="s">
        <v>90</v>
      </c>
      <c r="C14" s="46" t="s">
        <v>92</v>
      </c>
      <c r="D14" s="95"/>
      <c r="E14" s="99"/>
      <c r="F14" s="83">
        <v>3.0886999999999998</v>
      </c>
      <c r="G14" s="89"/>
      <c r="H14" s="59"/>
      <c r="I14" s="88"/>
      <c r="J14" s="83">
        <f>'2015 RRRP Rate Design'!J21</f>
        <v>3.272450354015596</v>
      </c>
      <c r="K14" s="89"/>
    </row>
    <row r="15" spans="2:11" x14ac:dyDescent="0.2">
      <c r="B15" s="100"/>
      <c r="C15" s="46"/>
      <c r="D15" s="93"/>
      <c r="E15" s="97"/>
      <c r="F15" s="82"/>
      <c r="G15" s="89"/>
      <c r="H15" s="59"/>
      <c r="I15" s="88"/>
      <c r="J15" s="82"/>
      <c r="K15" s="89"/>
    </row>
    <row r="16" spans="2:11" x14ac:dyDescent="0.2">
      <c r="B16" s="108" t="s">
        <v>14</v>
      </c>
      <c r="C16" s="46"/>
      <c r="D16" s="93"/>
      <c r="E16" s="97"/>
      <c r="F16" s="82"/>
      <c r="G16" s="89"/>
      <c r="H16" s="59"/>
      <c r="I16" s="88"/>
      <c r="J16" s="82"/>
      <c r="K16" s="89"/>
    </row>
    <row r="17" spans="2:11" x14ac:dyDescent="0.2">
      <c r="B17" s="100" t="s">
        <v>79</v>
      </c>
      <c r="C17" s="46" t="s">
        <v>89</v>
      </c>
      <c r="D17" s="94"/>
      <c r="E17" s="99"/>
      <c r="F17" s="85">
        <v>26.75</v>
      </c>
      <c r="G17" s="89"/>
      <c r="H17" s="59"/>
      <c r="I17" s="88"/>
      <c r="J17" s="85">
        <f>'2015 Non-RRRP Rate Design'!I8</f>
        <v>26.75</v>
      </c>
      <c r="K17" s="89"/>
    </row>
    <row r="18" spans="2:11" x14ac:dyDescent="0.2">
      <c r="B18" s="100" t="s">
        <v>90</v>
      </c>
      <c r="C18" s="46" t="s">
        <v>91</v>
      </c>
      <c r="D18" s="95"/>
      <c r="E18" s="99"/>
      <c r="F18" s="83">
        <v>0.10290000000000001</v>
      </c>
      <c r="G18" s="89"/>
      <c r="H18" s="59"/>
      <c r="I18" s="88"/>
      <c r="J18" s="83">
        <f>'2015 Non-RRRP Rate Design'!J8</f>
        <v>0.13229857056540295</v>
      </c>
      <c r="K18" s="89"/>
    </row>
    <row r="19" spans="2:11" x14ac:dyDescent="0.2">
      <c r="B19" s="100"/>
      <c r="C19" s="46"/>
      <c r="D19" s="93"/>
      <c r="E19" s="97"/>
      <c r="F19" s="82"/>
      <c r="G19" s="89"/>
      <c r="H19" s="59"/>
      <c r="I19" s="88"/>
      <c r="J19" s="82"/>
      <c r="K19" s="89"/>
    </row>
    <row r="20" spans="2:11" x14ac:dyDescent="0.2">
      <c r="B20" s="108" t="s">
        <v>67</v>
      </c>
      <c r="C20" s="46"/>
      <c r="D20" s="93"/>
      <c r="E20" s="97"/>
      <c r="F20" s="82"/>
      <c r="G20" s="89"/>
      <c r="H20" s="59"/>
      <c r="I20" s="88"/>
      <c r="J20" s="82"/>
      <c r="K20" s="89"/>
    </row>
    <row r="21" spans="2:11" x14ac:dyDescent="0.2">
      <c r="B21" s="121" t="s">
        <v>79</v>
      </c>
      <c r="C21" s="46" t="s">
        <v>89</v>
      </c>
      <c r="D21" s="94"/>
      <c r="E21" s="99"/>
      <c r="F21" s="85">
        <v>0.98</v>
      </c>
      <c r="G21" s="89"/>
      <c r="H21" s="59"/>
      <c r="I21" s="88"/>
      <c r="J21" s="85">
        <f>'2015 Non-RRRP Rate Design'!I10</f>
        <v>0.98</v>
      </c>
      <c r="K21" s="89"/>
    </row>
    <row r="22" spans="2:11" x14ac:dyDescent="0.2">
      <c r="B22" s="100" t="s">
        <v>90</v>
      </c>
      <c r="C22" s="46" t="s">
        <v>91</v>
      </c>
      <c r="D22" s="95"/>
      <c r="E22" s="99"/>
      <c r="F22" s="83">
        <v>0.15790000000000001</v>
      </c>
      <c r="G22" s="89"/>
      <c r="H22" s="59"/>
      <c r="I22" s="88"/>
      <c r="J22" s="83">
        <f>'2015 Non-RRRP Rate Design'!J10</f>
        <v>0.1849014715108655</v>
      </c>
      <c r="K22" s="89"/>
    </row>
    <row r="23" spans="2:11" ht="12" customHeight="1" x14ac:dyDescent="0.2">
      <c r="B23" s="100"/>
      <c r="C23" s="46"/>
      <c r="D23" s="93"/>
      <c r="E23" s="97"/>
      <c r="F23" s="82"/>
      <c r="G23" s="89"/>
      <c r="H23" s="59"/>
      <c r="I23" s="88"/>
      <c r="J23" s="82"/>
      <c r="K23" s="89"/>
    </row>
    <row r="24" spans="2:11" ht="13.5" thickBot="1" x14ac:dyDescent="0.25">
      <c r="B24" s="109" t="s">
        <v>97</v>
      </c>
      <c r="C24" s="110" t="s">
        <v>89</v>
      </c>
      <c r="D24" s="111"/>
      <c r="E24" s="112"/>
      <c r="F24" s="91">
        <v>12117516</v>
      </c>
      <c r="G24" s="92"/>
      <c r="H24" s="114"/>
      <c r="I24" s="90"/>
      <c r="J24" s="91">
        <f>'2015 RRRP Rate Design'!M25</f>
        <v>14515412.139801968</v>
      </c>
      <c r="K24" s="92"/>
    </row>
    <row r="26" spans="2:11" x14ac:dyDescent="0.2">
      <c r="G26" s="58"/>
    </row>
    <row r="27" spans="2:11" x14ac:dyDescent="0.2">
      <c r="B27" s="77"/>
      <c r="G27" s="78"/>
    </row>
  </sheetData>
  <mergeCells count="11">
    <mergeCell ref="I7:K7"/>
    <mergeCell ref="I5:K5"/>
    <mergeCell ref="E5:G5"/>
    <mergeCell ref="E7:G7"/>
    <mergeCell ref="E4:G4"/>
    <mergeCell ref="E6:G6"/>
    <mergeCell ref="B2:K2"/>
    <mergeCell ref="B4:D4"/>
    <mergeCell ref="B6:D6"/>
    <mergeCell ref="I4:K4"/>
    <mergeCell ref="I6:K6"/>
  </mergeCells>
  <phoneticPr fontId="2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workbookViewId="0">
      <selection activeCell="M9" sqref="M9"/>
    </sheetView>
  </sheetViews>
  <sheetFormatPr defaultRowHeight="12.75" x14ac:dyDescent="0.2"/>
  <cols>
    <col min="1" max="1" width="3.42578125" customWidth="1"/>
    <col min="2" max="2" width="32" customWidth="1"/>
    <col min="3" max="3" width="12.42578125" customWidth="1"/>
    <col min="4" max="4" width="13" customWidth="1"/>
    <col min="5" max="5" width="12.7109375" customWidth="1"/>
    <col min="6" max="7" width="12" customWidth="1"/>
    <col min="8" max="8" width="13.42578125" customWidth="1"/>
    <col min="9" max="9" width="12.5703125" customWidth="1"/>
  </cols>
  <sheetData>
    <row r="2" spans="2:9" x14ac:dyDescent="0.2">
      <c r="B2" s="250" t="s">
        <v>214</v>
      </c>
      <c r="C2" s="250"/>
      <c r="D2" s="250"/>
      <c r="E2" s="250"/>
      <c r="F2" s="250"/>
      <c r="G2" s="250"/>
      <c r="H2" s="250"/>
      <c r="I2" s="250"/>
    </row>
    <row r="4" spans="2:9" ht="45" x14ac:dyDescent="0.2">
      <c r="B4" s="163" t="s">
        <v>135</v>
      </c>
      <c r="C4" s="164" t="s">
        <v>136</v>
      </c>
      <c r="D4" s="164" t="s">
        <v>137</v>
      </c>
      <c r="E4" s="164" t="s">
        <v>138</v>
      </c>
      <c r="F4" s="165" t="s">
        <v>139</v>
      </c>
      <c r="G4" s="165" t="s">
        <v>140</v>
      </c>
      <c r="H4" s="165" t="s">
        <v>141</v>
      </c>
      <c r="I4" s="165" t="s">
        <v>142</v>
      </c>
    </row>
    <row r="5" spans="2:9" ht="15" x14ac:dyDescent="0.2">
      <c r="B5" s="244" t="s">
        <v>143</v>
      </c>
      <c r="C5" s="245"/>
      <c r="D5" s="245"/>
      <c r="E5" s="245"/>
      <c r="F5" s="245"/>
      <c r="G5" s="245"/>
      <c r="H5" s="245"/>
      <c r="I5" s="246"/>
    </row>
    <row r="6" spans="2:9" ht="15" x14ac:dyDescent="0.2">
      <c r="B6" s="126" t="s">
        <v>144</v>
      </c>
      <c r="C6" s="127">
        <v>8031</v>
      </c>
      <c r="D6" s="127">
        <v>8082</v>
      </c>
      <c r="E6" s="127">
        <v>8166</v>
      </c>
      <c r="F6" s="127">
        <v>8306</v>
      </c>
      <c r="G6" s="127">
        <v>8306</v>
      </c>
      <c r="H6" s="127">
        <v>8432</v>
      </c>
      <c r="I6" s="127">
        <v>8559</v>
      </c>
    </row>
    <row r="7" spans="2:9" ht="15" x14ac:dyDescent="0.2">
      <c r="B7" s="126" t="s">
        <v>145</v>
      </c>
      <c r="C7" s="127">
        <v>3538</v>
      </c>
      <c r="D7" s="127">
        <v>3453</v>
      </c>
      <c r="E7" s="127">
        <v>3405</v>
      </c>
      <c r="F7" s="127">
        <v>3298</v>
      </c>
      <c r="G7" s="127">
        <v>3298</v>
      </c>
      <c r="H7" s="127">
        <v>3191</v>
      </c>
      <c r="I7" s="127">
        <v>3084</v>
      </c>
    </row>
    <row r="8" spans="2:9" ht="15" x14ac:dyDescent="0.2">
      <c r="B8" s="126" t="s">
        <v>146</v>
      </c>
      <c r="C8" s="127">
        <v>43</v>
      </c>
      <c r="D8" s="127">
        <v>46</v>
      </c>
      <c r="E8" s="127">
        <v>49</v>
      </c>
      <c r="F8" s="127">
        <v>50</v>
      </c>
      <c r="G8" s="127">
        <v>50</v>
      </c>
      <c r="H8" s="127">
        <v>50</v>
      </c>
      <c r="I8" s="127">
        <v>50</v>
      </c>
    </row>
    <row r="9" spans="2:9" ht="15" x14ac:dyDescent="0.2">
      <c r="B9" s="126" t="s">
        <v>147</v>
      </c>
      <c r="C9" s="127">
        <v>1052</v>
      </c>
      <c r="D9" s="127">
        <v>1052</v>
      </c>
      <c r="E9" s="128">
        <v>1018</v>
      </c>
      <c r="F9" s="127">
        <v>1018</v>
      </c>
      <c r="G9" s="127">
        <v>1018</v>
      </c>
      <c r="H9" s="127">
        <v>1018</v>
      </c>
      <c r="I9" s="127">
        <v>1018</v>
      </c>
    </row>
    <row r="10" spans="2:9" ht="15" x14ac:dyDescent="0.2">
      <c r="B10" s="126" t="s">
        <v>148</v>
      </c>
      <c r="C10" s="129">
        <v>12664</v>
      </c>
      <c r="D10" s="129">
        <v>12633</v>
      </c>
      <c r="E10" s="129">
        <v>12638</v>
      </c>
      <c r="F10" s="129">
        <v>12672</v>
      </c>
      <c r="G10" s="129">
        <v>12672</v>
      </c>
      <c r="H10" s="129">
        <v>12691</v>
      </c>
      <c r="I10" s="129">
        <v>12711</v>
      </c>
    </row>
    <row r="11" spans="2:9" x14ac:dyDescent="0.2">
      <c r="B11" s="52"/>
      <c r="C11" s="52"/>
      <c r="D11" s="52"/>
      <c r="E11" s="52"/>
      <c r="F11" s="52"/>
      <c r="G11" s="52"/>
      <c r="H11" s="52"/>
      <c r="I11" s="52"/>
    </row>
    <row r="12" spans="2:9" ht="15" x14ac:dyDescent="0.2">
      <c r="B12" s="244" t="s">
        <v>149</v>
      </c>
      <c r="C12" s="245"/>
      <c r="D12" s="245"/>
      <c r="E12" s="245"/>
      <c r="F12" s="245"/>
      <c r="G12" s="245"/>
      <c r="H12" s="245"/>
      <c r="I12" s="246"/>
    </row>
    <row r="13" spans="2:9" ht="45" x14ac:dyDescent="0.2">
      <c r="B13" s="123"/>
      <c r="C13" s="124" t="s">
        <v>136</v>
      </c>
      <c r="D13" s="124" t="s">
        <v>137</v>
      </c>
      <c r="E13" s="124" t="s">
        <v>138</v>
      </c>
      <c r="F13" s="125" t="s">
        <v>139</v>
      </c>
      <c r="G13" s="125" t="s">
        <v>140</v>
      </c>
      <c r="H13" s="125" t="s">
        <v>141</v>
      </c>
      <c r="I13" s="125" t="s">
        <v>142</v>
      </c>
    </row>
    <row r="14" spans="2:9" ht="15" x14ac:dyDescent="0.2">
      <c r="B14" s="126" t="s">
        <v>144</v>
      </c>
      <c r="C14" s="127">
        <v>98515494</v>
      </c>
      <c r="D14" s="127">
        <v>103344412</v>
      </c>
      <c r="E14" s="127">
        <v>103512450</v>
      </c>
      <c r="F14" s="127">
        <v>106250425</v>
      </c>
      <c r="G14" s="127">
        <v>104788841</v>
      </c>
      <c r="H14" s="127">
        <v>104839037</v>
      </c>
      <c r="I14" s="127">
        <v>104826589.3</v>
      </c>
    </row>
    <row r="15" spans="2:9" ht="15" x14ac:dyDescent="0.2">
      <c r="B15" s="126" t="s">
        <v>145</v>
      </c>
      <c r="C15" s="127">
        <v>11130245</v>
      </c>
      <c r="D15" s="127">
        <v>10087145</v>
      </c>
      <c r="E15" s="127">
        <v>10136343</v>
      </c>
      <c r="F15" s="127">
        <v>8458860</v>
      </c>
      <c r="G15" s="127">
        <v>8342500</v>
      </c>
      <c r="H15" s="127">
        <v>8025496</v>
      </c>
      <c r="I15" s="127">
        <v>7680066</v>
      </c>
    </row>
    <row r="16" spans="2:9" ht="15" x14ac:dyDescent="0.2">
      <c r="B16" s="126" t="s">
        <v>146</v>
      </c>
      <c r="C16" s="127">
        <v>70938155</v>
      </c>
      <c r="D16" s="127">
        <v>75394032</v>
      </c>
      <c r="E16" s="127">
        <v>79423076</v>
      </c>
      <c r="F16" s="127">
        <v>83700857</v>
      </c>
      <c r="G16" s="127">
        <v>83416121</v>
      </c>
      <c r="H16" s="127">
        <v>83425900</v>
      </c>
      <c r="I16" s="127">
        <v>83171116.299999997</v>
      </c>
    </row>
    <row r="17" spans="2:9" ht="15" x14ac:dyDescent="0.2">
      <c r="B17" s="126" t="s">
        <v>150</v>
      </c>
      <c r="C17" s="127">
        <v>721376</v>
      </c>
      <c r="D17" s="127">
        <v>523958</v>
      </c>
      <c r="E17" s="128">
        <v>728404</v>
      </c>
      <c r="F17" s="127">
        <v>807250</v>
      </c>
      <c r="G17" s="127">
        <v>807250</v>
      </c>
      <c r="H17" s="127">
        <v>807250</v>
      </c>
      <c r="I17" s="127">
        <v>804690</v>
      </c>
    </row>
    <row r="18" spans="2:9" ht="15" x14ac:dyDescent="0.25">
      <c r="B18" s="126" t="s">
        <v>148</v>
      </c>
      <c r="C18" s="130">
        <v>181305270</v>
      </c>
      <c r="D18" s="130">
        <v>189349547</v>
      </c>
      <c r="E18" s="130">
        <v>193800273</v>
      </c>
      <c r="F18" s="130">
        <v>199217392</v>
      </c>
      <c r="G18" s="130">
        <v>197354712</v>
      </c>
      <c r="H18" s="130">
        <v>197097683</v>
      </c>
      <c r="I18" s="130">
        <v>196482461.59999999</v>
      </c>
    </row>
    <row r="19" spans="2:9" x14ac:dyDescent="0.2">
      <c r="B19" s="52"/>
      <c r="C19" s="52"/>
      <c r="D19" s="52"/>
      <c r="E19" s="52"/>
      <c r="F19" s="52"/>
      <c r="G19" s="52"/>
      <c r="H19" s="52"/>
      <c r="I19" s="52"/>
    </row>
    <row r="20" spans="2:9" ht="15" x14ac:dyDescent="0.2">
      <c r="B20" s="244" t="s">
        <v>151</v>
      </c>
      <c r="C20" s="245"/>
      <c r="D20" s="245"/>
      <c r="E20" s="245"/>
      <c r="F20" s="245"/>
      <c r="G20" s="245"/>
      <c r="H20" s="245"/>
      <c r="I20" s="246"/>
    </row>
    <row r="21" spans="2:9" ht="45" x14ac:dyDescent="0.2">
      <c r="B21" s="123"/>
      <c r="C21" s="124" t="s">
        <v>136</v>
      </c>
      <c r="D21" s="124" t="s">
        <v>137</v>
      </c>
      <c r="E21" s="124" t="s">
        <v>138</v>
      </c>
      <c r="F21" s="125" t="s">
        <v>139</v>
      </c>
      <c r="G21" s="125" t="s">
        <v>140</v>
      </c>
      <c r="H21" s="125" t="s">
        <v>141</v>
      </c>
      <c r="I21" s="125" t="s">
        <v>142</v>
      </c>
    </row>
    <row r="22" spans="2:9" ht="15" x14ac:dyDescent="0.2">
      <c r="B22" s="126" t="s">
        <v>144</v>
      </c>
      <c r="C22" s="131"/>
      <c r="D22" s="131"/>
      <c r="E22" s="131"/>
      <c r="F22" s="131"/>
      <c r="G22" s="131"/>
      <c r="H22" s="131"/>
      <c r="I22" s="131"/>
    </row>
    <row r="23" spans="2:9" ht="15" x14ac:dyDescent="0.2">
      <c r="B23" s="126" t="s">
        <v>145</v>
      </c>
      <c r="C23" s="131"/>
      <c r="D23" s="131"/>
      <c r="E23" s="131"/>
      <c r="F23" s="131"/>
      <c r="G23" s="131"/>
      <c r="H23" s="131"/>
      <c r="I23" s="131"/>
    </row>
    <row r="24" spans="2:9" ht="15" x14ac:dyDescent="0.2">
      <c r="B24" s="126" t="s">
        <v>146</v>
      </c>
      <c r="C24" s="127">
        <v>163570</v>
      </c>
      <c r="D24" s="127">
        <v>176514</v>
      </c>
      <c r="E24" s="127">
        <v>185948</v>
      </c>
      <c r="F24" s="127">
        <v>199530</v>
      </c>
      <c r="G24" s="127">
        <v>199530</v>
      </c>
      <c r="H24" s="127">
        <v>199530</v>
      </c>
      <c r="I24" s="127">
        <v>198897</v>
      </c>
    </row>
    <row r="25" spans="2:9" ht="15" x14ac:dyDescent="0.2">
      <c r="B25" s="126" t="s">
        <v>150</v>
      </c>
      <c r="C25" s="247" t="s">
        <v>152</v>
      </c>
      <c r="D25" s="248"/>
      <c r="E25" s="248"/>
      <c r="F25" s="248"/>
      <c r="G25" s="248"/>
      <c r="H25" s="248"/>
      <c r="I25" s="249"/>
    </row>
    <row r="26" spans="2:9" ht="15" x14ac:dyDescent="0.25">
      <c r="B26" s="126" t="s">
        <v>148</v>
      </c>
      <c r="C26" s="130">
        <v>163570</v>
      </c>
      <c r="D26" s="130">
        <v>176514</v>
      </c>
      <c r="E26" s="130">
        <v>185948</v>
      </c>
      <c r="F26" s="130">
        <v>199530</v>
      </c>
      <c r="G26" s="130">
        <v>199530</v>
      </c>
      <c r="H26" s="130">
        <v>199530</v>
      </c>
      <c r="I26" s="130">
        <v>198897</v>
      </c>
    </row>
    <row r="27" spans="2:9" x14ac:dyDescent="0.2">
      <c r="B27" s="159"/>
      <c r="C27" s="159"/>
      <c r="D27" s="159"/>
      <c r="E27" s="159"/>
      <c r="F27" s="159"/>
      <c r="G27" s="159"/>
      <c r="H27" s="159"/>
      <c r="I27" s="159"/>
    </row>
    <row r="28" spans="2:9" ht="27" customHeight="1" x14ac:dyDescent="0.2">
      <c r="B28" s="166"/>
      <c r="C28" s="167" t="s">
        <v>173</v>
      </c>
      <c r="D28" s="167" t="s">
        <v>137</v>
      </c>
      <c r="E28" s="167" t="s">
        <v>138</v>
      </c>
      <c r="F28" s="167" t="s">
        <v>174</v>
      </c>
      <c r="G28" s="168"/>
      <c r="H28" s="167" t="s">
        <v>175</v>
      </c>
      <c r="I28" s="169" t="s">
        <v>176</v>
      </c>
    </row>
    <row r="29" spans="2:9" x14ac:dyDescent="0.2">
      <c r="B29" s="160" t="s">
        <v>172</v>
      </c>
      <c r="C29" s="52"/>
      <c r="D29" s="161">
        <v>2.5000000000000001E-2</v>
      </c>
      <c r="E29" s="161">
        <v>2.81E-2</v>
      </c>
      <c r="F29" s="161">
        <v>3.7499999999999999E-2</v>
      </c>
      <c r="G29" s="162"/>
      <c r="H29" s="161">
        <v>3.7600000000000001E-2</v>
      </c>
      <c r="I29" s="161">
        <v>3.7600000000000001E-2</v>
      </c>
    </row>
    <row r="30" spans="2:9" x14ac:dyDescent="0.2">
      <c r="B30" s="159"/>
      <c r="C30" s="159"/>
      <c r="D30" s="159"/>
      <c r="E30" s="159"/>
      <c r="F30" s="159"/>
      <c r="G30" s="162"/>
      <c r="H30" s="159"/>
      <c r="I30" s="159"/>
    </row>
    <row r="31" spans="2:9" x14ac:dyDescent="0.2">
      <c r="B31" s="52" t="s">
        <v>196</v>
      </c>
      <c r="C31" s="52"/>
      <c r="D31" s="52"/>
      <c r="E31" s="52"/>
      <c r="F31" s="52"/>
      <c r="G31" s="162"/>
      <c r="H31" s="52"/>
      <c r="I31" s="52"/>
    </row>
    <row r="32" spans="2:9" ht="15" x14ac:dyDescent="0.25">
      <c r="B32" s="190" t="s">
        <v>68</v>
      </c>
      <c r="C32" s="52"/>
      <c r="D32" s="130">
        <v>115523</v>
      </c>
      <c r="E32" s="130">
        <v>118393</v>
      </c>
      <c r="F32" s="130">
        <v>123494</v>
      </c>
      <c r="G32" s="162"/>
      <c r="H32" s="130">
        <v>123494</v>
      </c>
      <c r="I32" s="130">
        <v>123494</v>
      </c>
    </row>
    <row r="33" spans="2:9" ht="15" x14ac:dyDescent="0.25">
      <c r="B33" s="190" t="s">
        <v>89</v>
      </c>
      <c r="C33" s="52"/>
      <c r="D33" s="130">
        <f>D32*0.6</f>
        <v>69313.8</v>
      </c>
      <c r="E33" s="130">
        <f>E32*0.6</f>
        <v>71035.8</v>
      </c>
      <c r="F33" s="130">
        <f>F32*0.6</f>
        <v>74096.399999999994</v>
      </c>
      <c r="G33" s="162"/>
      <c r="H33" s="130">
        <f>H32*0.6</f>
        <v>74096.399999999994</v>
      </c>
      <c r="I33" s="130">
        <f>I32*0.6</f>
        <v>74096.399999999994</v>
      </c>
    </row>
  </sheetData>
  <mergeCells count="5">
    <mergeCell ref="B5:I5"/>
    <mergeCell ref="B12:I12"/>
    <mergeCell ref="B20:I20"/>
    <mergeCell ref="C25:I25"/>
    <mergeCell ref="B2:I2"/>
  </mergeCells>
  <pageMargins left="0.7" right="0.7" top="0.75" bottom="0.75" header="0.3" footer="0.3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1"/>
  <sheetViews>
    <sheetView topLeftCell="A4" zoomScaleNormal="100" workbookViewId="0">
      <selection activeCell="B6" sqref="B6"/>
    </sheetView>
  </sheetViews>
  <sheetFormatPr defaultRowHeight="11.25" x14ac:dyDescent="0.2"/>
  <cols>
    <col min="1" max="1" width="10.5703125" style="11" customWidth="1"/>
    <col min="2" max="2" width="48.42578125" style="132" bestFit="1" customWidth="1"/>
    <col min="3" max="3" width="15.7109375" style="9" customWidth="1"/>
    <col min="4" max="5" width="15.7109375" style="133" customWidth="1"/>
    <col min="6" max="9" width="15.7109375" style="133" hidden="1" customWidth="1"/>
    <col min="10" max="10" width="15.7109375" style="133" customWidth="1"/>
    <col min="11" max="12" width="15.7109375" style="133" hidden="1" customWidth="1"/>
    <col min="13" max="14" width="15.7109375" style="132" hidden="1" customWidth="1"/>
    <col min="15" max="15" width="15.7109375" style="132" customWidth="1"/>
    <col min="16" max="23" width="15.7109375" style="132" hidden="1" customWidth="1"/>
    <col min="24" max="16384" width="9.140625" style="132"/>
  </cols>
  <sheetData>
    <row r="1" spans="1:23" s="1" customFormat="1" ht="18" x14ac:dyDescent="0.25">
      <c r="A1" s="260" t="s">
        <v>126</v>
      </c>
      <c r="B1" s="260"/>
      <c r="C1" s="260"/>
      <c r="D1" s="260"/>
      <c r="E1" s="260"/>
    </row>
    <row r="2" spans="1:23" s="1" customFormat="1" ht="20.25" x14ac:dyDescent="0.3">
      <c r="A2" s="2" t="s">
        <v>153</v>
      </c>
      <c r="B2" s="3"/>
      <c r="C2" s="4"/>
      <c r="D2" s="4"/>
      <c r="E2" s="5"/>
    </row>
    <row r="3" spans="1:23" s="1" customFormat="1" x14ac:dyDescent="0.2">
      <c r="A3" s="6"/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3" ht="15" x14ac:dyDescent="0.2">
      <c r="A4" s="8"/>
      <c r="E4" s="10"/>
      <c r="F4" s="10"/>
      <c r="G4" s="10"/>
    </row>
    <row r="5" spans="1:23" ht="12" thickBot="1" x14ac:dyDescent="0.25">
      <c r="A5" s="12"/>
      <c r="B5" s="13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23" s="135" customFormat="1" ht="12.75" x14ac:dyDescent="0.2">
      <c r="A6" s="14"/>
      <c r="B6" s="15"/>
      <c r="C6" s="1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17">
        <v>8</v>
      </c>
      <c r="L6" s="17">
        <v>9</v>
      </c>
      <c r="M6" s="17">
        <v>10</v>
      </c>
      <c r="N6" s="17">
        <v>11</v>
      </c>
      <c r="O6" s="17">
        <v>12</v>
      </c>
      <c r="P6" s="17">
        <v>13</v>
      </c>
      <c r="Q6" s="17">
        <v>14</v>
      </c>
      <c r="R6" s="17">
        <v>15</v>
      </c>
      <c r="S6" s="17">
        <v>16</v>
      </c>
      <c r="T6" s="17">
        <v>17</v>
      </c>
      <c r="U6" s="17">
        <v>18</v>
      </c>
      <c r="V6" s="17">
        <v>19</v>
      </c>
      <c r="W6" s="17">
        <v>20</v>
      </c>
    </row>
    <row r="7" spans="1:23" ht="39" thickBot="1" x14ac:dyDescent="0.25">
      <c r="A7" s="18" t="s">
        <v>1</v>
      </c>
      <c r="B7" s="19"/>
      <c r="C7" s="20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1" t="s">
        <v>13</v>
      </c>
      <c r="O7" s="21" t="s">
        <v>14</v>
      </c>
      <c r="P7" s="21" t="s">
        <v>154</v>
      </c>
      <c r="Q7" s="21" t="s">
        <v>155</v>
      </c>
      <c r="R7" s="21" t="s">
        <v>156</v>
      </c>
      <c r="S7" s="21" t="s">
        <v>157</v>
      </c>
      <c r="T7" s="21" t="s">
        <v>158</v>
      </c>
      <c r="U7" s="21" t="s">
        <v>159</v>
      </c>
      <c r="V7" s="21" t="s">
        <v>160</v>
      </c>
      <c r="W7" s="21" t="s">
        <v>161</v>
      </c>
    </row>
    <row r="8" spans="1:23" ht="12.75" x14ac:dyDescent="0.2">
      <c r="A8" s="22" t="s">
        <v>15</v>
      </c>
      <c r="B8" s="136" t="s">
        <v>162</v>
      </c>
      <c r="C8" s="23">
        <v>20356651.052299999</v>
      </c>
      <c r="D8" s="137">
        <v>14784363.6545</v>
      </c>
      <c r="E8" s="137">
        <v>3674372.8206000002</v>
      </c>
      <c r="F8" s="137">
        <v>0</v>
      </c>
      <c r="G8" s="137">
        <v>0</v>
      </c>
      <c r="H8" s="137">
        <v>0</v>
      </c>
      <c r="I8" s="137">
        <v>0</v>
      </c>
      <c r="J8" s="137">
        <v>139694.18400000001</v>
      </c>
      <c r="K8" s="137">
        <v>0</v>
      </c>
      <c r="L8" s="137">
        <v>0</v>
      </c>
      <c r="M8" s="137">
        <v>0</v>
      </c>
      <c r="N8" s="137">
        <v>0</v>
      </c>
      <c r="O8" s="137">
        <v>1758220.3931999998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  <c r="W8" s="137">
        <v>0</v>
      </c>
    </row>
    <row r="9" spans="1:23" s="140" customFormat="1" ht="12.75" x14ac:dyDescent="0.2">
      <c r="A9" s="22" t="s">
        <v>16</v>
      </c>
      <c r="B9" s="136" t="s">
        <v>17</v>
      </c>
      <c r="C9" s="138">
        <v>436757.63999999996</v>
      </c>
      <c r="D9" s="139">
        <v>272278.58463383082</v>
      </c>
      <c r="E9" s="139">
        <v>75784.086834398797</v>
      </c>
      <c r="F9" s="139">
        <v>0</v>
      </c>
      <c r="G9" s="139">
        <v>0</v>
      </c>
      <c r="H9" s="139">
        <v>0</v>
      </c>
      <c r="I9" s="139">
        <v>0</v>
      </c>
      <c r="J9" s="139">
        <v>16813.59311358058</v>
      </c>
      <c r="K9" s="139">
        <v>0</v>
      </c>
      <c r="L9" s="139">
        <v>0</v>
      </c>
      <c r="M9" s="139">
        <v>0</v>
      </c>
      <c r="N9" s="139">
        <v>0</v>
      </c>
      <c r="O9" s="139">
        <v>71881.375418189753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</row>
    <row r="10" spans="1:23" ht="13.5" thickBot="1" x14ac:dyDescent="0.25">
      <c r="A10" s="22"/>
      <c r="B10" s="136"/>
      <c r="C10" s="262" t="s">
        <v>163</v>
      </c>
      <c r="D10" s="263"/>
      <c r="E10" s="263"/>
      <c r="F10" s="264"/>
      <c r="G10" s="139"/>
      <c r="H10" s="139"/>
      <c r="I10" s="139"/>
      <c r="J10" s="139"/>
      <c r="K10" s="139"/>
      <c r="L10" s="139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s="142" customFormat="1" ht="13.5" thickBot="1" x14ac:dyDescent="0.25">
      <c r="A11" s="22"/>
      <c r="B11" s="25" t="s">
        <v>164</v>
      </c>
      <c r="C11" s="26">
        <v>20793408.692299999</v>
      </c>
      <c r="D11" s="27">
        <v>15056642.239133831</v>
      </c>
      <c r="E11" s="27">
        <v>3750156.9074343992</v>
      </c>
      <c r="F11" s="27">
        <v>0</v>
      </c>
      <c r="G11" s="27">
        <v>0</v>
      </c>
      <c r="H11" s="27">
        <v>0</v>
      </c>
      <c r="I11" s="27">
        <v>0</v>
      </c>
      <c r="J11" s="27">
        <v>156507.77711358058</v>
      </c>
      <c r="K11" s="27">
        <v>0</v>
      </c>
      <c r="L11" s="27">
        <v>0</v>
      </c>
      <c r="M11" s="27">
        <v>0</v>
      </c>
      <c r="N11" s="27">
        <v>0</v>
      </c>
      <c r="O11" s="27">
        <v>1830101.7686181895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</row>
    <row r="12" spans="1:23" ht="14.25" thickTop="1" thickBot="1" x14ac:dyDescent="0.25">
      <c r="A12" s="22"/>
      <c r="B12" s="136" t="s">
        <v>165</v>
      </c>
      <c r="C12" s="143">
        <v>1.1507998436790923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pans="1:23" ht="12.75" x14ac:dyDescent="0.2">
      <c r="A13" s="22"/>
      <c r="B13" s="136" t="s">
        <v>166</v>
      </c>
      <c r="C13" s="23">
        <v>23426430.84881667</v>
      </c>
      <c r="D13" s="137">
        <v>17013843.382493455</v>
      </c>
      <c r="E13" s="137">
        <v>4228467.6675651856</v>
      </c>
      <c r="F13" s="137">
        <v>0</v>
      </c>
      <c r="G13" s="137">
        <v>0</v>
      </c>
      <c r="H13" s="137">
        <v>0</v>
      </c>
      <c r="I13" s="137">
        <v>0</v>
      </c>
      <c r="J13" s="137">
        <v>160760.04511007835</v>
      </c>
      <c r="K13" s="137">
        <v>0</v>
      </c>
      <c r="L13" s="137">
        <v>0</v>
      </c>
      <c r="M13" s="137">
        <v>0</v>
      </c>
      <c r="N13" s="137">
        <v>0</v>
      </c>
      <c r="O13" s="137">
        <v>2023359.7536479519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</row>
    <row r="14" spans="1:23" s="140" customFormat="1" ht="13.5" thickBot="1" x14ac:dyDescent="0.25">
      <c r="A14" s="22"/>
      <c r="B14" s="136" t="s">
        <v>17</v>
      </c>
      <c r="C14" s="24">
        <v>436757.63999999996</v>
      </c>
      <c r="D14" s="141">
        <v>272278.58463383082</v>
      </c>
      <c r="E14" s="141">
        <v>75784.086834398797</v>
      </c>
      <c r="F14" s="141">
        <v>0</v>
      </c>
      <c r="G14" s="141">
        <v>0</v>
      </c>
      <c r="H14" s="141">
        <v>0</v>
      </c>
      <c r="I14" s="141">
        <v>0</v>
      </c>
      <c r="J14" s="141">
        <v>16813.59311358058</v>
      </c>
      <c r="K14" s="141">
        <v>0</v>
      </c>
      <c r="L14" s="141">
        <v>0</v>
      </c>
      <c r="M14" s="141">
        <v>0</v>
      </c>
      <c r="N14" s="141">
        <v>0</v>
      </c>
      <c r="O14" s="141">
        <v>71881.375418189753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  <c r="W14" s="141">
        <v>0</v>
      </c>
    </row>
    <row r="15" spans="1:23" s="142" customFormat="1" ht="13.5" thickBot="1" x14ac:dyDescent="0.25">
      <c r="A15" s="22"/>
      <c r="B15" s="25" t="s">
        <v>167</v>
      </c>
      <c r="C15" s="26">
        <v>23863188.488816671</v>
      </c>
      <c r="D15" s="27">
        <v>17286121.967127286</v>
      </c>
      <c r="E15" s="27">
        <v>4304251.7543995846</v>
      </c>
      <c r="F15" s="27">
        <v>0</v>
      </c>
      <c r="G15" s="27">
        <v>0</v>
      </c>
      <c r="H15" s="27">
        <v>0</v>
      </c>
      <c r="I15" s="27">
        <v>0</v>
      </c>
      <c r="J15" s="27">
        <v>177573.63822365893</v>
      </c>
      <c r="K15" s="27">
        <v>0</v>
      </c>
      <c r="L15" s="27">
        <v>0</v>
      </c>
      <c r="M15" s="27">
        <v>0</v>
      </c>
      <c r="N15" s="27">
        <v>0</v>
      </c>
      <c r="O15" s="27">
        <v>2095241.1290661416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</row>
    <row r="16" spans="1:23" ht="13.5" thickTop="1" x14ac:dyDescent="0.2">
      <c r="A16" s="22"/>
      <c r="B16" s="136"/>
      <c r="C16" s="28"/>
      <c r="D16" s="139"/>
      <c r="E16" s="139"/>
      <c r="F16" s="139"/>
      <c r="G16" s="139"/>
      <c r="H16" s="139"/>
      <c r="I16" s="139"/>
      <c r="J16" s="139"/>
      <c r="K16" s="139"/>
      <c r="L16" s="139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1:23" ht="12.75" x14ac:dyDescent="0.2">
      <c r="A17" s="22"/>
      <c r="B17" s="29" t="s">
        <v>19</v>
      </c>
      <c r="C17" s="28"/>
      <c r="D17" s="139"/>
      <c r="E17" s="139"/>
      <c r="F17" s="139"/>
      <c r="G17" s="139"/>
      <c r="H17" s="139"/>
      <c r="I17" s="139"/>
      <c r="J17" s="139"/>
      <c r="K17" s="139"/>
      <c r="L17" s="139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1:23" ht="12.75" x14ac:dyDescent="0.2">
      <c r="A18" s="22" t="s">
        <v>20</v>
      </c>
      <c r="B18" s="136" t="s">
        <v>21</v>
      </c>
      <c r="C18" s="28">
        <v>6195694.4399999995</v>
      </c>
      <c r="D18" s="139">
        <v>3922090.9080326832</v>
      </c>
      <c r="E18" s="139">
        <v>1137159.5825382455</v>
      </c>
      <c r="F18" s="139">
        <v>0</v>
      </c>
      <c r="G18" s="139">
        <v>0</v>
      </c>
      <c r="H18" s="139">
        <v>0</v>
      </c>
      <c r="I18" s="139">
        <v>0</v>
      </c>
      <c r="J18" s="139">
        <v>220322.27250743576</v>
      </c>
      <c r="K18" s="139">
        <v>0</v>
      </c>
      <c r="L18" s="139">
        <v>0</v>
      </c>
      <c r="M18" s="139">
        <v>0</v>
      </c>
      <c r="N18" s="139">
        <v>0</v>
      </c>
      <c r="O18" s="139">
        <v>916121.67692163482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</row>
    <row r="19" spans="1:23" ht="12.75" x14ac:dyDescent="0.2">
      <c r="A19" s="22" t="s">
        <v>22</v>
      </c>
      <c r="B19" s="136" t="s">
        <v>23</v>
      </c>
      <c r="C19" s="28">
        <v>2036392.2</v>
      </c>
      <c r="D19" s="139">
        <v>1507777.7390144041</v>
      </c>
      <c r="E19" s="139">
        <v>36643.730989477452</v>
      </c>
      <c r="F19" s="139">
        <v>0</v>
      </c>
      <c r="G19" s="139">
        <v>0</v>
      </c>
      <c r="H19" s="139">
        <v>0</v>
      </c>
      <c r="I19" s="139">
        <v>0</v>
      </c>
      <c r="J19" s="139">
        <v>9141.4340380565736</v>
      </c>
      <c r="K19" s="139">
        <v>0</v>
      </c>
      <c r="L19" s="139">
        <v>0</v>
      </c>
      <c r="M19" s="139">
        <v>0</v>
      </c>
      <c r="N19" s="139">
        <v>0</v>
      </c>
      <c r="O19" s="139">
        <v>482829.29595806188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</row>
    <row r="20" spans="1:23" ht="12.75" x14ac:dyDescent="0.2">
      <c r="A20" s="22" t="s">
        <v>24</v>
      </c>
      <c r="B20" s="136" t="s">
        <v>25</v>
      </c>
      <c r="C20" s="28">
        <v>4580592.120000001</v>
      </c>
      <c r="D20" s="139">
        <v>3017682.3621931537</v>
      </c>
      <c r="E20" s="139">
        <v>659673.62952616287</v>
      </c>
      <c r="F20" s="139">
        <v>0</v>
      </c>
      <c r="G20" s="139">
        <v>0</v>
      </c>
      <c r="H20" s="139">
        <v>0</v>
      </c>
      <c r="I20" s="139">
        <v>0</v>
      </c>
      <c r="J20" s="139">
        <v>128525.89408642646</v>
      </c>
      <c r="K20" s="139">
        <v>0</v>
      </c>
      <c r="L20" s="139">
        <v>0</v>
      </c>
      <c r="M20" s="139">
        <v>0</v>
      </c>
      <c r="N20" s="139">
        <v>0</v>
      </c>
      <c r="O20" s="139">
        <v>774710.23419425776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</row>
    <row r="21" spans="1:23" ht="12.75" x14ac:dyDescent="0.2">
      <c r="A21" s="22" t="s">
        <v>26</v>
      </c>
      <c r="B21" s="136" t="s">
        <v>27</v>
      </c>
      <c r="C21" s="30">
        <v>3947008.7288166666</v>
      </c>
      <c r="D21" s="145">
        <v>2535224.0581966061</v>
      </c>
      <c r="E21" s="145">
        <v>688544.45632088603</v>
      </c>
      <c r="F21" s="145">
        <v>0</v>
      </c>
      <c r="G21" s="145">
        <v>0</v>
      </c>
      <c r="H21" s="145">
        <v>0</v>
      </c>
      <c r="I21" s="145">
        <v>0</v>
      </c>
      <c r="J21" s="145">
        <v>125315.75202811896</v>
      </c>
      <c r="K21" s="145">
        <v>0</v>
      </c>
      <c r="L21" s="145">
        <v>0</v>
      </c>
      <c r="M21" s="145">
        <v>0</v>
      </c>
      <c r="N21" s="145">
        <v>0</v>
      </c>
      <c r="O21" s="145">
        <v>597924.46227105567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</row>
    <row r="22" spans="1:23" ht="12.75" x14ac:dyDescent="0.2">
      <c r="A22" s="22" t="s">
        <v>28</v>
      </c>
      <c r="B22" s="136" t="s">
        <v>29</v>
      </c>
      <c r="C22" s="28">
        <v>440336</v>
      </c>
      <c r="D22" s="139">
        <v>279964.21695183101</v>
      </c>
      <c r="E22" s="139">
        <v>81464.008679954539</v>
      </c>
      <c r="F22" s="139">
        <v>0</v>
      </c>
      <c r="G22" s="139">
        <v>0</v>
      </c>
      <c r="H22" s="139">
        <v>0</v>
      </c>
      <c r="I22" s="139">
        <v>0</v>
      </c>
      <c r="J22" s="139">
        <v>14681.98148194665</v>
      </c>
      <c r="K22" s="139">
        <v>0</v>
      </c>
      <c r="L22" s="139">
        <v>0</v>
      </c>
      <c r="M22" s="139">
        <v>0</v>
      </c>
      <c r="N22" s="139">
        <v>0</v>
      </c>
      <c r="O22" s="139">
        <v>64225.792886267765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</row>
    <row r="23" spans="1:23" s="140" customFormat="1" ht="13.5" thickBot="1" x14ac:dyDescent="0.25">
      <c r="A23" s="22" t="s">
        <v>30</v>
      </c>
      <c r="B23" s="136" t="s">
        <v>31</v>
      </c>
      <c r="C23" s="24">
        <v>2946627</v>
      </c>
      <c r="D23" s="141">
        <v>1873455.9988375308</v>
      </c>
      <c r="E23" s="141">
        <v>545138.36594007397</v>
      </c>
      <c r="F23" s="141">
        <v>0</v>
      </c>
      <c r="G23" s="141">
        <v>0</v>
      </c>
      <c r="H23" s="141">
        <v>0</v>
      </c>
      <c r="I23" s="141">
        <v>0</v>
      </c>
      <c r="J23" s="141">
        <v>98248.435395252745</v>
      </c>
      <c r="K23" s="141">
        <v>0</v>
      </c>
      <c r="L23" s="141">
        <v>0</v>
      </c>
      <c r="M23" s="141">
        <v>0</v>
      </c>
      <c r="N23" s="141">
        <v>0</v>
      </c>
      <c r="O23" s="141">
        <v>429784.19982714229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41">
        <v>0</v>
      </c>
      <c r="W23" s="141">
        <v>0</v>
      </c>
    </row>
    <row r="24" spans="1:23" s="142" customFormat="1" ht="13.5" thickBot="1" x14ac:dyDescent="0.25">
      <c r="A24" s="22"/>
      <c r="B24" s="25" t="s">
        <v>32</v>
      </c>
      <c r="C24" s="26">
        <v>20146650.488816667</v>
      </c>
      <c r="D24" s="27">
        <v>13136195.283226209</v>
      </c>
      <c r="E24" s="27">
        <v>3148623.7739948002</v>
      </c>
      <c r="F24" s="27">
        <v>0</v>
      </c>
      <c r="G24" s="27">
        <v>0</v>
      </c>
      <c r="H24" s="27">
        <v>0</v>
      </c>
      <c r="I24" s="27">
        <v>0</v>
      </c>
      <c r="J24" s="27">
        <v>596235.76953723724</v>
      </c>
      <c r="K24" s="27">
        <v>0</v>
      </c>
      <c r="L24" s="27">
        <v>0</v>
      </c>
      <c r="M24" s="27">
        <v>0</v>
      </c>
      <c r="N24" s="27">
        <v>0</v>
      </c>
      <c r="O24" s="27">
        <v>3265595.6620584205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</row>
    <row r="25" spans="1:23" s="142" customFormat="1" ht="13.5" thickTop="1" x14ac:dyDescent="0.2">
      <c r="A25" s="22"/>
      <c r="B25" s="29"/>
      <c r="C25" s="2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s="142" customFormat="1" ht="12.75" x14ac:dyDescent="0.2">
      <c r="A26" s="22"/>
      <c r="B26" s="29" t="s">
        <v>33</v>
      </c>
      <c r="C26" s="28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</row>
    <row r="27" spans="1:23" ht="12.75" x14ac:dyDescent="0.2">
      <c r="A27" s="22"/>
      <c r="B27" s="136"/>
      <c r="C27" s="28"/>
      <c r="D27" s="139"/>
      <c r="E27" s="139"/>
      <c r="F27" s="139"/>
      <c r="G27" s="139"/>
      <c r="H27" s="139"/>
      <c r="I27" s="139"/>
      <c r="J27" s="139"/>
      <c r="K27" s="139"/>
      <c r="L27" s="139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 ht="12.75" x14ac:dyDescent="0.2">
      <c r="A28" s="22" t="s">
        <v>34</v>
      </c>
      <c r="B28" s="136" t="s">
        <v>35</v>
      </c>
      <c r="C28" s="28">
        <v>3716537.9999999991</v>
      </c>
      <c r="D28" s="139">
        <v>2362962.9440738983</v>
      </c>
      <c r="E28" s="139">
        <v>687575.13328771864</v>
      </c>
      <c r="F28" s="139">
        <v>0</v>
      </c>
      <c r="G28" s="139">
        <v>0</v>
      </c>
      <c r="H28" s="139">
        <v>0</v>
      </c>
      <c r="I28" s="139">
        <v>0</v>
      </c>
      <c r="J28" s="139">
        <v>123919.32999561934</v>
      </c>
      <c r="K28" s="139">
        <v>0</v>
      </c>
      <c r="L28" s="139">
        <v>0</v>
      </c>
      <c r="M28" s="139">
        <v>0</v>
      </c>
      <c r="N28" s="139">
        <v>0</v>
      </c>
      <c r="O28" s="139">
        <v>542080.59264276328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</row>
    <row r="29" spans="1:23" ht="12.75" x14ac:dyDescent="0.2">
      <c r="A29" s="22"/>
      <c r="B29" s="136"/>
      <c r="C29" s="28"/>
      <c r="D29" s="139"/>
      <c r="E29" s="139"/>
      <c r="F29" s="139"/>
      <c r="G29" s="139"/>
      <c r="H29" s="139"/>
      <c r="I29" s="139"/>
      <c r="J29" s="139"/>
      <c r="K29" s="139"/>
      <c r="L29" s="139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1:23" ht="12.75" x14ac:dyDescent="0.2">
      <c r="A30" s="22"/>
      <c r="B30" s="29" t="s">
        <v>36</v>
      </c>
      <c r="C30" s="28">
        <v>23863188.488816667</v>
      </c>
      <c r="D30" s="146">
        <v>15499158.227300107</v>
      </c>
      <c r="E30" s="146">
        <v>3836198.9072825187</v>
      </c>
      <c r="F30" s="146">
        <v>0</v>
      </c>
      <c r="G30" s="146">
        <v>0</v>
      </c>
      <c r="H30" s="146">
        <v>0</v>
      </c>
      <c r="I30" s="146">
        <v>0</v>
      </c>
      <c r="J30" s="146">
        <v>720155.09953285661</v>
      </c>
      <c r="K30" s="146">
        <v>0</v>
      </c>
      <c r="L30" s="146">
        <v>0</v>
      </c>
      <c r="M30" s="146">
        <v>0</v>
      </c>
      <c r="N30" s="146">
        <v>0</v>
      </c>
      <c r="O30" s="146">
        <v>3807676.2547011836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0</v>
      </c>
    </row>
    <row r="31" spans="1:23" ht="12.75" x14ac:dyDescent="0.2">
      <c r="A31" s="32"/>
      <c r="B31" s="136"/>
      <c r="C31" s="251" t="s">
        <v>168</v>
      </c>
      <c r="D31" s="252"/>
      <c r="E31" s="253"/>
      <c r="F31" s="139"/>
      <c r="G31" s="139"/>
      <c r="H31" s="139"/>
      <c r="I31" s="139"/>
      <c r="J31" s="139"/>
      <c r="K31" s="139"/>
      <c r="L31" s="139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spans="1:23" ht="12.75" x14ac:dyDescent="0.2">
      <c r="A32" s="22"/>
      <c r="B32" s="136"/>
      <c r="C32" s="28"/>
      <c r="D32" s="139"/>
      <c r="E32" s="139"/>
      <c r="F32" s="139"/>
      <c r="G32" s="139"/>
      <c r="H32" s="139"/>
      <c r="I32" s="139"/>
      <c r="J32" s="139"/>
      <c r="K32" s="139"/>
      <c r="L32" s="139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1:23" ht="12.75" x14ac:dyDescent="0.2">
      <c r="A33" s="22"/>
      <c r="B33" s="136"/>
      <c r="C33" s="28"/>
      <c r="D33" s="139"/>
      <c r="E33" s="139"/>
      <c r="F33" s="139"/>
      <c r="G33" s="139"/>
      <c r="H33" s="139"/>
      <c r="I33" s="139"/>
      <c r="J33" s="139"/>
      <c r="K33" s="139"/>
      <c r="L33" s="139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3" ht="12.75" x14ac:dyDescent="0.2">
      <c r="A34" s="22"/>
      <c r="B34" s="29" t="s">
        <v>37</v>
      </c>
      <c r="C34" s="28"/>
      <c r="D34" s="139"/>
      <c r="E34" s="139"/>
      <c r="F34" s="139"/>
      <c r="G34" s="139"/>
      <c r="H34" s="139"/>
      <c r="I34" s="139"/>
      <c r="J34" s="139"/>
      <c r="K34" s="139"/>
      <c r="L34" s="139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3" ht="12.75" x14ac:dyDescent="0.2">
      <c r="A35" s="22"/>
      <c r="B35" s="29"/>
      <c r="C35" s="28"/>
      <c r="D35" s="139"/>
      <c r="E35" s="139"/>
      <c r="F35" s="139"/>
      <c r="G35" s="139"/>
      <c r="H35" s="139"/>
      <c r="I35" s="139"/>
      <c r="J35" s="139"/>
      <c r="K35" s="139"/>
      <c r="L35" s="139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spans="1:23" ht="12.75" x14ac:dyDescent="0.2">
      <c r="A36" s="22"/>
      <c r="B36" s="33" t="s">
        <v>38</v>
      </c>
      <c r="C36" s="28"/>
      <c r="D36" s="139"/>
      <c r="E36" s="139"/>
      <c r="F36" s="139"/>
      <c r="G36" s="139"/>
      <c r="H36" s="139"/>
      <c r="I36" s="139"/>
      <c r="J36" s="139"/>
      <c r="K36" s="139"/>
      <c r="L36" s="139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spans="1:23" ht="12.75" x14ac:dyDescent="0.2">
      <c r="A37" s="22" t="s">
        <v>39</v>
      </c>
      <c r="B37" s="136" t="s">
        <v>40</v>
      </c>
      <c r="C37" s="28">
        <v>123195078.22000001</v>
      </c>
      <c r="D37" s="139">
        <v>78650898.028184772</v>
      </c>
      <c r="E37" s="139">
        <v>22206085.064658273</v>
      </c>
      <c r="F37" s="139">
        <v>0</v>
      </c>
      <c r="G37" s="139">
        <v>0</v>
      </c>
      <c r="H37" s="139">
        <v>0</v>
      </c>
      <c r="I37" s="139">
        <v>0</v>
      </c>
      <c r="J37" s="139">
        <v>4091887.9487699531</v>
      </c>
      <c r="K37" s="139">
        <v>0</v>
      </c>
      <c r="L37" s="139">
        <v>0</v>
      </c>
      <c r="M37" s="139">
        <v>0</v>
      </c>
      <c r="N37" s="139">
        <v>0</v>
      </c>
      <c r="O37" s="139">
        <v>18246207.178387012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39">
        <v>0</v>
      </c>
      <c r="V37" s="139">
        <v>0</v>
      </c>
      <c r="W37" s="139">
        <v>0</v>
      </c>
    </row>
    <row r="38" spans="1:23" ht="12.75" x14ac:dyDescent="0.2">
      <c r="A38" s="22" t="s">
        <v>41</v>
      </c>
      <c r="B38" s="136" t="s">
        <v>42</v>
      </c>
      <c r="C38" s="28">
        <v>39045691.173549987</v>
      </c>
      <c r="D38" s="139">
        <v>24829387.276407842</v>
      </c>
      <c r="E38" s="139">
        <v>7213392.821268701</v>
      </c>
      <c r="F38" s="139">
        <v>0</v>
      </c>
      <c r="G38" s="139">
        <v>0</v>
      </c>
      <c r="H38" s="139">
        <v>0</v>
      </c>
      <c r="I38" s="139">
        <v>0</v>
      </c>
      <c r="J38" s="139">
        <v>1302975.8585659091</v>
      </c>
      <c r="K38" s="139">
        <v>0</v>
      </c>
      <c r="L38" s="139">
        <v>0</v>
      </c>
      <c r="M38" s="139">
        <v>0</v>
      </c>
      <c r="N38" s="139">
        <v>0</v>
      </c>
      <c r="O38" s="139">
        <v>5699935.2173075406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</row>
    <row r="39" spans="1:23" ht="12.75" x14ac:dyDescent="0.2">
      <c r="A39" s="22" t="s">
        <v>43</v>
      </c>
      <c r="B39" s="136" t="s">
        <v>44</v>
      </c>
      <c r="C39" s="30">
        <v>-67100610.85482502</v>
      </c>
      <c r="D39" s="145">
        <v>-42980092.55868794</v>
      </c>
      <c r="E39" s="145">
        <v>-11843061.231725162</v>
      </c>
      <c r="F39" s="145">
        <v>0</v>
      </c>
      <c r="G39" s="145">
        <v>0</v>
      </c>
      <c r="H39" s="145">
        <v>0</v>
      </c>
      <c r="I39" s="145">
        <v>0</v>
      </c>
      <c r="J39" s="145">
        <v>-2219985.1964004915</v>
      </c>
      <c r="K39" s="145">
        <v>0</v>
      </c>
      <c r="L39" s="145">
        <v>0</v>
      </c>
      <c r="M39" s="145">
        <v>0</v>
      </c>
      <c r="N39" s="145">
        <v>0</v>
      </c>
      <c r="O39" s="145">
        <v>-10057471.868011419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</row>
    <row r="40" spans="1:23" s="140" customFormat="1" ht="13.5" thickBot="1" x14ac:dyDescent="0.25">
      <c r="A40" s="22" t="s">
        <v>45</v>
      </c>
      <c r="B40" s="136" t="s">
        <v>46</v>
      </c>
      <c r="C40" s="34">
        <v>-521234</v>
      </c>
      <c r="D40" s="147">
        <v>-339310.98801747547</v>
      </c>
      <c r="E40" s="147">
        <v>-77450.53322931414</v>
      </c>
      <c r="F40" s="147">
        <v>0</v>
      </c>
      <c r="G40" s="147">
        <v>0</v>
      </c>
      <c r="H40" s="147">
        <v>0</v>
      </c>
      <c r="I40" s="147">
        <v>0</v>
      </c>
      <c r="J40" s="147">
        <v>-19399.022292472906</v>
      </c>
      <c r="K40" s="147">
        <v>0</v>
      </c>
      <c r="L40" s="147">
        <v>0</v>
      </c>
      <c r="M40" s="147">
        <v>0</v>
      </c>
      <c r="N40" s="147">
        <v>0</v>
      </c>
      <c r="O40" s="147">
        <v>-85073.456460737507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</row>
    <row r="41" spans="1:23" s="142" customFormat="1" ht="13.5" thickBot="1" x14ac:dyDescent="0.25">
      <c r="A41" s="22"/>
      <c r="B41" s="25" t="s">
        <v>47</v>
      </c>
      <c r="C41" s="26">
        <v>94618924.538724989</v>
      </c>
      <c r="D41" s="27">
        <v>60160881.757887192</v>
      </c>
      <c r="E41" s="27">
        <v>17498966.120972499</v>
      </c>
      <c r="F41" s="27">
        <v>0</v>
      </c>
      <c r="G41" s="27">
        <v>0</v>
      </c>
      <c r="H41" s="27">
        <v>0</v>
      </c>
      <c r="I41" s="27">
        <v>0</v>
      </c>
      <c r="J41" s="27">
        <v>3155479.5886428976</v>
      </c>
      <c r="K41" s="27">
        <v>0</v>
      </c>
      <c r="L41" s="27">
        <v>0</v>
      </c>
      <c r="M41" s="27">
        <v>0</v>
      </c>
      <c r="N41" s="27">
        <v>0</v>
      </c>
      <c r="O41" s="27">
        <v>13803597.071222398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</row>
    <row r="42" spans="1:23" s="142" customFormat="1" ht="13.5" thickTop="1" x14ac:dyDescent="0.2">
      <c r="A42" s="22"/>
      <c r="B42" s="29"/>
      <c r="C42" s="2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3" s="142" customFormat="1" ht="12.75" x14ac:dyDescent="0.2">
      <c r="A43" s="22"/>
      <c r="B43" s="29" t="s">
        <v>48</v>
      </c>
      <c r="C43" s="28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</row>
    <row r="44" spans="1:23" ht="12.75" x14ac:dyDescent="0.2">
      <c r="A44" s="22"/>
      <c r="B44" s="136"/>
      <c r="C44" s="28"/>
      <c r="D44" s="139"/>
      <c r="E44" s="139"/>
      <c r="F44" s="139"/>
      <c r="G44" s="139"/>
      <c r="H44" s="139"/>
      <c r="I44" s="139"/>
      <c r="J44" s="139"/>
      <c r="K44" s="139"/>
      <c r="L44" s="139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spans="1:23" ht="12.75" x14ac:dyDescent="0.2">
      <c r="A45" s="22"/>
      <c r="B45" s="29"/>
      <c r="C45" s="28"/>
      <c r="D45" s="139"/>
      <c r="E45" s="139"/>
      <c r="F45" s="139"/>
      <c r="G45" s="139"/>
      <c r="H45" s="139"/>
      <c r="I45" s="139"/>
      <c r="J45" s="139"/>
      <c r="K45" s="139"/>
      <c r="L45" s="139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spans="1:23" ht="12.75" x14ac:dyDescent="0.2">
      <c r="A46" s="22" t="s">
        <v>49</v>
      </c>
      <c r="B46" s="136" t="s">
        <v>50</v>
      </c>
      <c r="C46" s="28">
        <v>22937890.000000004</v>
      </c>
      <c r="D46" s="139">
        <v>12254243.562206835</v>
      </c>
      <c r="E46" s="139">
        <v>9663377.5141735431</v>
      </c>
      <c r="F46" s="139">
        <v>0</v>
      </c>
      <c r="G46" s="139">
        <v>0</v>
      </c>
      <c r="H46" s="139">
        <v>0</v>
      </c>
      <c r="I46" s="139">
        <v>0</v>
      </c>
      <c r="J46" s="139">
        <v>100840.32345590272</v>
      </c>
      <c r="K46" s="139">
        <v>0</v>
      </c>
      <c r="L46" s="139">
        <v>0</v>
      </c>
      <c r="M46" s="139">
        <v>0</v>
      </c>
      <c r="N46" s="139">
        <v>0</v>
      </c>
      <c r="O46" s="139">
        <v>919428.60016371962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  <c r="V46" s="139">
        <v>0</v>
      </c>
      <c r="W46" s="139">
        <v>0</v>
      </c>
    </row>
    <row r="47" spans="1:23" ht="12.75" x14ac:dyDescent="0.2">
      <c r="A47" s="22"/>
      <c r="B47" s="136" t="s">
        <v>51</v>
      </c>
      <c r="C47" s="28">
        <v>12812678.760000002</v>
      </c>
      <c r="D47" s="139">
        <v>8447551.0092402417</v>
      </c>
      <c r="E47" s="139">
        <v>1833476.9430538858</v>
      </c>
      <c r="F47" s="139">
        <v>0</v>
      </c>
      <c r="G47" s="139">
        <v>0</v>
      </c>
      <c r="H47" s="139">
        <v>0</v>
      </c>
      <c r="I47" s="139">
        <v>0</v>
      </c>
      <c r="J47" s="139">
        <v>357989.60063191882</v>
      </c>
      <c r="K47" s="139">
        <v>0</v>
      </c>
      <c r="L47" s="139">
        <v>0</v>
      </c>
      <c r="M47" s="139">
        <v>0</v>
      </c>
      <c r="N47" s="139">
        <v>0</v>
      </c>
      <c r="O47" s="139">
        <v>2173661.2070739544</v>
      </c>
      <c r="P47" s="139">
        <v>0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39">
        <v>0</v>
      </c>
      <c r="W47" s="139">
        <v>0</v>
      </c>
    </row>
    <row r="48" spans="1:23" ht="12.75" x14ac:dyDescent="0.2">
      <c r="A48" s="22"/>
      <c r="B48" s="148" t="s">
        <v>52</v>
      </c>
      <c r="C48" s="28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39">
        <v>0</v>
      </c>
      <c r="W48" s="139">
        <v>0</v>
      </c>
    </row>
    <row r="49" spans="1:24" ht="17.25" customHeight="1" x14ac:dyDescent="0.2">
      <c r="A49" s="22"/>
      <c r="B49" s="35" t="s">
        <v>53</v>
      </c>
      <c r="C49" s="36">
        <v>35750568.760000005</v>
      </c>
      <c r="D49" s="37">
        <v>20701794.571447074</v>
      </c>
      <c r="E49" s="37">
        <v>11496854.457227429</v>
      </c>
      <c r="F49" s="37">
        <v>0</v>
      </c>
      <c r="G49" s="37">
        <v>0</v>
      </c>
      <c r="H49" s="37">
        <v>0</v>
      </c>
      <c r="I49" s="37">
        <v>0</v>
      </c>
      <c r="J49" s="37">
        <v>458829.92408782151</v>
      </c>
      <c r="K49" s="37">
        <v>0</v>
      </c>
      <c r="L49" s="37">
        <v>0</v>
      </c>
      <c r="M49" s="37">
        <v>0</v>
      </c>
      <c r="N49" s="37">
        <v>0</v>
      </c>
      <c r="O49" s="37">
        <v>3093089.807237674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</row>
    <row r="50" spans="1:24" ht="12.75" x14ac:dyDescent="0.2">
      <c r="A50" s="22"/>
      <c r="B50" s="29"/>
      <c r="C50" s="2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spans="1:24" s="142" customFormat="1" ht="12.75" x14ac:dyDescent="0.2">
      <c r="A51" s="22"/>
      <c r="B51" s="29" t="s">
        <v>54</v>
      </c>
      <c r="C51" s="28">
        <v>4647573.9387999997</v>
      </c>
      <c r="D51" s="31">
        <v>2691233.2942881198</v>
      </c>
      <c r="E51" s="31">
        <v>1494591.0794395658</v>
      </c>
      <c r="F51" s="31">
        <v>0</v>
      </c>
      <c r="G51" s="31">
        <v>0</v>
      </c>
      <c r="H51" s="31">
        <v>0</v>
      </c>
      <c r="I51" s="31">
        <v>0</v>
      </c>
      <c r="J51" s="31">
        <v>59647.890131416796</v>
      </c>
      <c r="K51" s="31">
        <v>0</v>
      </c>
      <c r="L51" s="31">
        <v>0</v>
      </c>
      <c r="M51" s="31">
        <v>0</v>
      </c>
      <c r="N51" s="31">
        <v>0</v>
      </c>
      <c r="O51" s="31">
        <v>402101.67494089762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149"/>
    </row>
    <row r="52" spans="1:24" ht="12.75" x14ac:dyDescent="0.2">
      <c r="A52" s="22"/>
      <c r="B52" s="150"/>
      <c r="C52" s="28"/>
      <c r="D52" s="139"/>
      <c r="E52" s="139"/>
      <c r="F52" s="139"/>
      <c r="G52" s="139"/>
      <c r="H52" s="139"/>
      <c r="I52" s="139"/>
      <c r="J52" s="139"/>
      <c r="K52" s="139"/>
      <c r="L52" s="139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</row>
    <row r="53" spans="1:24" s="142" customFormat="1" ht="13.5" thickBot="1" x14ac:dyDescent="0.25">
      <c r="A53" s="22"/>
      <c r="B53" s="25" t="s">
        <v>55</v>
      </c>
      <c r="C53" s="38">
        <v>99266498.477524981</v>
      </c>
      <c r="D53" s="39">
        <v>62852115.052175313</v>
      </c>
      <c r="E53" s="39">
        <v>18993557.200412065</v>
      </c>
      <c r="F53" s="39">
        <v>0</v>
      </c>
      <c r="G53" s="39">
        <v>0</v>
      </c>
      <c r="H53" s="39">
        <v>0</v>
      </c>
      <c r="I53" s="39">
        <v>0</v>
      </c>
      <c r="J53" s="39">
        <v>3215127.4787743143</v>
      </c>
      <c r="K53" s="39">
        <v>0</v>
      </c>
      <c r="L53" s="39">
        <v>0</v>
      </c>
      <c r="M53" s="39">
        <v>0</v>
      </c>
      <c r="N53" s="39">
        <v>0</v>
      </c>
      <c r="O53" s="39">
        <v>14205698.746163296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</row>
    <row r="54" spans="1:24" s="142" customFormat="1" ht="23.25" customHeight="1" thickTop="1" x14ac:dyDescent="0.2">
      <c r="A54" s="32"/>
      <c r="B54" s="29"/>
      <c r="C54" s="254" t="s">
        <v>56</v>
      </c>
      <c r="D54" s="255"/>
      <c r="E54" s="256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4" ht="12.75" x14ac:dyDescent="0.2">
      <c r="A55" s="22"/>
      <c r="B55" s="29" t="s">
        <v>57</v>
      </c>
      <c r="C55" s="28">
        <v>39706599.391010001</v>
      </c>
      <c r="D55" s="31">
        <v>25140846.020870127</v>
      </c>
      <c r="E55" s="31">
        <v>7597422.8801648263</v>
      </c>
      <c r="F55" s="31">
        <v>0</v>
      </c>
      <c r="G55" s="31">
        <v>0</v>
      </c>
      <c r="H55" s="31">
        <v>0</v>
      </c>
      <c r="I55" s="31">
        <v>0</v>
      </c>
      <c r="J55" s="31">
        <v>1286050.9915097258</v>
      </c>
      <c r="K55" s="31">
        <v>0</v>
      </c>
      <c r="L55" s="31">
        <v>0</v>
      </c>
      <c r="M55" s="31">
        <v>0</v>
      </c>
      <c r="N55" s="31">
        <v>0</v>
      </c>
      <c r="O55" s="31">
        <v>5682279.4984653182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</row>
    <row r="56" spans="1:24" ht="12.75" x14ac:dyDescent="0.2">
      <c r="A56" s="22"/>
      <c r="B56" s="29"/>
      <c r="C56" s="2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:24" s="142" customFormat="1" ht="12.75" x14ac:dyDescent="0.2">
      <c r="A57" s="22"/>
      <c r="B57" s="29" t="s">
        <v>58</v>
      </c>
      <c r="C57" s="28">
        <v>3451398.6395520531</v>
      </c>
      <c r="D57" s="31">
        <v>4149926.6839010771</v>
      </c>
      <c r="E57" s="31">
        <v>1155627.9804047844</v>
      </c>
      <c r="F57" s="31">
        <v>0</v>
      </c>
      <c r="G57" s="31">
        <v>0</v>
      </c>
      <c r="H57" s="31">
        <v>0</v>
      </c>
      <c r="I57" s="31">
        <v>0</v>
      </c>
      <c r="J57" s="31">
        <v>-418662.13131357834</v>
      </c>
      <c r="K57" s="31">
        <v>0</v>
      </c>
      <c r="L57" s="31">
        <v>0</v>
      </c>
      <c r="M57" s="31">
        <v>0</v>
      </c>
      <c r="N57" s="31">
        <v>0</v>
      </c>
      <c r="O57" s="31">
        <v>-1435493.893440231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</row>
    <row r="58" spans="1:24" s="142" customFormat="1" ht="12.75" x14ac:dyDescent="0.2">
      <c r="A58" s="22"/>
      <c r="B58" s="29"/>
      <c r="C58" s="28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:24" s="142" customFormat="1" ht="12.75" x14ac:dyDescent="0.2">
      <c r="A59" s="22"/>
      <c r="B59" s="29" t="s">
        <v>59</v>
      </c>
      <c r="C59" s="28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</row>
    <row r="60" spans="1:24" ht="12.75" x14ac:dyDescent="0.2">
      <c r="A60" s="22"/>
      <c r="B60" s="136"/>
      <c r="C60" s="28"/>
      <c r="D60" s="139"/>
      <c r="E60" s="139"/>
      <c r="F60" s="139"/>
      <c r="G60" s="139"/>
      <c r="H60" s="139"/>
      <c r="I60" s="139"/>
      <c r="J60" s="139"/>
      <c r="K60" s="139"/>
      <c r="L60" s="139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</row>
    <row r="61" spans="1:24" ht="12.75" x14ac:dyDescent="0.2">
      <c r="A61" s="22"/>
      <c r="B61" s="25" t="s">
        <v>60</v>
      </c>
      <c r="C61" s="40">
        <v>3451398.6395520531</v>
      </c>
      <c r="D61" s="41">
        <v>4149926.6839010771</v>
      </c>
      <c r="E61" s="41">
        <v>1155627.9804047844</v>
      </c>
      <c r="F61" s="41">
        <v>0</v>
      </c>
      <c r="G61" s="41">
        <v>0</v>
      </c>
      <c r="H61" s="41">
        <v>0</v>
      </c>
      <c r="I61" s="41">
        <v>0</v>
      </c>
      <c r="J61" s="41">
        <v>-418662.13131357834</v>
      </c>
      <c r="K61" s="41">
        <v>0</v>
      </c>
      <c r="L61" s="41">
        <v>0</v>
      </c>
      <c r="M61" s="41">
        <v>0</v>
      </c>
      <c r="N61" s="41">
        <v>0</v>
      </c>
      <c r="O61" s="41">
        <v>-1435493.893440231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</row>
    <row r="62" spans="1:24" ht="12.75" x14ac:dyDescent="0.2">
      <c r="A62" s="22"/>
      <c r="B62" s="136"/>
      <c r="C62" s="28"/>
      <c r="D62" s="139"/>
      <c r="E62" s="139"/>
      <c r="F62" s="139"/>
      <c r="G62" s="139"/>
      <c r="H62" s="139"/>
      <c r="I62" s="139"/>
      <c r="J62" s="139"/>
      <c r="K62" s="139"/>
      <c r="L62" s="139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</row>
    <row r="63" spans="1:24" ht="12.75" x14ac:dyDescent="0.2">
      <c r="A63" s="22"/>
      <c r="B63" s="29" t="s">
        <v>61</v>
      </c>
      <c r="C63" s="28"/>
      <c r="D63" s="139"/>
      <c r="E63" s="139"/>
      <c r="F63" s="139"/>
      <c r="G63" s="139"/>
      <c r="H63" s="139"/>
      <c r="I63" s="139"/>
      <c r="J63" s="139"/>
      <c r="K63" s="139"/>
      <c r="L63" s="139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spans="1:24" ht="12.75" x14ac:dyDescent="0.2">
      <c r="A64" s="22"/>
      <c r="B64" s="136"/>
      <c r="C64" s="28"/>
      <c r="D64" s="139"/>
      <c r="E64" s="139"/>
      <c r="F64" s="139"/>
      <c r="G64" s="139"/>
      <c r="H64" s="139"/>
      <c r="I64" s="139"/>
      <c r="J64" s="139"/>
      <c r="K64" s="139"/>
      <c r="L64" s="139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spans="1:24" s="154" customFormat="1" ht="12.75" x14ac:dyDescent="0.2">
      <c r="A65" s="42"/>
      <c r="B65" s="151" t="s">
        <v>169</v>
      </c>
      <c r="C65" s="43">
        <v>1.0000000000000002</v>
      </c>
      <c r="D65" s="152">
        <v>1.115294244604822</v>
      </c>
      <c r="E65" s="152">
        <v>1.1220095355922575</v>
      </c>
      <c r="F65" s="152" t="s">
        <v>62</v>
      </c>
      <c r="G65" s="152" t="s">
        <v>62</v>
      </c>
      <c r="H65" s="152" t="s">
        <v>62</v>
      </c>
      <c r="I65" s="152" t="s">
        <v>62</v>
      </c>
      <c r="J65" s="152">
        <v>0.24657693646666629</v>
      </c>
      <c r="K65" s="152" t="s">
        <v>62</v>
      </c>
      <c r="L65" s="152" t="s">
        <v>62</v>
      </c>
      <c r="M65" s="153" t="s">
        <v>62</v>
      </c>
      <c r="N65" s="153" t="s">
        <v>62</v>
      </c>
      <c r="O65" s="153">
        <v>0.55026766692132301</v>
      </c>
      <c r="P65" s="153" t="s">
        <v>62</v>
      </c>
      <c r="Q65" s="153" t="s">
        <v>62</v>
      </c>
      <c r="R65" s="153" t="s">
        <v>62</v>
      </c>
      <c r="S65" s="153" t="s">
        <v>62</v>
      </c>
      <c r="T65" s="153" t="s">
        <v>62</v>
      </c>
      <c r="U65" s="153" t="s">
        <v>62</v>
      </c>
      <c r="V65" s="153" t="s">
        <v>62</v>
      </c>
      <c r="W65" s="153" t="s">
        <v>62</v>
      </c>
    </row>
    <row r="66" spans="1:24" ht="12.75" x14ac:dyDescent="0.2">
      <c r="A66" s="22"/>
      <c r="B66" s="136"/>
      <c r="C66" s="28"/>
      <c r="D66" s="139"/>
      <c r="E66" s="139"/>
      <c r="F66" s="139"/>
      <c r="G66" s="139"/>
      <c r="H66" s="139"/>
      <c r="I66" s="139"/>
      <c r="J66" s="139"/>
      <c r="K66" s="139"/>
      <c r="L66" s="139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spans="1:24" ht="12.75" x14ac:dyDescent="0.2">
      <c r="A67" s="22"/>
      <c r="B67" s="136" t="s">
        <v>63</v>
      </c>
      <c r="C67" s="28">
        <v>-3069779.7965166662</v>
      </c>
      <c r="D67" s="139">
        <v>-442515.98816627637</v>
      </c>
      <c r="E67" s="139">
        <v>-86041.999848119449</v>
      </c>
      <c r="F67" s="139">
        <v>0</v>
      </c>
      <c r="G67" s="139">
        <v>0</v>
      </c>
      <c r="H67" s="139">
        <v>0</v>
      </c>
      <c r="I67" s="139">
        <v>0</v>
      </c>
      <c r="J67" s="139">
        <v>-563647.322419276</v>
      </c>
      <c r="K67" s="139">
        <v>0</v>
      </c>
      <c r="L67" s="139">
        <v>0</v>
      </c>
      <c r="M67" s="139">
        <v>0</v>
      </c>
      <c r="N67" s="139">
        <v>0</v>
      </c>
      <c r="O67" s="139">
        <v>-1977574.4860829941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</row>
    <row r="68" spans="1:24" s="142" customFormat="1" ht="23.25" customHeight="1" x14ac:dyDescent="0.2">
      <c r="A68" s="32"/>
      <c r="B68" s="29"/>
      <c r="C68" s="257" t="s">
        <v>170</v>
      </c>
      <c r="D68" s="258"/>
      <c r="E68" s="259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24" ht="12.75" x14ac:dyDescent="0.2">
      <c r="A69" s="22"/>
      <c r="B69" s="136" t="s">
        <v>171</v>
      </c>
      <c r="C69" s="28">
        <v>4.4237822294235229E-9</v>
      </c>
      <c r="D69" s="139">
        <v>1786963.7398271784</v>
      </c>
      <c r="E69" s="139">
        <v>468052.84711706592</v>
      </c>
      <c r="F69" s="139">
        <v>0</v>
      </c>
      <c r="G69" s="139">
        <v>0</v>
      </c>
      <c r="H69" s="139">
        <v>0</v>
      </c>
      <c r="I69" s="139">
        <v>0</v>
      </c>
      <c r="J69" s="139">
        <v>-542581.46130919771</v>
      </c>
      <c r="K69" s="139">
        <v>0</v>
      </c>
      <c r="L69" s="139">
        <v>0</v>
      </c>
      <c r="M69" s="139">
        <v>0</v>
      </c>
      <c r="N69" s="139">
        <v>0</v>
      </c>
      <c r="O69" s="139">
        <v>-1712435.1256350421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  <c r="X69" s="155"/>
    </row>
    <row r="70" spans="1:24" ht="12.75" x14ac:dyDescent="0.2">
      <c r="A70" s="22"/>
      <c r="B70" s="136"/>
      <c r="C70" s="28"/>
      <c r="D70" s="139"/>
      <c r="E70" s="139"/>
      <c r="F70" s="139"/>
      <c r="G70" s="139"/>
      <c r="H70" s="139"/>
      <c r="I70" s="139"/>
      <c r="J70" s="139"/>
      <c r="K70" s="139"/>
      <c r="L70" s="139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spans="1:24" ht="13.5" thickBot="1" x14ac:dyDescent="0.25">
      <c r="A71" s="22"/>
      <c r="B71" s="136" t="s">
        <v>64</v>
      </c>
      <c r="C71" s="156">
        <v>8.6922544173689345E-2</v>
      </c>
      <c r="D71" s="156">
        <v>0.16506710555627704</v>
      </c>
      <c r="E71" s="156">
        <v>0.15210789219353196</v>
      </c>
      <c r="F71" s="156" t="s">
        <v>62</v>
      </c>
      <c r="G71" s="156" t="s">
        <v>62</v>
      </c>
      <c r="H71" s="156" t="s">
        <v>62</v>
      </c>
      <c r="I71" s="156" t="s">
        <v>62</v>
      </c>
      <c r="J71" s="156">
        <v>-0.32554084875133987</v>
      </c>
      <c r="K71" s="156" t="s">
        <v>62</v>
      </c>
      <c r="L71" s="156" t="s">
        <v>62</v>
      </c>
      <c r="M71" s="156" t="s">
        <v>62</v>
      </c>
      <c r="N71" s="156" t="s">
        <v>62</v>
      </c>
      <c r="O71" s="156">
        <v>-0.25262641406990488</v>
      </c>
      <c r="P71" s="156" t="s">
        <v>62</v>
      </c>
      <c r="Q71" s="156" t="s">
        <v>62</v>
      </c>
      <c r="R71" s="156" t="s">
        <v>62</v>
      </c>
      <c r="S71" s="156" t="s">
        <v>62</v>
      </c>
      <c r="T71" s="156" t="s">
        <v>62</v>
      </c>
      <c r="U71" s="156" t="s">
        <v>62</v>
      </c>
      <c r="V71" s="156" t="s">
        <v>62</v>
      </c>
      <c r="W71" s="156" t="s">
        <v>62</v>
      </c>
    </row>
    <row r="72" spans="1:24" ht="12.75" x14ac:dyDescent="0.2">
      <c r="A72" s="157"/>
      <c r="B72" s="134"/>
    </row>
    <row r="73" spans="1:24" ht="12.75" x14ac:dyDescent="0.2">
      <c r="A73" s="157"/>
      <c r="B73" s="134"/>
    </row>
    <row r="74" spans="1:24" ht="12.75" x14ac:dyDescent="0.2">
      <c r="A74" s="157"/>
      <c r="B74" s="134"/>
    </row>
    <row r="75" spans="1:24" ht="12.75" x14ac:dyDescent="0.2">
      <c r="A75" s="157"/>
      <c r="B75" s="134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</row>
    <row r="76" spans="1:24" ht="12.75" x14ac:dyDescent="0.2">
      <c r="A76" s="157"/>
      <c r="B76" s="134"/>
    </row>
    <row r="77" spans="1:24" ht="12.75" x14ac:dyDescent="0.2">
      <c r="A77" s="157"/>
      <c r="B77" s="134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</row>
    <row r="78" spans="1:24" ht="12.75" x14ac:dyDescent="0.2">
      <c r="A78" s="157"/>
      <c r="B78" s="134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</row>
    <row r="79" spans="1:24" ht="12.75" x14ac:dyDescent="0.2">
      <c r="A79" s="157"/>
      <c r="B79" s="134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</row>
    <row r="80" spans="1:24" ht="12.75" x14ac:dyDescent="0.2">
      <c r="A80" s="157"/>
      <c r="B80" s="134"/>
    </row>
    <row r="81" spans="1:12" ht="12.75" x14ac:dyDescent="0.2">
      <c r="A81" s="157"/>
      <c r="B81" s="134"/>
    </row>
    <row r="82" spans="1:12" ht="12.75" x14ac:dyDescent="0.2">
      <c r="A82" s="157"/>
      <c r="B82" s="134"/>
    </row>
    <row r="83" spans="1:12" ht="12.75" x14ac:dyDescent="0.2">
      <c r="A83" s="157"/>
    </row>
    <row r="84" spans="1:12" ht="12.75" x14ac:dyDescent="0.2">
      <c r="A84" s="158"/>
    </row>
    <row r="85" spans="1:12" ht="12.75" x14ac:dyDescent="0.2">
      <c r="A85" s="158"/>
    </row>
    <row r="86" spans="1:12" ht="12.75" x14ac:dyDescent="0.2">
      <c r="A86" s="158"/>
    </row>
    <row r="87" spans="1:12" ht="12.75" x14ac:dyDescent="0.2">
      <c r="A87" s="158"/>
      <c r="C87" s="132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1:12" ht="12.75" x14ac:dyDescent="0.2">
      <c r="A88" s="158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2" ht="12.75" x14ac:dyDescent="0.2">
      <c r="A89" s="158"/>
      <c r="C89" s="132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1:12" ht="12.75" x14ac:dyDescent="0.2">
      <c r="A90" s="158"/>
      <c r="C90" s="132"/>
      <c r="D90" s="132"/>
      <c r="E90" s="132"/>
      <c r="F90" s="132"/>
      <c r="G90" s="132"/>
      <c r="H90" s="132"/>
      <c r="I90" s="132"/>
      <c r="J90" s="132"/>
      <c r="K90" s="132"/>
      <c r="L90" s="132"/>
    </row>
    <row r="91" spans="1:12" ht="12.75" x14ac:dyDescent="0.2">
      <c r="A91" s="158"/>
      <c r="C91" s="132"/>
      <c r="D91" s="132"/>
      <c r="E91" s="132"/>
      <c r="F91" s="132"/>
      <c r="G91" s="132"/>
      <c r="H91" s="132"/>
      <c r="I91" s="132"/>
      <c r="J91" s="132"/>
      <c r="K91" s="132"/>
      <c r="L91" s="132"/>
    </row>
    <row r="92" spans="1:12" ht="12.75" x14ac:dyDescent="0.2">
      <c r="A92" s="158"/>
      <c r="C92" s="132"/>
      <c r="D92" s="132"/>
      <c r="E92" s="132"/>
      <c r="F92" s="132"/>
      <c r="G92" s="132"/>
      <c r="H92" s="132"/>
      <c r="I92" s="132"/>
      <c r="J92" s="132"/>
      <c r="K92" s="132"/>
      <c r="L92" s="132"/>
    </row>
    <row r="93" spans="1:12" ht="12.75" x14ac:dyDescent="0.2">
      <c r="A93" s="158"/>
      <c r="C93" s="132"/>
      <c r="D93" s="132"/>
      <c r="E93" s="132"/>
      <c r="F93" s="132"/>
      <c r="G93" s="132"/>
      <c r="H93" s="132"/>
      <c r="I93" s="132"/>
      <c r="J93" s="132"/>
      <c r="K93" s="132"/>
      <c r="L93" s="132"/>
    </row>
    <row r="94" spans="1:12" ht="12.75" x14ac:dyDescent="0.2">
      <c r="A94" s="158"/>
      <c r="C94" s="132"/>
      <c r="D94" s="132"/>
      <c r="E94" s="132"/>
      <c r="F94" s="132"/>
      <c r="G94" s="132"/>
      <c r="H94" s="132"/>
      <c r="I94" s="132"/>
      <c r="J94" s="132"/>
      <c r="K94" s="132"/>
      <c r="L94" s="132"/>
    </row>
    <row r="95" spans="1:12" ht="12.75" x14ac:dyDescent="0.2">
      <c r="A95" s="158"/>
      <c r="C95" s="132"/>
      <c r="D95" s="132"/>
      <c r="E95" s="132"/>
      <c r="F95" s="132"/>
      <c r="G95" s="132"/>
      <c r="H95" s="132"/>
      <c r="I95" s="132"/>
      <c r="J95" s="132"/>
      <c r="K95" s="132"/>
      <c r="L95" s="132"/>
    </row>
    <row r="96" spans="1:12" ht="12.75" x14ac:dyDescent="0.2">
      <c r="A96" s="158"/>
      <c r="C96" s="132"/>
      <c r="D96" s="132"/>
      <c r="E96" s="132"/>
      <c r="F96" s="132"/>
      <c r="G96" s="132"/>
      <c r="H96" s="132"/>
      <c r="I96" s="132"/>
      <c r="J96" s="132"/>
      <c r="K96" s="132"/>
      <c r="L96" s="132"/>
    </row>
    <row r="97" spans="1:12" ht="12.75" x14ac:dyDescent="0.2">
      <c r="A97" s="158"/>
      <c r="C97" s="132"/>
      <c r="D97" s="132"/>
      <c r="E97" s="132"/>
      <c r="F97" s="132"/>
      <c r="G97" s="132"/>
      <c r="H97" s="132"/>
      <c r="I97" s="132"/>
      <c r="J97" s="132"/>
      <c r="K97" s="132"/>
      <c r="L97" s="132"/>
    </row>
    <row r="98" spans="1:12" ht="12.75" x14ac:dyDescent="0.2">
      <c r="A98" s="158"/>
      <c r="C98" s="132"/>
      <c r="D98" s="132"/>
      <c r="E98" s="132"/>
      <c r="F98" s="132"/>
      <c r="G98" s="132"/>
      <c r="H98" s="132"/>
      <c r="I98" s="132"/>
      <c r="J98" s="132"/>
      <c r="K98" s="132"/>
      <c r="L98" s="132"/>
    </row>
    <row r="99" spans="1:12" ht="12.75" x14ac:dyDescent="0.2">
      <c r="A99" s="158"/>
      <c r="C99" s="132"/>
      <c r="D99" s="132"/>
      <c r="E99" s="132"/>
      <c r="F99" s="132"/>
      <c r="G99" s="132"/>
      <c r="H99" s="132"/>
      <c r="I99" s="132"/>
      <c r="J99" s="132"/>
      <c r="K99" s="132"/>
      <c r="L99" s="132"/>
    </row>
    <row r="100" spans="1:12" ht="12.75" x14ac:dyDescent="0.2">
      <c r="A100" s="158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</row>
    <row r="101" spans="1:12" ht="12.75" x14ac:dyDescent="0.2">
      <c r="A101" s="158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</row>
    <row r="102" spans="1:12" ht="12.75" x14ac:dyDescent="0.2">
      <c r="A102" s="158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</row>
    <row r="103" spans="1:12" ht="12.75" x14ac:dyDescent="0.2">
      <c r="A103" s="158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</row>
    <row r="104" spans="1:12" ht="12.75" x14ac:dyDescent="0.2">
      <c r="A104" s="158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</row>
    <row r="105" spans="1:12" ht="12.75" x14ac:dyDescent="0.2">
      <c r="A105" s="158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</row>
    <row r="106" spans="1:12" ht="12.75" x14ac:dyDescent="0.2">
      <c r="A106" s="158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</row>
    <row r="107" spans="1:12" ht="12.75" x14ac:dyDescent="0.2">
      <c r="A107" s="158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</row>
    <row r="108" spans="1:12" ht="12.75" x14ac:dyDescent="0.2">
      <c r="A108" s="158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</row>
    <row r="109" spans="1:12" ht="12.75" x14ac:dyDescent="0.2">
      <c r="A109" s="158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</row>
    <row r="110" spans="1:12" ht="12.75" x14ac:dyDescent="0.2">
      <c r="A110" s="158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</row>
    <row r="111" spans="1:12" ht="12.75" x14ac:dyDescent="0.2">
      <c r="A111" s="158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</row>
  </sheetData>
  <mergeCells count="6">
    <mergeCell ref="C31:E31"/>
    <mergeCell ref="C54:E54"/>
    <mergeCell ref="C68:E68"/>
    <mergeCell ref="A1:E1"/>
    <mergeCell ref="C5:L5"/>
    <mergeCell ref="C10:F10"/>
  </mergeCells>
  <conditionalFormatting sqref="C31 C54">
    <cfRule type="cellIs" dxfId="2" priority="3" stopIfTrue="1" operator="equal">
      <formula>"Error"</formula>
    </cfRule>
  </conditionalFormatting>
  <conditionalFormatting sqref="C68">
    <cfRule type="cellIs" dxfId="1" priority="2" stopIfTrue="1" operator="equal">
      <formula>"Error"</formula>
    </cfRule>
  </conditionalFormatting>
  <conditionalFormatting sqref="C10">
    <cfRule type="cellIs" dxfId="0" priority="1" stopIfTrue="1" operator="equal">
      <formula>"Error"</formula>
    </cfRule>
  </conditionalFormatting>
  <pageMargins left="0.7" right="0.7" top="0.75" bottom="0.75" header="0.3" footer="0.3"/>
  <pageSetup scale="4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workbookViewId="0">
      <selection activeCell="G29" sqref="G29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18" t="s">
        <v>114</v>
      </c>
      <c r="C2" s="218"/>
      <c r="D2" s="218"/>
      <c r="E2" s="218"/>
      <c r="F2" s="218"/>
      <c r="G2" s="218"/>
      <c r="H2" s="218"/>
      <c r="I2" s="218"/>
      <c r="J2" s="218"/>
      <c r="K2" s="218"/>
    </row>
    <row r="3" spans="2:12" ht="8.25" customHeight="1" thickBot="1" x14ac:dyDescent="0.25"/>
    <row r="4" spans="2:12" x14ac:dyDescent="0.2">
      <c r="B4" s="268" t="s">
        <v>104</v>
      </c>
      <c r="C4" s="269"/>
      <c r="D4" s="269"/>
      <c r="E4" s="269"/>
      <c r="F4" s="269"/>
      <c r="G4" s="269"/>
      <c r="H4" s="269"/>
      <c r="I4" s="269"/>
      <c r="J4" s="269"/>
      <c r="K4" s="270"/>
    </row>
    <row r="5" spans="2:12" ht="51" x14ac:dyDescent="0.2">
      <c r="B5" s="100"/>
      <c r="C5" s="61" t="s">
        <v>98</v>
      </c>
      <c r="D5" s="61" t="s">
        <v>99</v>
      </c>
      <c r="E5" s="61" t="s">
        <v>100</v>
      </c>
      <c r="F5" s="61" t="s">
        <v>101</v>
      </c>
      <c r="G5" s="61" t="s">
        <v>106</v>
      </c>
      <c r="H5" s="61" t="s">
        <v>107</v>
      </c>
      <c r="I5" s="62" t="s">
        <v>108</v>
      </c>
      <c r="J5" s="52"/>
      <c r="K5" s="203"/>
    </row>
    <row r="6" spans="2:12" x14ac:dyDescent="0.2">
      <c r="B6" s="100" t="s">
        <v>65</v>
      </c>
      <c r="C6" s="54">
        <v>12066293</v>
      </c>
      <c r="D6" s="56">
        <f>C6/C$10</f>
        <v>0.6374815914886176</v>
      </c>
      <c r="E6" s="54">
        <v>217490</v>
      </c>
      <c r="F6" s="56">
        <f>E6/E$10</f>
        <v>0.63397627799461898</v>
      </c>
      <c r="G6" s="54">
        <f>D6*G$10</f>
        <v>12876371.457420979</v>
      </c>
      <c r="H6" s="54">
        <f>F6*H$10</f>
        <v>234623.20891280458</v>
      </c>
      <c r="I6" s="51">
        <f>G6-H6</f>
        <v>12641748.248508174</v>
      </c>
      <c r="J6" s="52"/>
      <c r="K6" s="203"/>
    </row>
    <row r="7" spans="2:12" x14ac:dyDescent="0.2">
      <c r="B7" s="100" t="s">
        <v>66</v>
      </c>
      <c r="C7" s="54">
        <v>4569290</v>
      </c>
      <c r="D7" s="56">
        <f>C7/C$10</f>
        <v>0.24140291149676418</v>
      </c>
      <c r="E7" s="54">
        <v>88133</v>
      </c>
      <c r="F7" s="56">
        <f>E7/E$10</f>
        <v>0.25690482922662999</v>
      </c>
      <c r="G7" s="54">
        <f>D7*G$10</f>
        <v>4876052.2669786895</v>
      </c>
      <c r="H7" s="54">
        <f>F7*H$10</f>
        <v>95075.853009849685</v>
      </c>
      <c r="I7" s="51">
        <f>G7-H7</f>
        <v>4780976.4139688397</v>
      </c>
      <c r="J7" s="52"/>
      <c r="K7" s="203"/>
    </row>
    <row r="8" spans="2:12" x14ac:dyDescent="0.2">
      <c r="B8" s="100" t="s">
        <v>14</v>
      </c>
      <c r="C8" s="54">
        <v>1995675</v>
      </c>
      <c r="D8" s="56">
        <f>C8/C$10</f>
        <v>0.10543470766821648</v>
      </c>
      <c r="E8" s="54">
        <v>32431</v>
      </c>
      <c r="F8" s="56">
        <f>E8/E$10</f>
        <v>9.453531045861184E-2</v>
      </c>
      <c r="G8" s="54">
        <f>D8*G$10</f>
        <v>2129655.943899971</v>
      </c>
      <c r="H8" s="54">
        <f>F8*H$10</f>
        <v>34985.816765143987</v>
      </c>
      <c r="I8" s="51">
        <f>G8-H8</f>
        <v>2094670.127134827</v>
      </c>
      <c r="J8" s="52"/>
      <c r="K8" s="203"/>
    </row>
    <row r="9" spans="2:12" x14ac:dyDescent="0.2">
      <c r="B9" s="100" t="s">
        <v>67</v>
      </c>
      <c r="C9" s="54">
        <v>296807</v>
      </c>
      <c r="D9" s="56">
        <f>C9/C$10</f>
        <v>1.5680789346401759E-2</v>
      </c>
      <c r="E9" s="54">
        <v>5003</v>
      </c>
      <c r="F9" s="56">
        <f>E9/E$10</f>
        <v>1.4583582320139218E-2</v>
      </c>
      <c r="G9" s="54">
        <f>D9*G$10</f>
        <v>316733.33170036133</v>
      </c>
      <c r="H9" s="54">
        <f>F9*H$10</f>
        <v>5397.1213122017625</v>
      </c>
      <c r="I9" s="51">
        <f>G9-H9</f>
        <v>311336.21038815955</v>
      </c>
      <c r="J9" s="52"/>
      <c r="K9" s="203"/>
    </row>
    <row r="10" spans="2:12" x14ac:dyDescent="0.2">
      <c r="B10" s="100"/>
      <c r="C10" s="51">
        <f>SUM(C6:C9)</f>
        <v>18928065</v>
      </c>
      <c r="D10" s="56">
        <f>SUM(D6:D9)</f>
        <v>1</v>
      </c>
      <c r="E10" s="51">
        <f>SUM(E6:E9)</f>
        <v>343057</v>
      </c>
      <c r="F10" s="56">
        <f>SUM(F6:F9)</f>
        <v>1</v>
      </c>
      <c r="G10" s="69">
        <v>20198813</v>
      </c>
      <c r="H10" s="69">
        <v>370082</v>
      </c>
      <c r="I10" s="51">
        <f>SUM(I6:I9)</f>
        <v>19828731</v>
      </c>
      <c r="J10" s="52"/>
      <c r="K10" s="203"/>
    </row>
    <row r="11" spans="2:12" x14ac:dyDescent="0.2">
      <c r="B11" s="302"/>
      <c r="C11" s="266"/>
      <c r="D11" s="266"/>
      <c r="E11" s="266"/>
      <c r="F11" s="266"/>
      <c r="G11" s="266"/>
      <c r="H11" s="266"/>
      <c r="I11" s="266"/>
      <c r="J11" s="266"/>
      <c r="K11" s="303"/>
    </row>
    <row r="12" spans="2:12" x14ac:dyDescent="0.2">
      <c r="B12" s="302"/>
      <c r="C12" s="266"/>
      <c r="D12" s="266"/>
      <c r="E12" s="266"/>
      <c r="F12" s="266"/>
      <c r="G12" s="266"/>
      <c r="H12" s="266"/>
      <c r="I12" s="266"/>
      <c r="J12" s="266"/>
      <c r="K12" s="303"/>
    </row>
    <row r="13" spans="2:12" x14ac:dyDescent="0.2">
      <c r="B13" s="281" t="s">
        <v>105</v>
      </c>
      <c r="C13" s="265"/>
      <c r="D13" s="265"/>
      <c r="E13" s="265"/>
      <c r="F13" s="265"/>
      <c r="G13" s="265"/>
      <c r="H13" s="265"/>
      <c r="I13" s="265"/>
      <c r="J13" s="265"/>
      <c r="K13" s="280"/>
      <c r="L13" s="60"/>
    </row>
    <row r="14" spans="2:12" ht="51" x14ac:dyDescent="0.2">
      <c r="B14" s="100"/>
      <c r="C14" s="61" t="s">
        <v>116</v>
      </c>
      <c r="D14" s="61" t="s">
        <v>102</v>
      </c>
      <c r="E14" s="63" t="s">
        <v>117</v>
      </c>
      <c r="F14" s="61" t="s">
        <v>118</v>
      </c>
      <c r="G14" s="61" t="s">
        <v>103</v>
      </c>
      <c r="H14" s="63" t="s">
        <v>119</v>
      </c>
      <c r="I14" s="64" t="s">
        <v>120</v>
      </c>
      <c r="J14" s="65" t="s">
        <v>70</v>
      </c>
      <c r="K14" s="304" t="s">
        <v>109</v>
      </c>
    </row>
    <row r="15" spans="2:12" x14ac:dyDescent="0.2">
      <c r="B15" s="100" t="s">
        <v>65</v>
      </c>
      <c r="C15" s="54">
        <f>I6</f>
        <v>12641748.248508174</v>
      </c>
      <c r="D15" s="56">
        <f>C15/C$19</f>
        <v>0.6375470144059231</v>
      </c>
      <c r="E15" s="66">
        <f>1-(E16+E17+E18)</f>
        <v>0.72757959569365926</v>
      </c>
      <c r="F15" s="54">
        <f>E15*C$19</f>
        <v>14426980.084098328</v>
      </c>
      <c r="G15" s="54">
        <f>F15-C15</f>
        <v>1785231.8355901539</v>
      </c>
      <c r="H15" s="66">
        <f>F15/C15</f>
        <v>1.1412171639947684</v>
      </c>
      <c r="I15" s="67">
        <v>1.167</v>
      </c>
      <c r="J15" s="46" t="s">
        <v>71</v>
      </c>
      <c r="K15" s="305" t="s">
        <v>86</v>
      </c>
    </row>
    <row r="16" spans="2:12" x14ac:dyDescent="0.2">
      <c r="B16" s="100" t="s">
        <v>66</v>
      </c>
      <c r="C16" s="54">
        <f>I7</f>
        <v>4780976.4139688397</v>
      </c>
      <c r="D16" s="56">
        <f>C16/C$19</f>
        <v>0.24111358482642381</v>
      </c>
      <c r="E16" s="66">
        <v>0.14418811810364002</v>
      </c>
      <c r="F16" s="54">
        <f>E16*C$19</f>
        <v>2859067.4072733079</v>
      </c>
      <c r="G16" s="54">
        <f>F16-C16</f>
        <v>-1921909.0066955318</v>
      </c>
      <c r="H16" s="66">
        <f>F16/C16</f>
        <v>0.59800910101121074</v>
      </c>
      <c r="I16" s="67">
        <v>0.39500000000000002</v>
      </c>
      <c r="J16" s="46" t="s">
        <v>72</v>
      </c>
      <c r="K16" s="306">
        <f>I16+((0.8-I16)*1/2)</f>
        <v>0.59750000000000003</v>
      </c>
    </row>
    <row r="17" spans="2:12" x14ac:dyDescent="0.2">
      <c r="B17" s="100" t="s">
        <v>14</v>
      </c>
      <c r="C17" s="54">
        <f>I8</f>
        <v>2094670.127134827</v>
      </c>
      <c r="D17" s="56">
        <f>C17/C$19</f>
        <v>0.105638133228739</v>
      </c>
      <c r="E17" s="66">
        <v>0.12148084988219474</v>
      </c>
      <c r="F17" s="54">
        <f>E17*C$19</f>
        <v>2408811.093965421</v>
      </c>
      <c r="G17" s="54">
        <f>F17-C17</f>
        <v>314140.966830594</v>
      </c>
      <c r="H17" s="66">
        <f>F17/C17</f>
        <v>1.1499715696333954</v>
      </c>
      <c r="I17" s="67">
        <v>1.4990000000000001</v>
      </c>
      <c r="J17" s="46" t="s">
        <v>71</v>
      </c>
      <c r="K17" s="305">
        <v>1.1499999999999999</v>
      </c>
    </row>
    <row r="18" spans="2:12" x14ac:dyDescent="0.2">
      <c r="B18" s="100" t="s">
        <v>67</v>
      </c>
      <c r="C18" s="54">
        <f>I9</f>
        <v>311336.21038815955</v>
      </c>
      <c r="D18" s="56">
        <f>C18/C$19</f>
        <v>1.5701267538914092E-2</v>
      </c>
      <c r="E18" s="66">
        <v>6.7514363205059469E-3</v>
      </c>
      <c r="F18" s="54">
        <f>E18*C$19</f>
        <v>133872.4146629422</v>
      </c>
      <c r="G18" s="54">
        <f>F18-C18</f>
        <v>-177463.79572521735</v>
      </c>
      <c r="H18" s="66">
        <f>F18/C18</f>
        <v>0.42999307564011358</v>
      </c>
      <c r="I18" s="67">
        <v>0.159</v>
      </c>
      <c r="J18" s="46" t="s">
        <v>73</v>
      </c>
      <c r="K18" s="306">
        <f>I18+((0.7-I18)*1/2)</f>
        <v>0.42949999999999999</v>
      </c>
    </row>
    <row r="19" spans="2:12" ht="13.5" thickBot="1" x14ac:dyDescent="0.25">
      <c r="B19" s="101"/>
      <c r="C19" s="180">
        <f>SUM(C15:C18)</f>
        <v>19828731</v>
      </c>
      <c r="D19" s="103">
        <f>SUM(D15:D18)</f>
        <v>1</v>
      </c>
      <c r="E19" s="307">
        <f>SUM(E15:E18)</f>
        <v>0.99999999999999989</v>
      </c>
      <c r="F19" s="180">
        <f>SUM(F15:F18)</f>
        <v>19828731</v>
      </c>
      <c r="G19" s="181"/>
      <c r="H19" s="308"/>
      <c r="I19" s="181"/>
      <c r="J19" s="309"/>
      <c r="K19" s="104"/>
      <c r="L19" s="59"/>
    </row>
    <row r="23" spans="2:12" x14ac:dyDescent="0.2">
      <c r="B23" s="80"/>
    </row>
    <row r="25" spans="2:12" x14ac:dyDescent="0.2">
      <c r="B25" s="80"/>
    </row>
  </sheetData>
  <mergeCells count="5">
    <mergeCell ref="B2:K2"/>
    <mergeCell ref="B4:K4"/>
    <mergeCell ref="B13:K13"/>
    <mergeCell ref="B11:K11"/>
    <mergeCell ref="B12:K1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"/>
  <sheetViews>
    <sheetView showGridLines="0" workbookViewId="0">
      <selection activeCell="G40" sqref="G40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2" customWidth="1"/>
    <col min="6" max="6" width="11.5703125" customWidth="1"/>
    <col min="7" max="7" width="10" customWidth="1"/>
    <col min="8" max="8" width="3.85546875" customWidth="1"/>
    <col min="9" max="9" width="9.7109375" customWidth="1"/>
    <col min="10" max="10" width="9.5703125" customWidth="1"/>
  </cols>
  <sheetData>
    <row r="2" spans="2:9" ht="15.75" x14ac:dyDescent="0.25">
      <c r="B2" s="267" t="s">
        <v>186</v>
      </c>
      <c r="C2" s="267"/>
      <c r="D2" s="267"/>
      <c r="E2" s="267"/>
      <c r="F2" s="267"/>
      <c r="G2" s="267"/>
      <c r="H2" s="267"/>
      <c r="I2" s="267"/>
    </row>
    <row r="3" spans="2:9" ht="6" customHeight="1" thickBot="1" x14ac:dyDescent="0.25"/>
    <row r="4" spans="2:9" x14ac:dyDescent="0.2">
      <c r="B4" s="268" t="s">
        <v>132</v>
      </c>
      <c r="C4" s="269"/>
      <c r="D4" s="269"/>
      <c r="E4" s="269"/>
      <c r="F4" s="269"/>
      <c r="G4" s="269"/>
      <c r="H4" s="269"/>
      <c r="I4" s="270"/>
    </row>
    <row r="5" spans="2:9" ht="63.75" x14ac:dyDescent="0.2">
      <c r="B5" s="108"/>
      <c r="C5" s="45" t="s">
        <v>185</v>
      </c>
      <c r="D5" s="45" t="s">
        <v>177</v>
      </c>
      <c r="E5" s="45" t="s">
        <v>178</v>
      </c>
      <c r="F5" s="45" t="s">
        <v>179</v>
      </c>
      <c r="G5" s="45" t="s">
        <v>180</v>
      </c>
      <c r="H5" s="68"/>
      <c r="I5" s="171" t="s">
        <v>184</v>
      </c>
    </row>
    <row r="6" spans="2:9" x14ac:dyDescent="0.2">
      <c r="B6" s="100" t="s">
        <v>65</v>
      </c>
      <c r="C6" s="54">
        <f>'Cost Allocation - O1'!D30</f>
        <v>15499158.227300107</v>
      </c>
      <c r="D6" s="55">
        <f>'Cost Allocation - O1'!$C$12</f>
        <v>1.1507998436790923</v>
      </c>
      <c r="E6" s="54">
        <f>'Cost Allocation - O1'!D13</f>
        <v>17013843.382493455</v>
      </c>
      <c r="F6" s="54">
        <f>'Cost Allocation - O1'!D14</f>
        <v>272278.58463383082</v>
      </c>
      <c r="G6" s="173">
        <f>(E6+F6)/C6</f>
        <v>1.115294244604822</v>
      </c>
      <c r="H6" s="51"/>
      <c r="I6" s="172" t="s">
        <v>181</v>
      </c>
    </row>
    <row r="7" spans="2:9" x14ac:dyDescent="0.2">
      <c r="B7" s="100" t="s">
        <v>66</v>
      </c>
      <c r="C7" s="54">
        <f>'Cost Allocation - O1'!E30</f>
        <v>3836198.9072825187</v>
      </c>
      <c r="D7" s="55">
        <f>'Cost Allocation - O1'!$C$12</f>
        <v>1.1507998436790923</v>
      </c>
      <c r="E7" s="54">
        <f>'Cost Allocation - O1'!E13</f>
        <v>4228467.6675651856</v>
      </c>
      <c r="F7" s="54">
        <f>'Cost Allocation - O1'!E14</f>
        <v>75784.086834398797</v>
      </c>
      <c r="G7" s="173">
        <f t="shared" ref="G7:G9" si="0">(E7+F7)/C7</f>
        <v>1.1220095355922575</v>
      </c>
      <c r="H7" s="51"/>
      <c r="I7" s="172" t="s">
        <v>182</v>
      </c>
    </row>
    <row r="8" spans="2:9" x14ac:dyDescent="0.2">
      <c r="B8" s="100" t="s">
        <v>14</v>
      </c>
      <c r="C8" s="54">
        <f>'Cost Allocation - O1'!O30</f>
        <v>3807676.2547011836</v>
      </c>
      <c r="D8" s="55">
        <f>'Cost Allocation - O1'!$C$12</f>
        <v>1.1507998436790923</v>
      </c>
      <c r="E8" s="54">
        <f>'Cost Allocation - O1'!O13</f>
        <v>2023359.7536479519</v>
      </c>
      <c r="F8" s="54">
        <f>'Cost Allocation - O1'!O14</f>
        <v>71881.375418189753</v>
      </c>
      <c r="G8" s="173">
        <f t="shared" si="0"/>
        <v>0.55026766692132301</v>
      </c>
      <c r="H8" s="51"/>
      <c r="I8" s="172" t="s">
        <v>181</v>
      </c>
    </row>
    <row r="9" spans="2:9" x14ac:dyDescent="0.2">
      <c r="B9" s="100" t="s">
        <v>67</v>
      </c>
      <c r="C9" s="54">
        <f>'Cost Allocation - O1'!J30</f>
        <v>720155.09953285661</v>
      </c>
      <c r="D9" s="55">
        <f>'Cost Allocation - O1'!$C$12</f>
        <v>1.1507998436790923</v>
      </c>
      <c r="E9" s="54">
        <f>'Cost Allocation - O1'!J13</f>
        <v>160760.04511007835</v>
      </c>
      <c r="F9" s="54">
        <f>'Cost Allocation - O1'!J14</f>
        <v>16813.59311358058</v>
      </c>
      <c r="G9" s="173">
        <f t="shared" si="0"/>
        <v>0.24657693646666629</v>
      </c>
      <c r="H9" s="51"/>
      <c r="I9" s="172" t="s">
        <v>183</v>
      </c>
    </row>
    <row r="10" spans="2:9" ht="13.5" thickBot="1" x14ac:dyDescent="0.25">
      <c r="B10" s="101"/>
      <c r="C10" s="102">
        <f>SUM(C6:C9)</f>
        <v>23863188.488816667</v>
      </c>
      <c r="D10" s="103"/>
      <c r="E10" s="102">
        <f>SUM(E6:E9)</f>
        <v>23426430.84881667</v>
      </c>
      <c r="F10" s="102">
        <f>SUM(F6:F9)</f>
        <v>436757.63999999996</v>
      </c>
      <c r="G10" s="170"/>
      <c r="H10" s="102"/>
      <c r="I10" s="104"/>
    </row>
    <row r="12" spans="2:9" x14ac:dyDescent="0.2">
      <c r="E12" s="175" t="s">
        <v>187</v>
      </c>
      <c r="F12" s="44" t="str">
        <f>IF(ABS(C10-E10-F10&lt;1),"YES","NO")</f>
        <v>YES</v>
      </c>
    </row>
  </sheetData>
  <mergeCells count="2">
    <mergeCell ref="B2:I2"/>
    <mergeCell ref="B4:I4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B2" sqref="B2:H3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4.140625" customWidth="1"/>
    <col min="6" max="6" width="12" customWidth="1"/>
    <col min="7" max="7" width="11.5703125" customWidth="1"/>
    <col min="8" max="8" width="14.140625" customWidth="1"/>
    <col min="9" max="9" width="9.5703125" customWidth="1"/>
  </cols>
  <sheetData>
    <row r="1" spans="2:8" ht="13.5" thickBot="1" x14ac:dyDescent="0.25"/>
    <row r="2" spans="2:8" ht="15.75" customHeight="1" x14ac:dyDescent="0.2">
      <c r="B2" s="271" t="s">
        <v>195</v>
      </c>
      <c r="C2" s="272"/>
      <c r="D2" s="272"/>
      <c r="E2" s="272"/>
      <c r="F2" s="272"/>
      <c r="G2" s="272"/>
      <c r="H2" s="273"/>
    </row>
    <row r="3" spans="2:8" ht="13.5" thickBot="1" x14ac:dyDescent="0.25">
      <c r="B3" s="274"/>
      <c r="C3" s="275"/>
      <c r="D3" s="275"/>
      <c r="E3" s="275"/>
      <c r="F3" s="275"/>
      <c r="G3" s="275"/>
      <c r="H3" s="276"/>
    </row>
    <row r="4" spans="2:8" ht="89.25" x14ac:dyDescent="0.2">
      <c r="B4" s="176"/>
      <c r="C4" s="177" t="s">
        <v>185</v>
      </c>
      <c r="D4" s="177" t="s">
        <v>179</v>
      </c>
      <c r="E4" s="177" t="s">
        <v>188</v>
      </c>
      <c r="F4" s="177" t="s">
        <v>178</v>
      </c>
      <c r="G4" s="177" t="s">
        <v>189</v>
      </c>
      <c r="H4" s="178" t="s">
        <v>191</v>
      </c>
    </row>
    <row r="5" spans="2:8" x14ac:dyDescent="0.2">
      <c r="B5" s="100" t="s">
        <v>65</v>
      </c>
      <c r="C5" s="54">
        <f>'Cost Allocation - O1'!D30</f>
        <v>15499158.227300107</v>
      </c>
      <c r="D5" s="54">
        <f>'Cost Allocation - O1'!D14</f>
        <v>272278.58463383082</v>
      </c>
      <c r="E5" s="54">
        <f>C5-D5</f>
        <v>15226879.642666277</v>
      </c>
      <c r="F5" s="54">
        <f>'Cost Allocation - O1'!D13</f>
        <v>17013843.382493455</v>
      </c>
      <c r="G5" s="173">
        <f>(H5+D5)/C5</f>
        <v>1.115294244604822</v>
      </c>
      <c r="H5" s="179">
        <v>17013843.382493455</v>
      </c>
    </row>
    <row r="6" spans="2:8" x14ac:dyDescent="0.2">
      <c r="B6" s="100" t="s">
        <v>66</v>
      </c>
      <c r="C6" s="54">
        <f>'Cost Allocation - O1'!E30</f>
        <v>3836198.9072825187</v>
      </c>
      <c r="D6" s="54">
        <f>'Cost Allocation - O1'!E14</f>
        <v>75784.086834398797</v>
      </c>
      <c r="E6" s="54">
        <f t="shared" ref="E6:E9" si="0">C6-D6</f>
        <v>3760414.8204481201</v>
      </c>
      <c r="F6" s="54">
        <f>'Cost Allocation - O1'!E13</f>
        <v>4228467.6675651856</v>
      </c>
      <c r="G6" s="173">
        <f t="shared" ref="G6:G8" si="1">(H6+D6)/C6</f>
        <v>1.1220095355922575</v>
      </c>
      <c r="H6" s="179">
        <v>4228467.6675651856</v>
      </c>
    </row>
    <row r="7" spans="2:8" x14ac:dyDescent="0.2">
      <c r="B7" s="100" t="s">
        <v>14</v>
      </c>
      <c r="C7" s="54">
        <f>'Cost Allocation - O1'!O30</f>
        <v>3807676.2547011836</v>
      </c>
      <c r="D7" s="54">
        <f>'Cost Allocation - O1'!O14</f>
        <v>71881.375418189753</v>
      </c>
      <c r="E7" s="54">
        <f t="shared" si="0"/>
        <v>3735794.8792829937</v>
      </c>
      <c r="F7" s="54">
        <f>'Cost Allocation - O1'!O13</f>
        <v>2023359.7536479519</v>
      </c>
      <c r="G7" s="173">
        <f t="shared" si="1"/>
        <v>0.55026766692132301</v>
      </c>
      <c r="H7" s="179">
        <v>2023359.7536479519</v>
      </c>
    </row>
    <row r="8" spans="2:8" x14ac:dyDescent="0.2">
      <c r="B8" s="100" t="s">
        <v>67</v>
      </c>
      <c r="C8" s="54">
        <f>'Cost Allocation - O1'!J30</f>
        <v>720155.09953285661</v>
      </c>
      <c r="D8" s="54">
        <f>'Cost Allocation - O1'!J14</f>
        <v>16813.59311358058</v>
      </c>
      <c r="E8" s="54">
        <f t="shared" si="0"/>
        <v>703341.506419276</v>
      </c>
      <c r="F8" s="54">
        <f>'Cost Allocation - O1'!J13</f>
        <v>160760.04511007835</v>
      </c>
      <c r="G8" s="173">
        <f t="shared" si="1"/>
        <v>0.24657693646666629</v>
      </c>
      <c r="H8" s="179">
        <v>160760.04511007835</v>
      </c>
    </row>
    <row r="9" spans="2:8" ht="13.5" thickBot="1" x14ac:dyDescent="0.25">
      <c r="B9" s="101"/>
      <c r="C9" s="102">
        <f>SUM(C5:C8)</f>
        <v>23863188.488816667</v>
      </c>
      <c r="D9" s="102">
        <f>SUM(D5:D8)</f>
        <v>436757.63999999996</v>
      </c>
      <c r="E9" s="180">
        <f t="shared" si="0"/>
        <v>23426430.848816667</v>
      </c>
      <c r="F9" s="102">
        <f>SUM(F5:F8)</f>
        <v>23426430.84881667</v>
      </c>
      <c r="G9" s="181"/>
      <c r="H9" s="182">
        <v>23426430.84881667</v>
      </c>
    </row>
    <row r="11" spans="2:8" x14ac:dyDescent="0.2">
      <c r="F11" s="175"/>
      <c r="G11" s="174" t="s">
        <v>190</v>
      </c>
      <c r="H11" s="44" t="str">
        <f>IF(H9-SUM(H5:H8)=0,"YES","NO")</f>
        <v>YES</v>
      </c>
    </row>
  </sheetData>
  <mergeCells count="1">
    <mergeCell ref="B2:H3"/>
  </mergeCells>
  <pageMargins left="0.7" right="0.7" top="0.75" bottom="0.75" header="0.3" footer="0.3"/>
  <pageSetup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workbookViewId="0">
      <selection activeCell="M24" sqref="M24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  <col min="14" max="14" width="14.140625" bestFit="1" customWidth="1"/>
  </cols>
  <sheetData>
    <row r="1" spans="2:15" ht="13.5" thickBot="1" x14ac:dyDescent="0.25"/>
    <row r="2" spans="2:15" ht="15.75" x14ac:dyDescent="0.25">
      <c r="B2" s="225" t="s">
        <v>133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7"/>
    </row>
    <row r="3" spans="2:15" ht="15.75" x14ac:dyDescent="0.25">
      <c r="B3" s="288" t="s">
        <v>121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2:15" x14ac:dyDescent="0.2">
      <c r="B4" s="184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85"/>
    </row>
    <row r="5" spans="2:15" x14ac:dyDescent="0.2">
      <c r="B5" s="281" t="s">
        <v>123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80"/>
    </row>
    <row r="6" spans="2:15" x14ac:dyDescent="0.2">
      <c r="B6" s="285" t="s">
        <v>74</v>
      </c>
      <c r="C6" s="286" t="s">
        <v>75</v>
      </c>
      <c r="D6" s="287" t="s">
        <v>76</v>
      </c>
      <c r="E6" s="265" t="s">
        <v>77</v>
      </c>
      <c r="F6" s="265"/>
      <c r="G6" s="265" t="s">
        <v>87</v>
      </c>
      <c r="H6" s="265"/>
      <c r="I6" s="265" t="s">
        <v>85</v>
      </c>
      <c r="J6" s="265"/>
      <c r="K6" s="265" t="s">
        <v>78</v>
      </c>
      <c r="L6" s="265"/>
      <c r="M6" s="265"/>
      <c r="N6" s="280"/>
    </row>
    <row r="7" spans="2:15" ht="38.25" x14ac:dyDescent="0.2">
      <c r="B7" s="285"/>
      <c r="C7" s="286"/>
      <c r="D7" s="287"/>
      <c r="E7" s="122" t="s">
        <v>69</v>
      </c>
      <c r="F7" s="122" t="s">
        <v>68</v>
      </c>
      <c r="G7" s="45" t="s">
        <v>83</v>
      </c>
      <c r="H7" s="45" t="s">
        <v>84</v>
      </c>
      <c r="I7" s="45" t="s">
        <v>79</v>
      </c>
      <c r="J7" s="45" t="s">
        <v>80</v>
      </c>
      <c r="K7" s="45" t="s">
        <v>81</v>
      </c>
      <c r="L7" s="45" t="s">
        <v>82</v>
      </c>
      <c r="M7" s="45" t="s">
        <v>18</v>
      </c>
      <c r="N7" s="186" t="s">
        <v>193</v>
      </c>
    </row>
    <row r="8" spans="2:15" x14ac:dyDescent="0.2">
      <c r="B8" s="108" t="s">
        <v>65</v>
      </c>
      <c r="C8" s="46" t="s">
        <v>69</v>
      </c>
      <c r="D8" s="47">
        <v>8039</v>
      </c>
      <c r="E8" s="54">
        <v>106119297</v>
      </c>
      <c r="F8" s="54"/>
      <c r="G8" s="56">
        <v>0.13646721756898086</v>
      </c>
      <c r="H8" s="56">
        <v>0.86353278243101916</v>
      </c>
      <c r="I8" s="57">
        <v>20.956112164144972</v>
      </c>
      <c r="J8" s="55">
        <v>0.1205452542502279</v>
      </c>
      <c r="K8" s="54">
        <v>2021594.2282507373</v>
      </c>
      <c r="L8" s="54">
        <v>12792177.637720447</v>
      </c>
      <c r="M8" s="51">
        <v>14813771.865971185</v>
      </c>
      <c r="N8" s="188">
        <f>(D8*I8*12+E8*J8+F8*J8)-M8</f>
        <v>0</v>
      </c>
    </row>
    <row r="9" spans="2:15" x14ac:dyDescent="0.2">
      <c r="B9" s="108" t="s">
        <v>66</v>
      </c>
      <c r="C9" s="46" t="s">
        <v>68</v>
      </c>
      <c r="D9" s="47">
        <v>48</v>
      </c>
      <c r="E9" s="54"/>
      <c r="F9" s="54">
        <v>151952</v>
      </c>
      <c r="G9" s="56">
        <v>0.1200968956263495</v>
      </c>
      <c r="H9" s="56">
        <v>0.87990310437365049</v>
      </c>
      <c r="I9" s="57">
        <v>612.10216090033919</v>
      </c>
      <c r="J9" s="55">
        <v>16.999769932833534</v>
      </c>
      <c r="K9" s="54">
        <v>352570.84467859537</v>
      </c>
      <c r="L9" s="54">
        <v>2583149.0408339212</v>
      </c>
      <c r="M9" s="51">
        <v>2935719.8855125164</v>
      </c>
      <c r="N9" s="188">
        <f t="shared" ref="N9:N11" si="0">(D9*I9*12+E9*J9+F9*J9)-M9</f>
        <v>0</v>
      </c>
    </row>
    <row r="10" spans="2:15" x14ac:dyDescent="0.2">
      <c r="B10" s="108" t="s">
        <v>14</v>
      </c>
      <c r="C10" s="46" t="s">
        <v>69</v>
      </c>
      <c r="D10" s="47">
        <v>3660</v>
      </c>
      <c r="E10" s="54">
        <v>12622297</v>
      </c>
      <c r="F10" s="54"/>
      <c r="G10" s="56">
        <v>0.43756357758419168</v>
      </c>
      <c r="H10" s="56">
        <v>0.56243642241580827</v>
      </c>
      <c r="I10" s="57">
        <v>24.64176410025285</v>
      </c>
      <c r="J10" s="55">
        <v>0.11021177701734912</v>
      </c>
      <c r="K10" s="54">
        <v>1082266.2792831052</v>
      </c>
      <c r="L10" s="54">
        <v>1391125.7824107548</v>
      </c>
      <c r="M10" s="51">
        <v>2473392.0616938602</v>
      </c>
      <c r="N10" s="188">
        <f t="shared" si="0"/>
        <v>0</v>
      </c>
    </row>
    <row r="11" spans="2:15" x14ac:dyDescent="0.2">
      <c r="B11" s="108" t="s">
        <v>67</v>
      </c>
      <c r="C11" s="46" t="s">
        <v>69</v>
      </c>
      <c r="D11" s="47">
        <v>1052</v>
      </c>
      <c r="E11" s="54">
        <v>791996</v>
      </c>
      <c r="F11" s="54"/>
      <c r="G11" s="56">
        <v>0</v>
      </c>
      <c r="H11" s="56">
        <v>1</v>
      </c>
      <c r="I11" s="57">
        <v>0</v>
      </c>
      <c r="J11" s="55">
        <v>0.17356347172735587</v>
      </c>
      <c r="K11" s="54">
        <v>0</v>
      </c>
      <c r="L11" s="54">
        <v>137461.57535417893</v>
      </c>
      <c r="M11" s="51">
        <v>137461.57535417893</v>
      </c>
      <c r="N11" s="188">
        <f t="shared" si="0"/>
        <v>0</v>
      </c>
    </row>
    <row r="12" spans="2:15" ht="13.5" thickBot="1" x14ac:dyDescent="0.25">
      <c r="B12" s="101"/>
      <c r="C12" s="181"/>
      <c r="D12" s="181"/>
      <c r="E12" s="181"/>
      <c r="F12" s="181"/>
      <c r="G12" s="181"/>
      <c r="H12" s="181"/>
      <c r="I12" s="181"/>
      <c r="J12" s="181"/>
      <c r="K12" s="187">
        <v>3456431.3522124374</v>
      </c>
      <c r="L12" s="187">
        <v>16903914.036319301</v>
      </c>
      <c r="M12" s="187">
        <v>20360345.388531741</v>
      </c>
      <c r="N12" s="104"/>
    </row>
    <row r="13" spans="2:15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2:15" ht="13.5" thickBot="1" x14ac:dyDescent="0.2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2:15" ht="31.5" customHeight="1" x14ac:dyDescent="0.25">
      <c r="B15" s="277" t="s">
        <v>197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9"/>
      <c r="O15" s="183"/>
    </row>
    <row r="16" spans="2:15" ht="15.75" x14ac:dyDescent="0.25">
      <c r="B16" s="282" t="s">
        <v>194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4"/>
      <c r="O16" s="59"/>
    </row>
    <row r="17" spans="2:15" x14ac:dyDescent="0.2">
      <c r="B17" s="281" t="s">
        <v>192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80"/>
      <c r="O17" s="60"/>
    </row>
    <row r="18" spans="2:15" x14ac:dyDescent="0.2">
      <c r="B18" s="285" t="s">
        <v>74</v>
      </c>
      <c r="C18" s="286" t="s">
        <v>75</v>
      </c>
      <c r="D18" s="287" t="s">
        <v>76</v>
      </c>
      <c r="E18" s="265" t="s">
        <v>77</v>
      </c>
      <c r="F18" s="265"/>
      <c r="G18" s="265" t="s">
        <v>87</v>
      </c>
      <c r="H18" s="265"/>
      <c r="I18" s="265" t="s">
        <v>85</v>
      </c>
      <c r="J18" s="265"/>
      <c r="K18" s="265" t="s">
        <v>78</v>
      </c>
      <c r="L18" s="265"/>
      <c r="M18" s="265"/>
      <c r="N18" s="280"/>
      <c r="O18" s="59"/>
    </row>
    <row r="19" spans="2:15" ht="38.25" x14ac:dyDescent="0.2">
      <c r="B19" s="285"/>
      <c r="C19" s="286"/>
      <c r="D19" s="287"/>
      <c r="E19" s="122" t="s">
        <v>69</v>
      </c>
      <c r="F19" s="122" t="s">
        <v>68</v>
      </c>
      <c r="G19" s="45" t="s">
        <v>83</v>
      </c>
      <c r="H19" s="45" t="s">
        <v>84</v>
      </c>
      <c r="I19" s="45" t="s">
        <v>79</v>
      </c>
      <c r="J19" s="45" t="s">
        <v>80</v>
      </c>
      <c r="K19" s="45" t="s">
        <v>81</v>
      </c>
      <c r="L19" s="45" t="s">
        <v>82</v>
      </c>
      <c r="M19" s="45" t="s">
        <v>18</v>
      </c>
      <c r="N19" s="186" t="s">
        <v>193</v>
      </c>
      <c r="O19" s="59"/>
    </row>
    <row r="20" spans="2:15" x14ac:dyDescent="0.2">
      <c r="B20" s="108" t="s">
        <v>65</v>
      </c>
      <c r="C20" s="46" t="s">
        <v>69</v>
      </c>
      <c r="D20" s="47">
        <f>ROUND((Forecast!H6+Forecast!I6)/2,0)</f>
        <v>8496</v>
      </c>
      <c r="E20" s="54">
        <f>Forecast!I14</f>
        <v>104826589.3</v>
      </c>
      <c r="F20" s="54"/>
      <c r="G20" s="56">
        <v>0.13646721756898086</v>
      </c>
      <c r="H20" s="56">
        <f>1-G20</f>
        <v>0.86353278243101916</v>
      </c>
      <c r="I20" s="57">
        <f>K20/(D20*12)</f>
        <v>22.773774585719746</v>
      </c>
      <c r="J20" s="55">
        <f>L20/E20</f>
        <v>0.14015539009748318</v>
      </c>
      <c r="K20" s="54">
        <f>G20*M20</f>
        <v>2321831.8665632997</v>
      </c>
      <c r="L20" s="54">
        <f>H20*M20</f>
        <v>14692011.515930155</v>
      </c>
      <c r="M20" s="51">
        <f>'2015 Cost Allocation Design'!H5</f>
        <v>17013843.382493455</v>
      </c>
      <c r="N20" s="188">
        <f>(D20*I20*12+E20*J20+F20*J20)-M20</f>
        <v>0</v>
      </c>
      <c r="O20" s="59"/>
    </row>
    <row r="21" spans="2:15" x14ac:dyDescent="0.2">
      <c r="B21" s="108" t="s">
        <v>66</v>
      </c>
      <c r="C21" s="46" t="s">
        <v>68</v>
      </c>
      <c r="D21" s="47">
        <f>ROUND((Forecast!H8+Forecast!I8)/2,0)</f>
        <v>50</v>
      </c>
      <c r="E21" s="54"/>
      <c r="F21" s="54">
        <f>Forecast!I24</f>
        <v>198897</v>
      </c>
      <c r="G21" s="56">
        <v>0.1200968956263495</v>
      </c>
      <c r="H21" s="56">
        <f t="shared" ref="H21:H23" si="1">1-G21</f>
        <v>0.87990310437365049</v>
      </c>
      <c r="I21" s="57">
        <f t="shared" ref="I21:I23" si="2">K21/(D21*12)</f>
        <v>846.3764002182827</v>
      </c>
      <c r="J21" s="55">
        <f>L21/F21</f>
        <v>18.70637479416088</v>
      </c>
      <c r="K21" s="54">
        <f t="shared" ref="K21:K23" si="3">G21*M21</f>
        <v>507825.84013096959</v>
      </c>
      <c r="L21" s="54">
        <f t="shared" ref="L21:L23" si="4">H21*M21</f>
        <v>3720641.8274342162</v>
      </c>
      <c r="M21" s="51">
        <f>'2015 Cost Allocation Design'!H6</f>
        <v>4228467.6675651856</v>
      </c>
      <c r="N21" s="188">
        <f t="shared" ref="N21:N23" si="5">(D21*I21*12+E21*J21+F21*J21)-M21</f>
        <v>0</v>
      </c>
      <c r="O21" s="59"/>
    </row>
    <row r="22" spans="2:15" x14ac:dyDescent="0.2">
      <c r="B22" s="108" t="s">
        <v>14</v>
      </c>
      <c r="C22" s="46" t="s">
        <v>69</v>
      </c>
      <c r="D22" s="47">
        <f>ROUND((Forecast!H7+Forecast!I7)/2,0)</f>
        <v>3138</v>
      </c>
      <c r="E22" s="54">
        <f>Forecast!I15</f>
        <v>7680066</v>
      </c>
      <c r="F22" s="54"/>
      <c r="G22" s="56">
        <v>0.43756357758419168</v>
      </c>
      <c r="H22" s="56">
        <f t="shared" si="1"/>
        <v>0.56243642241580827</v>
      </c>
      <c r="I22" s="57">
        <f t="shared" si="2"/>
        <v>23.511486417730683</v>
      </c>
      <c r="J22" s="55">
        <f t="shared" ref="J22:J23" si="6">L22/E22</f>
        <v>0.14817727101588518</v>
      </c>
      <c r="K22" s="54">
        <f t="shared" si="3"/>
        <v>885348.53254606656</v>
      </c>
      <c r="L22" s="54">
        <f t="shared" si="4"/>
        <v>1138011.2211018852</v>
      </c>
      <c r="M22" s="51">
        <f>'2015 Cost Allocation Design'!H7</f>
        <v>2023359.7536479519</v>
      </c>
      <c r="N22" s="188">
        <f t="shared" si="5"/>
        <v>0</v>
      </c>
      <c r="O22" s="59"/>
    </row>
    <row r="23" spans="2:15" x14ac:dyDescent="0.2">
      <c r="B23" s="108" t="s">
        <v>67</v>
      </c>
      <c r="C23" s="46" t="s">
        <v>69</v>
      </c>
      <c r="D23" s="47">
        <f>ROUND((Forecast!H9+Forecast!I9)/2,0)</f>
        <v>1018</v>
      </c>
      <c r="E23" s="54">
        <f>Forecast!I17</f>
        <v>804690</v>
      </c>
      <c r="F23" s="54"/>
      <c r="G23" s="56">
        <v>0</v>
      </c>
      <c r="H23" s="56">
        <f t="shared" si="1"/>
        <v>1</v>
      </c>
      <c r="I23" s="57">
        <f t="shared" si="2"/>
        <v>0</v>
      </c>
      <c r="J23" s="55">
        <f t="shared" si="6"/>
        <v>0.19977885286269043</v>
      </c>
      <c r="K23" s="54">
        <f t="shared" si="3"/>
        <v>0</v>
      </c>
      <c r="L23" s="54">
        <f t="shared" si="4"/>
        <v>160760.04511007835</v>
      </c>
      <c r="M23" s="51">
        <f>'2015 Cost Allocation Design'!H8</f>
        <v>160760.04511007835</v>
      </c>
      <c r="N23" s="188">
        <f t="shared" si="5"/>
        <v>0</v>
      </c>
      <c r="O23" s="59"/>
    </row>
    <row r="24" spans="2:15" ht="13.5" thickBot="1" x14ac:dyDescent="0.25">
      <c r="B24" s="101"/>
      <c r="C24" s="181"/>
      <c r="D24" s="181"/>
      <c r="E24" s="181"/>
      <c r="F24" s="181"/>
      <c r="G24" s="181"/>
      <c r="H24" s="181"/>
      <c r="I24" s="181"/>
      <c r="J24" s="181"/>
      <c r="K24" s="187">
        <f>SUM(K20:K23)</f>
        <v>3715006.2392403358</v>
      </c>
      <c r="L24" s="187">
        <f>SUM(L20:L23)</f>
        <v>19711424.609576333</v>
      </c>
      <c r="M24" s="187">
        <f>SUM(M20:M23)</f>
        <v>23426430.84881667</v>
      </c>
      <c r="N24" s="189">
        <f>SUM(N20:N23)</f>
        <v>0</v>
      </c>
      <c r="O24" s="59"/>
    </row>
    <row r="26" spans="2:15" x14ac:dyDescent="0.2">
      <c r="L26" s="80" t="s">
        <v>187</v>
      </c>
      <c r="M26" s="44" t="str">
        <f>IF(ABS(M24-L24-K24)&lt;1,"YES","NO")</f>
        <v>YES</v>
      </c>
    </row>
  </sheetData>
  <mergeCells count="20">
    <mergeCell ref="I6:J6"/>
    <mergeCell ref="B5:N5"/>
    <mergeCell ref="B2:N2"/>
    <mergeCell ref="B3:N3"/>
    <mergeCell ref="K6:N6"/>
    <mergeCell ref="B6:B7"/>
    <mergeCell ref="C6:C7"/>
    <mergeCell ref="D6:D7"/>
    <mergeCell ref="E6:F6"/>
    <mergeCell ref="G6:H6"/>
    <mergeCell ref="I18:J18"/>
    <mergeCell ref="B15:N15"/>
    <mergeCell ref="K18:N18"/>
    <mergeCell ref="B17:N17"/>
    <mergeCell ref="B16:N16"/>
    <mergeCell ref="B18:B19"/>
    <mergeCell ref="C18:C19"/>
    <mergeCell ref="D18:D19"/>
    <mergeCell ref="E18:F18"/>
    <mergeCell ref="G18:H18"/>
  </mergeCells>
  <phoneticPr fontId="2" type="noConversion"/>
  <pageMargins left="0.75" right="0.75" top="1" bottom="1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J26" sqref="J26"/>
    </sheetView>
  </sheetViews>
  <sheetFormatPr defaultRowHeight="12.75" x14ac:dyDescent="0.2"/>
  <cols>
    <col min="1" max="1" width="2.85546875" customWidth="1"/>
    <col min="2" max="2" width="41.42578125" customWidth="1"/>
    <col min="3" max="3" width="13.7109375" customWidth="1"/>
    <col min="4" max="4" width="15.28515625" bestFit="1" customWidth="1"/>
    <col min="5" max="6" width="0" hidden="1" customWidth="1"/>
    <col min="7" max="7" width="13.7109375" customWidth="1"/>
  </cols>
  <sheetData>
    <row r="2" spans="2:7" ht="31.5" customHeight="1" x14ac:dyDescent="0.25">
      <c r="B2" s="267" t="s">
        <v>222</v>
      </c>
      <c r="C2" s="267"/>
      <c r="D2" s="267"/>
      <c r="E2" s="267"/>
      <c r="F2" s="267"/>
      <c r="G2" s="267"/>
    </row>
    <row r="3" spans="2:7" ht="13.5" thickBot="1" x14ac:dyDescent="0.25"/>
    <row r="4" spans="2:7" ht="18" x14ac:dyDescent="0.25">
      <c r="B4" s="291" t="s">
        <v>223</v>
      </c>
      <c r="C4" s="292"/>
      <c r="D4" s="292"/>
      <c r="E4" s="292"/>
      <c r="F4" s="292"/>
      <c r="G4" s="293"/>
    </row>
    <row r="5" spans="2:7" ht="13.5" thickBot="1" x14ac:dyDescent="0.25">
      <c r="B5" s="184"/>
      <c r="C5" s="59"/>
      <c r="D5" s="59"/>
      <c r="E5" s="59"/>
      <c r="F5" s="59"/>
      <c r="G5" s="185"/>
    </row>
    <row r="6" spans="2:7" ht="13.5" thickBot="1" x14ac:dyDescent="0.25">
      <c r="B6" s="196"/>
      <c r="C6" s="197" t="s">
        <v>2</v>
      </c>
      <c r="D6" s="197" t="s">
        <v>65</v>
      </c>
      <c r="E6" s="197" t="s">
        <v>215</v>
      </c>
      <c r="F6" s="197" t="s">
        <v>216</v>
      </c>
      <c r="G6" s="197" t="s">
        <v>14</v>
      </c>
    </row>
    <row r="7" spans="2:7" x14ac:dyDescent="0.2">
      <c r="B7" s="198" t="s">
        <v>217</v>
      </c>
      <c r="C7" s="199">
        <v>11535</v>
      </c>
      <c r="D7" s="199">
        <v>7987</v>
      </c>
      <c r="E7" s="199">
        <v>7040</v>
      </c>
      <c r="F7" s="200">
        <v>947</v>
      </c>
      <c r="G7" s="200">
        <v>3548</v>
      </c>
    </row>
    <row r="8" spans="2:7" x14ac:dyDescent="0.2">
      <c r="B8" s="100" t="s">
        <v>218</v>
      </c>
      <c r="C8" s="52"/>
      <c r="D8" s="201">
        <v>0.69241439098396185</v>
      </c>
      <c r="E8" s="201">
        <v>0.61031642826181187</v>
      </c>
      <c r="F8" s="202">
        <v>8.2097962722149975E-2</v>
      </c>
      <c r="G8" s="202">
        <v>0.30758560901603815</v>
      </c>
    </row>
    <row r="9" spans="2:7" x14ac:dyDescent="0.2">
      <c r="B9" s="100"/>
      <c r="C9" s="52"/>
      <c r="D9" s="52"/>
      <c r="E9" s="52"/>
      <c r="F9" s="203"/>
      <c r="G9" s="203"/>
    </row>
    <row r="10" spans="2:7" x14ac:dyDescent="0.2">
      <c r="B10" s="108" t="s">
        <v>219</v>
      </c>
      <c r="C10" s="52"/>
      <c r="D10" s="52"/>
      <c r="E10" s="52"/>
      <c r="F10" s="203"/>
      <c r="G10" s="203"/>
    </row>
    <row r="11" spans="2:7" x14ac:dyDescent="0.2">
      <c r="B11" s="100" t="s">
        <v>220</v>
      </c>
      <c r="C11" s="204">
        <v>238307.8600000001</v>
      </c>
      <c r="D11" s="205"/>
      <c r="E11" s="205"/>
      <c r="F11" s="206"/>
      <c r="G11" s="206"/>
    </row>
    <row r="12" spans="2:7" ht="13.5" thickBot="1" x14ac:dyDescent="0.25">
      <c r="B12" s="100" t="s">
        <v>221</v>
      </c>
      <c r="C12" s="207">
        <v>39718.199999999997</v>
      </c>
      <c r="D12" s="207"/>
      <c r="E12" s="207"/>
      <c r="F12" s="208"/>
      <c r="G12" s="208"/>
    </row>
    <row r="13" spans="2:7" ht="13.5" thickBot="1" x14ac:dyDescent="0.25">
      <c r="B13" s="101"/>
      <c r="C13" s="209">
        <v>278026.06000000011</v>
      </c>
      <c r="D13" s="209">
        <v>192509.24501257052</v>
      </c>
      <c r="E13" s="209">
        <v>169683.87190290427</v>
      </c>
      <c r="F13" s="210">
        <v>22825.373109666241</v>
      </c>
      <c r="G13" s="210">
        <v>85516.814987429592</v>
      </c>
    </row>
  </sheetData>
  <mergeCells count="2">
    <mergeCell ref="B4:G4"/>
    <mergeCell ref="B2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</vt:lpstr>
      <vt:lpstr>Cost Allocation - O1</vt:lpstr>
      <vt:lpstr>2011 EDR Cost Allocation</vt:lpstr>
      <vt:lpstr>2015 Cost Allocation Results</vt:lpstr>
      <vt:lpstr>2015 Cost Allocation Design</vt:lpstr>
      <vt:lpstr>Allocated Revenues</vt:lpstr>
      <vt:lpstr>Stranded Meters</vt:lpstr>
      <vt:lpstr>2015 RRRP Rate Design</vt:lpstr>
      <vt:lpstr>2015 Non-RRRP Rate Design</vt:lpstr>
      <vt:lpstr>Reconciliation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2014-04-24T15:32:05Z</cp:lastPrinted>
  <dcterms:created xsi:type="dcterms:W3CDTF">2010-05-25T18:02:24Z</dcterms:created>
  <dcterms:modified xsi:type="dcterms:W3CDTF">2014-04-29T23:17:05Z</dcterms:modified>
</cp:coreProperties>
</file>