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Res 800" sheetId="1" r:id="rId1"/>
    <sheet name="Res 250" sheetId="2" r:id="rId2"/>
    <sheet name="less 2000" sheetId="3" r:id="rId3"/>
    <sheet name="less 10000" sheetId="4" r:id="rId4"/>
    <sheet name="greater 600" sheetId="5" r:id="rId5"/>
    <sheet name="greater 100" sheetId="6" r:id="rId6"/>
    <sheet name="LU" sheetId="7" r:id="rId7"/>
    <sheet name="USL" sheetId="8" r:id="rId8"/>
    <sheet name="Street" sheetId="9" r:id="rId9"/>
    <sheet name="Sent" sheetId="10" r:id="rId10"/>
  </sheets>
  <externalReferences>
    <externalReference r:id="rId11"/>
  </externalReferences>
  <definedNames>
    <definedName name="EBNUMBER">'[1]LDC Info'!$E$16</definedName>
  </definedNames>
  <calcPr calcId="125725"/>
</workbook>
</file>

<file path=xl/calcChain.xml><?xml version="1.0" encoding="utf-8"?>
<calcChain xmlns="http://schemas.openxmlformats.org/spreadsheetml/2006/main">
  <c r="G59" i="10"/>
  <c r="K59" s="1"/>
  <c r="L59" s="1"/>
  <c r="K58"/>
  <c r="L58" s="1"/>
  <c r="H58"/>
  <c r="L57"/>
  <c r="N57" s="1"/>
  <c r="K57"/>
  <c r="H57"/>
  <c r="O57" s="1"/>
  <c r="G57"/>
  <c r="H56"/>
  <c r="O56" s="1"/>
  <c r="G56"/>
  <c r="K56" s="1"/>
  <c r="L56" s="1"/>
  <c r="N56" s="1"/>
  <c r="L55"/>
  <c r="N55" s="1"/>
  <c r="K55"/>
  <c r="H55"/>
  <c r="G55"/>
  <c r="L54"/>
  <c r="K54"/>
  <c r="H54"/>
  <c r="L53"/>
  <c r="H53"/>
  <c r="N53" s="1"/>
  <c r="L51"/>
  <c r="K51"/>
  <c r="G51"/>
  <c r="G52" s="1"/>
  <c r="K49"/>
  <c r="L49" s="1"/>
  <c r="N49" s="1"/>
  <c r="L48"/>
  <c r="K48"/>
  <c r="G48"/>
  <c r="G49" s="1"/>
  <c r="H49" s="1"/>
  <c r="N46"/>
  <c r="L46"/>
  <c r="H46"/>
  <c r="K45"/>
  <c r="J45"/>
  <c r="L45" s="1"/>
  <c r="G45"/>
  <c r="L44"/>
  <c r="K44"/>
  <c r="H44"/>
  <c r="G44"/>
  <c r="L43"/>
  <c r="N43" s="1"/>
  <c r="K43"/>
  <c r="H43"/>
  <c r="O43" s="1"/>
  <c r="G43"/>
  <c r="L42"/>
  <c r="K42"/>
  <c r="H42"/>
  <c r="O42" s="1"/>
  <c r="G42"/>
  <c r="L41"/>
  <c r="N41" s="1"/>
  <c r="K41"/>
  <c r="H41"/>
  <c r="O41" s="1"/>
  <c r="G41"/>
  <c r="L40"/>
  <c r="K40"/>
  <c r="H40"/>
  <c r="N40" s="1"/>
  <c r="G40"/>
  <c r="L38"/>
  <c r="N38" s="1"/>
  <c r="K38"/>
  <c r="H38"/>
  <c r="O38" s="1"/>
  <c r="G38"/>
  <c r="L37"/>
  <c r="K37"/>
  <c r="H37"/>
  <c r="N37" s="1"/>
  <c r="G37"/>
  <c r="L36"/>
  <c r="N36" s="1"/>
  <c r="K36"/>
  <c r="H36"/>
  <c r="O36" s="1"/>
  <c r="G36"/>
  <c r="L35"/>
  <c r="K35"/>
  <c r="H35"/>
  <c r="O35" s="1"/>
  <c r="G35"/>
  <c r="L34"/>
  <c r="N34" s="1"/>
  <c r="K34"/>
  <c r="H34"/>
  <c r="O34" s="1"/>
  <c r="G34"/>
  <c r="L33"/>
  <c r="K33"/>
  <c r="H33"/>
  <c r="N33" s="1"/>
  <c r="G33"/>
  <c r="L32"/>
  <c r="N32" s="1"/>
  <c r="K32"/>
  <c r="H32"/>
  <c r="O32" s="1"/>
  <c r="G32"/>
  <c r="L31"/>
  <c r="K31"/>
  <c r="H31"/>
  <c r="N31" s="1"/>
  <c r="G31"/>
  <c r="O30"/>
  <c r="L30"/>
  <c r="N30" s="1"/>
  <c r="K30"/>
  <c r="H30"/>
  <c r="G30"/>
  <c r="L29"/>
  <c r="K29"/>
  <c r="H29"/>
  <c r="N29" s="1"/>
  <c r="G29"/>
  <c r="L28"/>
  <c r="N28" s="1"/>
  <c r="H28"/>
  <c r="O28" s="1"/>
  <c r="L27"/>
  <c r="N27" s="1"/>
  <c r="H27"/>
  <c r="O27" s="1"/>
  <c r="L26"/>
  <c r="N26" s="1"/>
  <c r="H26"/>
  <c r="O26" s="1"/>
  <c r="L25"/>
  <c r="N25" s="1"/>
  <c r="H25"/>
  <c r="L24"/>
  <c r="N24" s="1"/>
  <c r="H24"/>
  <c r="O24" s="1"/>
  <c r="L23"/>
  <c r="N23" s="1"/>
  <c r="H23"/>
  <c r="O1"/>
  <c r="N58" l="1"/>
  <c r="K52"/>
  <c r="L52" s="1"/>
  <c r="N52" s="1"/>
  <c r="H52"/>
  <c r="O23"/>
  <c r="O25"/>
  <c r="O54"/>
  <c r="O55"/>
  <c r="O49"/>
  <c r="N59"/>
  <c r="O31"/>
  <c r="O33"/>
  <c r="O37"/>
  <c r="L39"/>
  <c r="O40"/>
  <c r="N35"/>
  <c r="N42"/>
  <c r="N44"/>
  <c r="O44" s="1"/>
  <c r="O53"/>
  <c r="N54"/>
  <c r="O58"/>
  <c r="F45"/>
  <c r="H45" s="1"/>
  <c r="H48"/>
  <c r="H51"/>
  <c r="H59"/>
  <c r="O59" s="1"/>
  <c r="O29"/>
  <c r="H39"/>
  <c r="L47" l="1"/>
  <c r="N39"/>
  <c r="O39" s="1"/>
  <c r="H47"/>
  <c r="N48"/>
  <c r="O48"/>
  <c r="N51"/>
  <c r="O51" s="1"/>
  <c r="O45"/>
  <c r="N45"/>
  <c r="O52"/>
  <c r="H50" l="1"/>
  <c r="O47"/>
  <c r="N47"/>
  <c r="L50"/>
  <c r="N50" l="1"/>
  <c r="L61"/>
  <c r="L67"/>
  <c r="O50"/>
  <c r="H67"/>
  <c r="H61"/>
  <c r="H62" l="1"/>
  <c r="O61"/>
  <c r="L69"/>
  <c r="L68"/>
  <c r="N67"/>
  <c r="O67" s="1"/>
  <c r="H69"/>
  <c r="H68"/>
  <c r="L63"/>
  <c r="L62"/>
  <c r="N61"/>
  <c r="L64" l="1"/>
  <c r="N63"/>
  <c r="H71"/>
  <c r="H70"/>
  <c r="O69"/>
  <c r="L71"/>
  <c r="N71" s="1"/>
  <c r="L70"/>
  <c r="N70" s="1"/>
  <c r="N69"/>
  <c r="O62"/>
  <c r="N62"/>
  <c r="N68"/>
  <c r="H63"/>
  <c r="O68"/>
  <c r="H64" l="1"/>
  <c r="O63"/>
  <c r="O71"/>
  <c r="O70"/>
  <c r="L65"/>
  <c r="N65" l="1"/>
  <c r="H65"/>
  <c r="N64"/>
  <c r="O64" s="1"/>
  <c r="O65" l="1"/>
  <c r="O70" i="9" l="1"/>
  <c r="N70"/>
  <c r="O64"/>
  <c r="N64"/>
  <c r="G59"/>
  <c r="K59" s="1"/>
  <c r="L59" s="1"/>
  <c r="K58"/>
  <c r="L58" s="1"/>
  <c r="H58"/>
  <c r="L57"/>
  <c r="N57" s="1"/>
  <c r="K57"/>
  <c r="H57"/>
  <c r="O57" s="1"/>
  <c r="G57"/>
  <c r="H56"/>
  <c r="G56"/>
  <c r="K56" s="1"/>
  <c r="L56" s="1"/>
  <c r="N56" s="1"/>
  <c r="L55"/>
  <c r="N55" s="1"/>
  <c r="K55"/>
  <c r="H55"/>
  <c r="G55"/>
  <c r="L54"/>
  <c r="K54"/>
  <c r="H54"/>
  <c r="N54" s="1"/>
  <c r="O54" s="1"/>
  <c r="L53"/>
  <c r="H53"/>
  <c r="N53" s="1"/>
  <c r="K52"/>
  <c r="L52" s="1"/>
  <c r="L51"/>
  <c r="K51"/>
  <c r="G51"/>
  <c r="G52" s="1"/>
  <c r="H52" s="1"/>
  <c r="K49"/>
  <c r="L49" s="1"/>
  <c r="N49" s="1"/>
  <c r="O49" s="1"/>
  <c r="H49"/>
  <c r="G49"/>
  <c r="N48"/>
  <c r="L48"/>
  <c r="H48"/>
  <c r="O48" s="1"/>
  <c r="L46"/>
  <c r="N46" s="1"/>
  <c r="H46"/>
  <c r="L45"/>
  <c r="K45"/>
  <c r="J45"/>
  <c r="G45"/>
  <c r="L44"/>
  <c r="N44" s="1"/>
  <c r="K44"/>
  <c r="H44"/>
  <c r="O44" s="1"/>
  <c r="G44"/>
  <c r="L43"/>
  <c r="K43"/>
  <c r="H43"/>
  <c r="N43" s="1"/>
  <c r="G43"/>
  <c r="L42"/>
  <c r="N42" s="1"/>
  <c r="K42"/>
  <c r="H42"/>
  <c r="O42" s="1"/>
  <c r="G42"/>
  <c r="L41"/>
  <c r="K41"/>
  <c r="H41"/>
  <c r="N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N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O33" s="1"/>
  <c r="G33"/>
  <c r="L32"/>
  <c r="K32"/>
  <c r="H32"/>
  <c r="N32" s="1"/>
  <c r="G32"/>
  <c r="L31"/>
  <c r="N31" s="1"/>
  <c r="K31"/>
  <c r="H31"/>
  <c r="O31" s="1"/>
  <c r="G31"/>
  <c r="L30"/>
  <c r="K30"/>
  <c r="H30"/>
  <c r="N30" s="1"/>
  <c r="G30"/>
  <c r="L29"/>
  <c r="N29" s="1"/>
  <c r="K29"/>
  <c r="H29"/>
  <c r="O29" s="1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L47" l="1"/>
  <c r="N39"/>
  <c r="O39" s="1"/>
  <c r="N58"/>
  <c r="O58" s="1"/>
  <c r="N59"/>
  <c r="N52"/>
  <c r="O52" s="1"/>
  <c r="O55"/>
  <c r="O56"/>
  <c r="O30"/>
  <c r="O32"/>
  <c r="O34"/>
  <c r="O36"/>
  <c r="O38"/>
  <c r="O41"/>
  <c r="O43"/>
  <c r="O53"/>
  <c r="H51"/>
  <c r="H59"/>
  <c r="F45"/>
  <c r="H45" s="1"/>
  <c r="H47" l="1"/>
  <c r="N45"/>
  <c r="O45" s="1"/>
  <c r="L50"/>
  <c r="N51"/>
  <c r="O51" s="1"/>
  <c r="O59"/>
  <c r="H50" l="1"/>
  <c r="L67"/>
  <c r="L61"/>
  <c r="N47"/>
  <c r="O47" s="1"/>
  <c r="H67" l="1"/>
  <c r="H61"/>
  <c r="L69"/>
  <c r="L68"/>
  <c r="N67"/>
  <c r="L63"/>
  <c r="L62"/>
  <c r="N50"/>
  <c r="O50" s="1"/>
  <c r="O67" l="1"/>
  <c r="H69"/>
  <c r="N69" s="1"/>
  <c r="H68"/>
  <c r="L65"/>
  <c r="O61"/>
  <c r="H63"/>
  <c r="N63" s="1"/>
  <c r="H62"/>
  <c r="L71"/>
  <c r="N62"/>
  <c r="N61"/>
  <c r="O68" l="1"/>
  <c r="N68"/>
  <c r="H71"/>
  <c r="O69"/>
  <c r="O63"/>
  <c r="H65"/>
  <c r="N71"/>
  <c r="O62"/>
  <c r="N65"/>
  <c r="O65" l="1"/>
  <c r="O71"/>
  <c r="G59" i="8" l="1"/>
  <c r="K59" s="1"/>
  <c r="L59" s="1"/>
  <c r="K58"/>
  <c r="L58" s="1"/>
  <c r="H58"/>
  <c r="G58"/>
  <c r="G57"/>
  <c r="H57" s="1"/>
  <c r="K56"/>
  <c r="L56" s="1"/>
  <c r="N56" s="1"/>
  <c r="H56"/>
  <c r="G56"/>
  <c r="G55"/>
  <c r="H55" s="1"/>
  <c r="K54"/>
  <c r="L54" s="1"/>
  <c r="N54" s="1"/>
  <c r="H54"/>
  <c r="G54"/>
  <c r="N53"/>
  <c r="L53"/>
  <c r="H53"/>
  <c r="O53" s="1"/>
  <c r="G49"/>
  <c r="G52" s="1"/>
  <c r="H52" s="1"/>
  <c r="K48"/>
  <c r="L48" s="1"/>
  <c r="N48" s="1"/>
  <c r="H48"/>
  <c r="O48" s="1"/>
  <c r="G48"/>
  <c r="L46"/>
  <c r="N46" s="1"/>
  <c r="H46"/>
  <c r="L45"/>
  <c r="N45" s="1"/>
  <c r="K45"/>
  <c r="J45"/>
  <c r="G45"/>
  <c r="H45" s="1"/>
  <c r="F45"/>
  <c r="L44"/>
  <c r="N44" s="1"/>
  <c r="K44"/>
  <c r="H44"/>
  <c r="G44"/>
  <c r="L43"/>
  <c r="K43"/>
  <c r="H43"/>
  <c r="N43" s="1"/>
  <c r="G43"/>
  <c r="L42"/>
  <c r="N42" s="1"/>
  <c r="K42"/>
  <c r="H42"/>
  <c r="O42" s="1"/>
  <c r="G42"/>
  <c r="L41"/>
  <c r="K41"/>
  <c r="H41"/>
  <c r="O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O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G33"/>
  <c r="L32"/>
  <c r="K32"/>
  <c r="H32"/>
  <c r="G32"/>
  <c r="O31"/>
  <c r="L31"/>
  <c r="N31" s="1"/>
  <c r="K31"/>
  <c r="H31"/>
  <c r="G31"/>
  <c r="L30"/>
  <c r="K30"/>
  <c r="H30"/>
  <c r="N30" s="1"/>
  <c r="G30"/>
  <c r="L29"/>
  <c r="N29" s="1"/>
  <c r="K29"/>
  <c r="H29"/>
  <c r="O29" s="1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L47" l="1"/>
  <c r="N39"/>
  <c r="N58"/>
  <c r="O39"/>
  <c r="H47"/>
  <c r="O54"/>
  <c r="O56"/>
  <c r="O33"/>
  <c r="O44"/>
  <c r="O45"/>
  <c r="O57"/>
  <c r="N59"/>
  <c r="O30"/>
  <c r="O34"/>
  <c r="O38"/>
  <c r="O43"/>
  <c r="N32"/>
  <c r="O32" s="1"/>
  <c r="N36"/>
  <c r="N41"/>
  <c r="O58"/>
  <c r="K49"/>
  <c r="G51"/>
  <c r="H51" s="1"/>
  <c r="K55"/>
  <c r="L55" s="1"/>
  <c r="N55" s="1"/>
  <c r="O55" s="1"/>
  <c r="K57"/>
  <c r="L57" s="1"/>
  <c r="N57" s="1"/>
  <c r="H49"/>
  <c r="H59"/>
  <c r="O59" s="1"/>
  <c r="N47" l="1"/>
  <c r="L49"/>
  <c r="N49" s="1"/>
  <c r="K51"/>
  <c r="L51" s="1"/>
  <c r="K52"/>
  <c r="L52" s="1"/>
  <c r="N52" s="1"/>
  <c r="O52" s="1"/>
  <c r="O47"/>
  <c r="H50"/>
  <c r="O49"/>
  <c r="H67" l="1"/>
  <c r="N51"/>
  <c r="O51" s="1"/>
  <c r="H61"/>
  <c r="L50"/>
  <c r="L61" s="1"/>
  <c r="L62" l="1"/>
  <c r="N62" s="1"/>
  <c r="N61"/>
  <c r="O61" s="1"/>
  <c r="H69"/>
  <c r="H68"/>
  <c r="H63"/>
  <c r="H62"/>
  <c r="N50"/>
  <c r="O50" s="1"/>
  <c r="L67"/>
  <c r="L68" l="1"/>
  <c r="N68" s="1"/>
  <c r="O68" s="1"/>
  <c r="N67"/>
  <c r="O67" s="1"/>
  <c r="H64"/>
  <c r="L63"/>
  <c r="H70"/>
  <c r="O62"/>
  <c r="H71" l="1"/>
  <c r="L69"/>
  <c r="L64"/>
  <c r="N64" s="1"/>
  <c r="O64" s="1"/>
  <c r="N63"/>
  <c r="O63" s="1"/>
  <c r="H65"/>
  <c r="L70" l="1"/>
  <c r="N70" s="1"/>
  <c r="O70" s="1"/>
  <c r="N69"/>
  <c r="O69" s="1"/>
  <c r="L65"/>
  <c r="N65" s="1"/>
  <c r="O65" s="1"/>
  <c r="L71" l="1"/>
  <c r="N71" s="1"/>
  <c r="O71" s="1"/>
  <c r="O70" i="7" l="1"/>
  <c r="N70"/>
  <c r="O64"/>
  <c r="N64"/>
  <c r="L58"/>
  <c r="N58" s="1"/>
  <c r="K58"/>
  <c r="H58"/>
  <c r="O58" s="1"/>
  <c r="N53"/>
  <c r="L53"/>
  <c r="H53"/>
  <c r="O53" s="1"/>
  <c r="G52"/>
  <c r="H52" s="1"/>
  <c r="K51"/>
  <c r="L51" s="1"/>
  <c r="H51"/>
  <c r="L49"/>
  <c r="N49" s="1"/>
  <c r="K49"/>
  <c r="H49"/>
  <c r="G49"/>
  <c r="L48"/>
  <c r="N48" s="1"/>
  <c r="K48"/>
  <c r="H48"/>
  <c r="L46"/>
  <c r="N46" s="1"/>
  <c r="H46"/>
  <c r="K45"/>
  <c r="J45"/>
  <c r="L45" s="1"/>
  <c r="G45"/>
  <c r="L44"/>
  <c r="N44" s="1"/>
  <c r="K44"/>
  <c r="H44"/>
  <c r="G44"/>
  <c r="L43"/>
  <c r="N43" s="1"/>
  <c r="K43"/>
  <c r="H43"/>
  <c r="O43" s="1"/>
  <c r="G43"/>
  <c r="L42"/>
  <c r="N42" s="1"/>
  <c r="K42"/>
  <c r="H42"/>
  <c r="O42" s="1"/>
  <c r="G42"/>
  <c r="L41"/>
  <c r="N41" s="1"/>
  <c r="K41"/>
  <c r="H41"/>
  <c r="O41" s="1"/>
  <c r="G41"/>
  <c r="L40"/>
  <c r="N40" s="1"/>
  <c r="K40"/>
  <c r="H40"/>
  <c r="O40" s="1"/>
  <c r="G40"/>
  <c r="L38"/>
  <c r="N38" s="1"/>
  <c r="K38"/>
  <c r="H38"/>
  <c r="O38" s="1"/>
  <c r="G38"/>
  <c r="L37"/>
  <c r="N37" s="1"/>
  <c r="K37"/>
  <c r="H37"/>
  <c r="O37" s="1"/>
  <c r="G37"/>
  <c r="L36"/>
  <c r="N36" s="1"/>
  <c r="K36"/>
  <c r="H36"/>
  <c r="O36" s="1"/>
  <c r="G36"/>
  <c r="L35"/>
  <c r="N35" s="1"/>
  <c r="K35"/>
  <c r="H35"/>
  <c r="O35" s="1"/>
  <c r="G35"/>
  <c r="L34"/>
  <c r="N34" s="1"/>
  <c r="K34"/>
  <c r="H34"/>
  <c r="O34" s="1"/>
  <c r="G34"/>
  <c r="L33"/>
  <c r="N33" s="1"/>
  <c r="K33"/>
  <c r="H33"/>
  <c r="G33"/>
  <c r="L32"/>
  <c r="N32" s="1"/>
  <c r="K32"/>
  <c r="H32"/>
  <c r="G32"/>
  <c r="L31"/>
  <c r="N31" s="1"/>
  <c r="K31"/>
  <c r="H31"/>
  <c r="O31" s="1"/>
  <c r="G31"/>
  <c r="L30"/>
  <c r="N30" s="1"/>
  <c r="K30"/>
  <c r="H30"/>
  <c r="O30" s="1"/>
  <c r="G30"/>
  <c r="L29"/>
  <c r="N29" s="1"/>
  <c r="K29"/>
  <c r="H29"/>
  <c r="G29"/>
  <c r="O28"/>
  <c r="L28"/>
  <c r="N28" s="1"/>
  <c r="H28"/>
  <c r="O27"/>
  <c r="L27"/>
  <c r="N27" s="1"/>
  <c r="H27"/>
  <c r="O26"/>
  <c r="L26"/>
  <c r="N26" s="1"/>
  <c r="H26"/>
  <c r="L25"/>
  <c r="N25" s="1"/>
  <c r="O25" s="1"/>
  <c r="H25"/>
  <c r="O24"/>
  <c r="L24"/>
  <c r="N24" s="1"/>
  <c r="H24"/>
  <c r="L23"/>
  <c r="N23" s="1"/>
  <c r="O23" s="1"/>
  <c r="H23"/>
  <c r="H39" s="1"/>
  <c r="O1"/>
  <c r="N51" l="1"/>
  <c r="O51" s="1"/>
  <c r="O29"/>
  <c r="O32"/>
  <c r="O33"/>
  <c r="O44"/>
  <c r="O48"/>
  <c r="O49"/>
  <c r="L39"/>
  <c r="G55"/>
  <c r="G57"/>
  <c r="K52"/>
  <c r="G54"/>
  <c r="G56"/>
  <c r="G59" l="1"/>
  <c r="H54"/>
  <c r="H56"/>
  <c r="K56"/>
  <c r="L56" s="1"/>
  <c r="L47"/>
  <c r="N39"/>
  <c r="O39" s="1"/>
  <c r="H55"/>
  <c r="K55"/>
  <c r="L55" s="1"/>
  <c r="L52"/>
  <c r="K54"/>
  <c r="L54" s="1"/>
  <c r="N54" s="1"/>
  <c r="H57"/>
  <c r="K57"/>
  <c r="L57" s="1"/>
  <c r="O54" l="1"/>
  <c r="N52"/>
  <c r="O52" s="1"/>
  <c r="L50"/>
  <c r="K59"/>
  <c r="L59" s="1"/>
  <c r="F45"/>
  <c r="H45" s="1"/>
  <c r="H59"/>
  <c r="O57"/>
  <c r="N57"/>
  <c r="N55"/>
  <c r="O55" s="1"/>
  <c r="N56"/>
  <c r="O56" s="1"/>
  <c r="N59" l="1"/>
  <c r="L67"/>
  <c r="O45"/>
  <c r="H47"/>
  <c r="N45"/>
  <c r="O59"/>
  <c r="L61"/>
  <c r="L69" l="1"/>
  <c r="L68"/>
  <c r="L63"/>
  <c r="L62"/>
  <c r="H50"/>
  <c r="O47"/>
  <c r="N47"/>
  <c r="L71" l="1"/>
  <c r="O50"/>
  <c r="H61"/>
  <c r="N50"/>
  <c r="H67"/>
  <c r="L65"/>
  <c r="H69" l="1"/>
  <c r="H68"/>
  <c r="N67"/>
  <c r="O67" s="1"/>
  <c r="H62"/>
  <c r="O61"/>
  <c r="N61"/>
  <c r="N62" l="1"/>
  <c r="O62" s="1"/>
  <c r="H71"/>
  <c r="O69"/>
  <c r="N69"/>
  <c r="O68"/>
  <c r="N68"/>
  <c r="H63"/>
  <c r="O71" l="1"/>
  <c r="N71"/>
  <c r="H65"/>
  <c r="N63"/>
  <c r="O63" s="1"/>
  <c r="N65" l="1"/>
  <c r="O65" s="1"/>
  <c r="O70" i="6" l="1"/>
  <c r="N70"/>
  <c r="O64"/>
  <c r="N64"/>
  <c r="K59"/>
  <c r="L59" s="1"/>
  <c r="N59" s="1"/>
  <c r="H59"/>
  <c r="K58"/>
  <c r="L58" s="1"/>
  <c r="H58"/>
  <c r="G57"/>
  <c r="H57" s="1"/>
  <c r="K56"/>
  <c r="L56" s="1"/>
  <c r="N56" s="1"/>
  <c r="H56"/>
  <c r="G56"/>
  <c r="G55"/>
  <c r="H55" s="1"/>
  <c r="L54"/>
  <c r="N54" s="1"/>
  <c r="O54" s="1"/>
  <c r="H54"/>
  <c r="L53"/>
  <c r="N53" s="1"/>
  <c r="O53" s="1"/>
  <c r="H53"/>
  <c r="K49"/>
  <c r="K52" s="1"/>
  <c r="L52" s="1"/>
  <c r="L48"/>
  <c r="K48"/>
  <c r="G48"/>
  <c r="H48" s="1"/>
  <c r="N46"/>
  <c r="L46"/>
  <c r="H46"/>
  <c r="K45"/>
  <c r="L45" s="1"/>
  <c r="N45" s="1"/>
  <c r="J45"/>
  <c r="H45"/>
  <c r="G45"/>
  <c r="F45"/>
  <c r="K44"/>
  <c r="L44" s="1"/>
  <c r="N44" s="1"/>
  <c r="G44"/>
  <c r="H44" s="1"/>
  <c r="K43"/>
  <c r="L43" s="1"/>
  <c r="G43"/>
  <c r="H43" s="1"/>
  <c r="O43" s="1"/>
  <c r="K42"/>
  <c r="L42" s="1"/>
  <c r="N42" s="1"/>
  <c r="G42"/>
  <c r="H42" s="1"/>
  <c r="O42" s="1"/>
  <c r="K41"/>
  <c r="L41" s="1"/>
  <c r="G41"/>
  <c r="H41" s="1"/>
  <c r="O41" s="1"/>
  <c r="K40"/>
  <c r="L40" s="1"/>
  <c r="G40"/>
  <c r="H40" s="1"/>
  <c r="O40" s="1"/>
  <c r="K38"/>
  <c r="L38" s="1"/>
  <c r="G38"/>
  <c r="H38" s="1"/>
  <c r="O38" s="1"/>
  <c r="K37"/>
  <c r="L37" s="1"/>
  <c r="G37"/>
  <c r="H37" s="1"/>
  <c r="O37" s="1"/>
  <c r="K36"/>
  <c r="L36" s="1"/>
  <c r="G36"/>
  <c r="H36" s="1"/>
  <c r="O36" s="1"/>
  <c r="K35"/>
  <c r="L35" s="1"/>
  <c r="G35"/>
  <c r="H35" s="1"/>
  <c r="O35" s="1"/>
  <c r="K34"/>
  <c r="L34" s="1"/>
  <c r="G34"/>
  <c r="H34" s="1"/>
  <c r="O34" s="1"/>
  <c r="K33"/>
  <c r="L33" s="1"/>
  <c r="G33"/>
  <c r="H33" s="1"/>
  <c r="K32"/>
  <c r="L32" s="1"/>
  <c r="G32"/>
  <c r="H32" s="1"/>
  <c r="K31"/>
  <c r="L31" s="1"/>
  <c r="G31"/>
  <c r="H31" s="1"/>
  <c r="O31" s="1"/>
  <c r="K30"/>
  <c r="L30" s="1"/>
  <c r="G30"/>
  <c r="H30" s="1"/>
  <c r="O30" s="1"/>
  <c r="K29"/>
  <c r="L29" s="1"/>
  <c r="G29"/>
  <c r="H29" s="1"/>
  <c r="L28"/>
  <c r="H28"/>
  <c r="N28" s="1"/>
  <c r="L27"/>
  <c r="H27"/>
  <c r="N27" s="1"/>
  <c r="L26"/>
  <c r="H26"/>
  <c r="N26" s="1"/>
  <c r="L25"/>
  <c r="H25"/>
  <c r="N25" s="1"/>
  <c r="L24"/>
  <c r="H24"/>
  <c r="N24" s="1"/>
  <c r="L23"/>
  <c r="L39" s="1"/>
  <c r="H23"/>
  <c r="O1"/>
  <c r="L47" l="1"/>
  <c r="N29"/>
  <c r="O29" s="1"/>
  <c r="N31"/>
  <c r="N33"/>
  <c r="O33" s="1"/>
  <c r="N35"/>
  <c r="N37"/>
  <c r="N40"/>
  <c r="O59"/>
  <c r="N58"/>
  <c r="O58" s="1"/>
  <c r="H39"/>
  <c r="N39" s="1"/>
  <c r="O44"/>
  <c r="O45"/>
  <c r="N48"/>
  <c r="O56"/>
  <c r="O48"/>
  <c r="N30"/>
  <c r="N32"/>
  <c r="O32" s="1"/>
  <c r="N34"/>
  <c r="N36"/>
  <c r="N38"/>
  <c r="N41"/>
  <c r="N43"/>
  <c r="O24"/>
  <c r="O25"/>
  <c r="O26"/>
  <c r="O27"/>
  <c r="O28"/>
  <c r="G49"/>
  <c r="K51"/>
  <c r="L51" s="1"/>
  <c r="K55"/>
  <c r="L55" s="1"/>
  <c r="N55" s="1"/>
  <c r="O55" s="1"/>
  <c r="K57"/>
  <c r="L57" s="1"/>
  <c r="N57" s="1"/>
  <c r="O57" s="1"/>
  <c r="N23"/>
  <c r="O23" s="1"/>
  <c r="L49"/>
  <c r="L50" l="1"/>
  <c r="G51"/>
  <c r="H51" s="1"/>
  <c r="H49"/>
  <c r="G52"/>
  <c r="H52" s="1"/>
  <c r="H47"/>
  <c r="O39"/>
  <c r="L61"/>
  <c r="N49"/>
  <c r="L63" l="1"/>
  <c r="L62"/>
  <c r="N52"/>
  <c r="O52" s="1"/>
  <c r="N50"/>
  <c r="L67"/>
  <c r="H50"/>
  <c r="O47"/>
  <c r="N47"/>
  <c r="H61"/>
  <c r="N51"/>
  <c r="O51" s="1"/>
  <c r="O49"/>
  <c r="L65" l="1"/>
  <c r="N63"/>
  <c r="H63"/>
  <c r="H62"/>
  <c r="O61"/>
  <c r="L69"/>
  <c r="L68"/>
  <c r="O50"/>
  <c r="H67"/>
  <c r="N62"/>
  <c r="N61"/>
  <c r="H69" l="1"/>
  <c r="H68"/>
  <c r="L71"/>
  <c r="O63"/>
  <c r="H65"/>
  <c r="N67"/>
  <c r="O67" s="1"/>
  <c r="N68"/>
  <c r="O62"/>
  <c r="H71" l="1"/>
  <c r="O69"/>
  <c r="O68"/>
  <c r="N65"/>
  <c r="O65" s="1"/>
  <c r="N69"/>
  <c r="O71" l="1"/>
  <c r="N71"/>
  <c r="O70" i="5" l="1"/>
  <c r="N70"/>
  <c r="O64"/>
  <c r="N64"/>
  <c r="K59"/>
  <c r="L59" s="1"/>
  <c r="N59" s="1"/>
  <c r="G59"/>
  <c r="H59" s="1"/>
  <c r="K58"/>
  <c r="L58" s="1"/>
  <c r="H58"/>
  <c r="K57"/>
  <c r="L57" s="1"/>
  <c r="N57" s="1"/>
  <c r="H57"/>
  <c r="G57"/>
  <c r="G56"/>
  <c r="H56" s="1"/>
  <c r="K55"/>
  <c r="L55" s="1"/>
  <c r="N55" s="1"/>
  <c r="H55"/>
  <c r="G55"/>
  <c r="L54"/>
  <c r="N54" s="1"/>
  <c r="K54"/>
  <c r="H54"/>
  <c r="N53"/>
  <c r="O53" s="1"/>
  <c r="L53"/>
  <c r="H53"/>
  <c r="G52"/>
  <c r="H52" s="1"/>
  <c r="K51"/>
  <c r="L51" s="1"/>
  <c r="H51"/>
  <c r="L49"/>
  <c r="N49" s="1"/>
  <c r="K49"/>
  <c r="G49"/>
  <c r="H49" s="1"/>
  <c r="L48"/>
  <c r="N48" s="1"/>
  <c r="O48" s="1"/>
  <c r="H48"/>
  <c r="N46"/>
  <c r="L46"/>
  <c r="H46"/>
  <c r="K45"/>
  <c r="L45" s="1"/>
  <c r="N45" s="1"/>
  <c r="J45"/>
  <c r="H45"/>
  <c r="G45"/>
  <c r="F45"/>
  <c r="K44"/>
  <c r="L44" s="1"/>
  <c r="G44"/>
  <c r="H44" s="1"/>
  <c r="K43"/>
  <c r="L43" s="1"/>
  <c r="G43"/>
  <c r="H43" s="1"/>
  <c r="O43" s="1"/>
  <c r="K42"/>
  <c r="L42" s="1"/>
  <c r="G42"/>
  <c r="H42" s="1"/>
  <c r="O42" s="1"/>
  <c r="K41"/>
  <c r="L41" s="1"/>
  <c r="G41"/>
  <c r="H41" s="1"/>
  <c r="O41" s="1"/>
  <c r="K40"/>
  <c r="L40" s="1"/>
  <c r="G40"/>
  <c r="H40" s="1"/>
  <c r="O40" s="1"/>
  <c r="K38"/>
  <c r="L38" s="1"/>
  <c r="G38"/>
  <c r="H38" s="1"/>
  <c r="O38" s="1"/>
  <c r="K37"/>
  <c r="L37" s="1"/>
  <c r="G37"/>
  <c r="H37" s="1"/>
  <c r="O37" s="1"/>
  <c r="K36"/>
  <c r="L36" s="1"/>
  <c r="G36"/>
  <c r="H36" s="1"/>
  <c r="O36" s="1"/>
  <c r="K35"/>
  <c r="L35" s="1"/>
  <c r="G35"/>
  <c r="H35" s="1"/>
  <c r="O35" s="1"/>
  <c r="K34"/>
  <c r="L34" s="1"/>
  <c r="G34"/>
  <c r="H34" s="1"/>
  <c r="O34" s="1"/>
  <c r="K33"/>
  <c r="L33" s="1"/>
  <c r="G33"/>
  <c r="H33" s="1"/>
  <c r="K32"/>
  <c r="L32" s="1"/>
  <c r="G32"/>
  <c r="H32" s="1"/>
  <c r="K31"/>
  <c r="L31" s="1"/>
  <c r="G31"/>
  <c r="H31" s="1"/>
  <c r="O31" s="1"/>
  <c r="K30"/>
  <c r="L30" s="1"/>
  <c r="G30"/>
  <c r="H30" s="1"/>
  <c r="O30" s="1"/>
  <c r="K29"/>
  <c r="L29" s="1"/>
  <c r="N29" s="1"/>
  <c r="G29"/>
  <c r="H29" s="1"/>
  <c r="L28"/>
  <c r="H28"/>
  <c r="N28" s="1"/>
  <c r="L27"/>
  <c r="H27"/>
  <c r="N27" s="1"/>
  <c r="L26"/>
  <c r="H26"/>
  <c r="N26" s="1"/>
  <c r="L25"/>
  <c r="H25"/>
  <c r="N25" s="1"/>
  <c r="L24"/>
  <c r="H24"/>
  <c r="N24" s="1"/>
  <c r="L23"/>
  <c r="H23"/>
  <c r="O1"/>
  <c r="N31" l="1"/>
  <c r="N33"/>
  <c r="N35"/>
  <c r="N37"/>
  <c r="N40"/>
  <c r="N42"/>
  <c r="N44"/>
  <c r="O54"/>
  <c r="O55"/>
  <c r="O57"/>
  <c r="O59"/>
  <c r="N58"/>
  <c r="O58" s="1"/>
  <c r="L39"/>
  <c r="N51"/>
  <c r="O51" s="1"/>
  <c r="H39"/>
  <c r="O29"/>
  <c r="O33"/>
  <c r="O44"/>
  <c r="O45"/>
  <c r="O49"/>
  <c r="N30"/>
  <c r="N32"/>
  <c r="O32" s="1"/>
  <c r="N34"/>
  <c r="N36"/>
  <c r="N38"/>
  <c r="N41"/>
  <c r="N43"/>
  <c r="O24"/>
  <c r="O25"/>
  <c r="O26"/>
  <c r="O27"/>
  <c r="O28"/>
  <c r="K56"/>
  <c r="L56" s="1"/>
  <c r="N56" s="1"/>
  <c r="O56" s="1"/>
  <c r="N23"/>
  <c r="O23" s="1"/>
  <c r="K52"/>
  <c r="L52" s="1"/>
  <c r="N52" s="1"/>
  <c r="O52" s="1"/>
  <c r="H47" l="1"/>
  <c r="O39"/>
  <c r="L47"/>
  <c r="N39"/>
  <c r="L50" l="1"/>
  <c r="N47"/>
  <c r="O47" s="1"/>
  <c r="H50"/>
  <c r="O50" l="1"/>
  <c r="H61"/>
  <c r="H67"/>
  <c r="N50"/>
  <c r="L67"/>
  <c r="L61"/>
  <c r="N67" l="1"/>
  <c r="L69"/>
  <c r="L68"/>
  <c r="N68" s="1"/>
  <c r="L63"/>
  <c r="L62"/>
  <c r="N61"/>
  <c r="O61" s="1"/>
  <c r="H63"/>
  <c r="H62"/>
  <c r="O67"/>
  <c r="H69"/>
  <c r="H68"/>
  <c r="L71" l="1"/>
  <c r="N69"/>
  <c r="H65"/>
  <c r="N62"/>
  <c r="O69"/>
  <c r="H71"/>
  <c r="N63"/>
  <c r="O63" s="1"/>
  <c r="L65"/>
  <c r="O68"/>
  <c r="O62"/>
  <c r="N65" l="1"/>
  <c r="N71"/>
  <c r="O71" s="1"/>
  <c r="O65"/>
  <c r="L59" i="4" l="1"/>
  <c r="K59"/>
  <c r="G59"/>
  <c r="H59" s="1"/>
  <c r="H58"/>
  <c r="G58"/>
  <c r="K58" s="1"/>
  <c r="L58" s="1"/>
  <c r="L57"/>
  <c r="N57" s="1"/>
  <c r="K57"/>
  <c r="G57"/>
  <c r="H57" s="1"/>
  <c r="H56"/>
  <c r="G56"/>
  <c r="K56" s="1"/>
  <c r="L56" s="1"/>
  <c r="N56" s="1"/>
  <c r="L55"/>
  <c r="N55" s="1"/>
  <c r="K55"/>
  <c r="G55"/>
  <c r="H55" s="1"/>
  <c r="K54"/>
  <c r="L54" s="1"/>
  <c r="N54" s="1"/>
  <c r="H54"/>
  <c r="G54"/>
  <c r="L53"/>
  <c r="N53" s="1"/>
  <c r="H53"/>
  <c r="O53" s="1"/>
  <c r="L49"/>
  <c r="K49"/>
  <c r="K51" s="1"/>
  <c r="L51" s="1"/>
  <c r="K48"/>
  <c r="L48" s="1"/>
  <c r="N48" s="1"/>
  <c r="H48"/>
  <c r="O48" s="1"/>
  <c r="G48"/>
  <c r="G49" s="1"/>
  <c r="L46"/>
  <c r="N46" s="1"/>
  <c r="H46"/>
  <c r="K45"/>
  <c r="L45" s="1"/>
  <c r="N45" s="1"/>
  <c r="J45"/>
  <c r="G45"/>
  <c r="H45" s="1"/>
  <c r="F45"/>
  <c r="K44"/>
  <c r="L44" s="1"/>
  <c r="N44" s="1"/>
  <c r="H44"/>
  <c r="G44"/>
  <c r="L43"/>
  <c r="K43"/>
  <c r="G43"/>
  <c r="H43" s="1"/>
  <c r="K42"/>
  <c r="L42" s="1"/>
  <c r="N42" s="1"/>
  <c r="H42"/>
  <c r="O42" s="1"/>
  <c r="G42"/>
  <c r="L41"/>
  <c r="K41"/>
  <c r="G41"/>
  <c r="H41" s="1"/>
  <c r="K40"/>
  <c r="L40" s="1"/>
  <c r="N40" s="1"/>
  <c r="H40"/>
  <c r="O40" s="1"/>
  <c r="G40"/>
  <c r="L38"/>
  <c r="K38"/>
  <c r="G38"/>
  <c r="H38" s="1"/>
  <c r="K37"/>
  <c r="L37" s="1"/>
  <c r="N37" s="1"/>
  <c r="H37"/>
  <c r="O37" s="1"/>
  <c r="G37"/>
  <c r="L36"/>
  <c r="K36"/>
  <c r="G36"/>
  <c r="H36" s="1"/>
  <c r="K35"/>
  <c r="L35" s="1"/>
  <c r="N35" s="1"/>
  <c r="H35"/>
  <c r="O35" s="1"/>
  <c r="G35"/>
  <c r="L34"/>
  <c r="K34"/>
  <c r="G34"/>
  <c r="H34" s="1"/>
  <c r="K33"/>
  <c r="L33" s="1"/>
  <c r="N33" s="1"/>
  <c r="H33"/>
  <c r="G33"/>
  <c r="L32"/>
  <c r="K32"/>
  <c r="G32"/>
  <c r="H32" s="1"/>
  <c r="K31"/>
  <c r="L31" s="1"/>
  <c r="N31" s="1"/>
  <c r="H31"/>
  <c r="O31" s="1"/>
  <c r="G31"/>
  <c r="L30"/>
  <c r="K30"/>
  <c r="G30"/>
  <c r="H30" s="1"/>
  <c r="K29"/>
  <c r="L29" s="1"/>
  <c r="N29" s="1"/>
  <c r="H29"/>
  <c r="G29"/>
  <c r="O28"/>
  <c r="N28"/>
  <c r="L28"/>
  <c r="H28"/>
  <c r="O27"/>
  <c r="N27"/>
  <c r="L27"/>
  <c r="H27"/>
  <c r="N26"/>
  <c r="O26" s="1"/>
  <c r="L26"/>
  <c r="H26"/>
  <c r="N25"/>
  <c r="O25" s="1"/>
  <c r="L25"/>
  <c r="H25"/>
  <c r="O24"/>
  <c r="N24"/>
  <c r="L24"/>
  <c r="H24"/>
  <c r="N23"/>
  <c r="O23" s="1"/>
  <c r="L23"/>
  <c r="L39" s="1"/>
  <c r="H23"/>
  <c r="H39" s="1"/>
  <c r="O1"/>
  <c r="N39" l="1"/>
  <c r="L47"/>
  <c r="O39"/>
  <c r="H47"/>
  <c r="O30"/>
  <c r="N30"/>
  <c r="O34"/>
  <c r="N34"/>
  <c r="O38"/>
  <c r="N38"/>
  <c r="O43"/>
  <c r="N43"/>
  <c r="G52"/>
  <c r="H52" s="1"/>
  <c r="H49"/>
  <c r="G51"/>
  <c r="H51" s="1"/>
  <c r="O32"/>
  <c r="N32"/>
  <c r="O36"/>
  <c r="N36"/>
  <c r="O41"/>
  <c r="N41"/>
  <c r="N58"/>
  <c r="O44"/>
  <c r="O54"/>
  <c r="O45"/>
  <c r="O57"/>
  <c r="O29"/>
  <c r="O33"/>
  <c r="O55"/>
  <c r="O56"/>
  <c r="N59"/>
  <c r="O59" s="1"/>
  <c r="O58"/>
  <c r="K52"/>
  <c r="L52" s="1"/>
  <c r="N52" s="1"/>
  <c r="N47" l="1"/>
  <c r="L50"/>
  <c r="O51"/>
  <c r="O47"/>
  <c r="H50"/>
  <c r="O49"/>
  <c r="N49"/>
  <c r="N51"/>
  <c r="L61"/>
  <c r="O52"/>
  <c r="L63" l="1"/>
  <c r="L62"/>
  <c r="H67"/>
  <c r="N50"/>
  <c r="O50" s="1"/>
  <c r="L67"/>
  <c r="H61"/>
  <c r="L65" l="1"/>
  <c r="L64"/>
  <c r="N67"/>
  <c r="L68"/>
  <c r="L69"/>
  <c r="H63"/>
  <c r="N63" s="1"/>
  <c r="H62"/>
  <c r="O67"/>
  <c r="H69"/>
  <c r="H68"/>
  <c r="N62"/>
  <c r="N61"/>
  <c r="O61" s="1"/>
  <c r="N69" l="1"/>
  <c r="L71"/>
  <c r="N71" s="1"/>
  <c r="L70"/>
  <c r="N70" s="1"/>
  <c r="O62"/>
  <c r="N68"/>
  <c r="O69"/>
  <c r="H71"/>
  <c r="H70"/>
  <c r="O63"/>
  <c r="H65"/>
  <c r="H64"/>
  <c r="O68"/>
  <c r="N65" l="1"/>
  <c r="O65" s="1"/>
  <c r="O70"/>
  <c r="O71"/>
  <c r="N64"/>
  <c r="O64" s="1"/>
  <c r="G59" i="3" l="1"/>
  <c r="H59" s="1"/>
  <c r="K58"/>
  <c r="L58" s="1"/>
  <c r="H58"/>
  <c r="G58"/>
  <c r="G57"/>
  <c r="K57" s="1"/>
  <c r="L57" s="1"/>
  <c r="K56"/>
  <c r="L56" s="1"/>
  <c r="N56" s="1"/>
  <c r="H56"/>
  <c r="G56"/>
  <c r="G55"/>
  <c r="K55" s="1"/>
  <c r="L55" s="1"/>
  <c r="K54"/>
  <c r="L54" s="1"/>
  <c r="N54" s="1"/>
  <c r="H54"/>
  <c r="G54"/>
  <c r="N53"/>
  <c r="L53"/>
  <c r="H53"/>
  <c r="O53" s="1"/>
  <c r="G49"/>
  <c r="G51" s="1"/>
  <c r="H51" s="1"/>
  <c r="K48"/>
  <c r="K49" s="1"/>
  <c r="H48"/>
  <c r="G48"/>
  <c r="L46"/>
  <c r="N46" s="1"/>
  <c r="H46"/>
  <c r="L45"/>
  <c r="N45" s="1"/>
  <c r="K45"/>
  <c r="J45"/>
  <c r="G45"/>
  <c r="H45" s="1"/>
  <c r="F45"/>
  <c r="L44"/>
  <c r="N44" s="1"/>
  <c r="K44"/>
  <c r="H44"/>
  <c r="G44"/>
  <c r="L43"/>
  <c r="K43"/>
  <c r="H43"/>
  <c r="N43" s="1"/>
  <c r="G43"/>
  <c r="L42"/>
  <c r="N42" s="1"/>
  <c r="K42"/>
  <c r="H42"/>
  <c r="O42" s="1"/>
  <c r="G42"/>
  <c r="L41"/>
  <c r="K41"/>
  <c r="H41"/>
  <c r="N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N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G33"/>
  <c r="L32"/>
  <c r="K32"/>
  <c r="H32"/>
  <c r="N32" s="1"/>
  <c r="G32"/>
  <c r="L31"/>
  <c r="N31" s="1"/>
  <c r="K31"/>
  <c r="H31"/>
  <c r="O31" s="1"/>
  <c r="G31"/>
  <c r="L30"/>
  <c r="K30"/>
  <c r="H30"/>
  <c r="O30" s="1"/>
  <c r="G30"/>
  <c r="L29"/>
  <c r="N29" s="1"/>
  <c r="K29"/>
  <c r="H29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H47" l="1"/>
  <c r="O39"/>
  <c r="N58"/>
  <c r="L47"/>
  <c r="N39"/>
  <c r="L49"/>
  <c r="N49" s="1"/>
  <c r="K52"/>
  <c r="L52" s="1"/>
  <c r="N52" s="1"/>
  <c r="K51"/>
  <c r="L51" s="1"/>
  <c r="O54"/>
  <c r="O56"/>
  <c r="O58"/>
  <c r="O29"/>
  <c r="O33"/>
  <c r="O44"/>
  <c r="O45"/>
  <c r="N57"/>
  <c r="O34"/>
  <c r="O38"/>
  <c r="O41"/>
  <c r="O43"/>
  <c r="G52"/>
  <c r="H52" s="1"/>
  <c r="N30"/>
  <c r="K59"/>
  <c r="L59" s="1"/>
  <c r="N59" s="1"/>
  <c r="O59" s="1"/>
  <c r="L48"/>
  <c r="N48" s="1"/>
  <c r="O48" s="1"/>
  <c r="H49"/>
  <c r="H55"/>
  <c r="H57"/>
  <c r="O32"/>
  <c r="O36"/>
  <c r="N51" l="1"/>
  <c r="O51" s="1"/>
  <c r="L61"/>
  <c r="L50"/>
  <c r="N47"/>
  <c r="O57"/>
  <c r="O47"/>
  <c r="H50"/>
  <c r="O52"/>
  <c r="O49"/>
  <c r="N55"/>
  <c r="O55" s="1"/>
  <c r="L62" l="1"/>
  <c r="L63"/>
  <c r="H67"/>
  <c r="N50"/>
  <c r="O50" s="1"/>
  <c r="L67"/>
  <c r="H61"/>
  <c r="H63" l="1"/>
  <c r="H62"/>
  <c r="H68"/>
  <c r="N62"/>
  <c r="N67"/>
  <c r="O67" s="1"/>
  <c r="L68"/>
  <c r="N68" s="1"/>
  <c r="L65"/>
  <c r="L64"/>
  <c r="N61"/>
  <c r="O61" s="1"/>
  <c r="O63" l="1"/>
  <c r="H64"/>
  <c r="H65" s="1"/>
  <c r="O68"/>
  <c r="O62"/>
  <c r="N64"/>
  <c r="N63"/>
  <c r="L69"/>
  <c r="H69"/>
  <c r="N65" l="1"/>
  <c r="O65" s="1"/>
  <c r="H71"/>
  <c r="H70"/>
  <c r="L70"/>
  <c r="N70" s="1"/>
  <c r="N69"/>
  <c r="O69" s="1"/>
  <c r="O64"/>
  <c r="O70" l="1"/>
  <c r="L71"/>
  <c r="N71" s="1"/>
  <c r="O71" s="1"/>
  <c r="G59" i="2" l="1"/>
  <c r="K59" s="1"/>
  <c r="L59" s="1"/>
  <c r="G58"/>
  <c r="H58" s="1"/>
  <c r="K57"/>
  <c r="L57" s="1"/>
  <c r="N57" s="1"/>
  <c r="G57"/>
  <c r="H57" s="1"/>
  <c r="G56"/>
  <c r="H56" s="1"/>
  <c r="K55"/>
  <c r="L55" s="1"/>
  <c r="G55"/>
  <c r="H55" s="1"/>
  <c r="K54"/>
  <c r="L54" s="1"/>
  <c r="G54"/>
  <c r="H54" s="1"/>
  <c r="O54" s="1"/>
  <c r="L53"/>
  <c r="H53"/>
  <c r="N53" s="1"/>
  <c r="K49"/>
  <c r="K52" s="1"/>
  <c r="L52" s="1"/>
  <c r="K48"/>
  <c r="L48" s="1"/>
  <c r="N48" s="1"/>
  <c r="G48"/>
  <c r="H48" s="1"/>
  <c r="L46"/>
  <c r="N46" s="1"/>
  <c r="H46"/>
  <c r="K45"/>
  <c r="J45"/>
  <c r="L45" s="1"/>
  <c r="G45"/>
  <c r="H45" s="1"/>
  <c r="F45"/>
  <c r="K44"/>
  <c r="L44" s="1"/>
  <c r="N44" s="1"/>
  <c r="H44"/>
  <c r="G44"/>
  <c r="L43"/>
  <c r="N43" s="1"/>
  <c r="K43"/>
  <c r="G43"/>
  <c r="H43" s="1"/>
  <c r="O43" s="1"/>
  <c r="K42"/>
  <c r="L42" s="1"/>
  <c r="N42" s="1"/>
  <c r="H42"/>
  <c r="O42" s="1"/>
  <c r="G42"/>
  <c r="L41"/>
  <c r="K41"/>
  <c r="G41"/>
  <c r="H41" s="1"/>
  <c r="O41" s="1"/>
  <c r="K40"/>
  <c r="L40" s="1"/>
  <c r="N40" s="1"/>
  <c r="H40"/>
  <c r="O40" s="1"/>
  <c r="G40"/>
  <c r="L38"/>
  <c r="K38"/>
  <c r="G38"/>
  <c r="H38" s="1"/>
  <c r="O38" s="1"/>
  <c r="K37"/>
  <c r="L37" s="1"/>
  <c r="N37" s="1"/>
  <c r="H37"/>
  <c r="O37" s="1"/>
  <c r="G37"/>
  <c r="L36"/>
  <c r="N36" s="1"/>
  <c r="K36"/>
  <c r="G36"/>
  <c r="H36" s="1"/>
  <c r="O36" s="1"/>
  <c r="K35"/>
  <c r="L35" s="1"/>
  <c r="N35" s="1"/>
  <c r="H35"/>
  <c r="O35" s="1"/>
  <c r="G35"/>
  <c r="L34"/>
  <c r="K34"/>
  <c r="G34"/>
  <c r="H34" s="1"/>
  <c r="O34" s="1"/>
  <c r="K33"/>
  <c r="L33" s="1"/>
  <c r="N33" s="1"/>
  <c r="H33"/>
  <c r="G33"/>
  <c r="L32"/>
  <c r="N32" s="1"/>
  <c r="K32"/>
  <c r="G32"/>
  <c r="H32" s="1"/>
  <c r="K31"/>
  <c r="L31" s="1"/>
  <c r="N31" s="1"/>
  <c r="H31"/>
  <c r="O31" s="1"/>
  <c r="G31"/>
  <c r="L30"/>
  <c r="K30"/>
  <c r="G30"/>
  <c r="H30" s="1"/>
  <c r="O30" s="1"/>
  <c r="L29"/>
  <c r="N29" s="1"/>
  <c r="K29"/>
  <c r="H29"/>
  <c r="G29"/>
  <c r="O28"/>
  <c r="L28"/>
  <c r="N28" s="1"/>
  <c r="H28"/>
  <c r="O27"/>
  <c r="L27"/>
  <c r="N27" s="1"/>
  <c r="H27"/>
  <c r="L26"/>
  <c r="N26" s="1"/>
  <c r="O26" s="1"/>
  <c r="H26"/>
  <c r="L25"/>
  <c r="N25" s="1"/>
  <c r="O25" s="1"/>
  <c r="H25"/>
  <c r="L24"/>
  <c r="N24" s="1"/>
  <c r="O24" s="1"/>
  <c r="H24"/>
  <c r="L23"/>
  <c r="L39" s="1"/>
  <c r="H23"/>
  <c r="H39" s="1"/>
  <c r="O1"/>
  <c r="L47" l="1"/>
  <c r="N39"/>
  <c r="O39" s="1"/>
  <c r="O45"/>
  <c r="O29"/>
  <c r="N41"/>
  <c r="O44"/>
  <c r="N45"/>
  <c r="O48"/>
  <c r="N55"/>
  <c r="O55" s="1"/>
  <c r="H47"/>
  <c r="N30"/>
  <c r="O32"/>
  <c r="O33"/>
  <c r="N34"/>
  <c r="N38"/>
  <c r="N54"/>
  <c r="O57"/>
  <c r="O53"/>
  <c r="H59"/>
  <c r="O59" s="1"/>
  <c r="G49"/>
  <c r="K51"/>
  <c r="L51" s="1"/>
  <c r="K56"/>
  <c r="L56" s="1"/>
  <c r="N56" s="1"/>
  <c r="O56" s="1"/>
  <c r="K58"/>
  <c r="L58" s="1"/>
  <c r="N23"/>
  <c r="O23" s="1"/>
  <c r="L49"/>
  <c r="O47" l="1"/>
  <c r="L50"/>
  <c r="N47"/>
  <c r="G51"/>
  <c r="H51" s="1"/>
  <c r="G52"/>
  <c r="H52" s="1"/>
  <c r="H49"/>
  <c r="N49" s="1"/>
  <c r="N58"/>
  <c r="O58" s="1"/>
  <c r="L67"/>
  <c r="N59"/>
  <c r="N51"/>
  <c r="L68" l="1"/>
  <c r="O51"/>
  <c r="H50"/>
  <c r="O52"/>
  <c r="N52"/>
  <c r="O49"/>
  <c r="N50"/>
  <c r="L61"/>
  <c r="O50" l="1"/>
  <c r="H67"/>
  <c r="L63"/>
  <c r="L62"/>
  <c r="N61"/>
  <c r="H61"/>
  <c r="L69"/>
  <c r="H69" l="1"/>
  <c r="H68"/>
  <c r="O67"/>
  <c r="N67"/>
  <c r="H63"/>
  <c r="H62"/>
  <c r="O61"/>
  <c r="L64"/>
  <c r="L71"/>
  <c r="L70"/>
  <c r="N69"/>
  <c r="N62"/>
  <c r="H65" l="1"/>
  <c r="H64"/>
  <c r="H70"/>
  <c r="O69"/>
  <c r="O68"/>
  <c r="N68"/>
  <c r="N64"/>
  <c r="N63"/>
  <c r="O63" s="1"/>
  <c r="O62"/>
  <c r="N70"/>
  <c r="L65"/>
  <c r="O70" l="1"/>
  <c r="O65"/>
  <c r="N65"/>
  <c r="O64"/>
  <c r="H71"/>
  <c r="O71" l="1"/>
  <c r="N71"/>
  <c r="G59" i="1" l="1"/>
  <c r="H59" s="1"/>
  <c r="K58"/>
  <c r="L58" s="1"/>
  <c r="G58"/>
  <c r="H58" s="1"/>
  <c r="G57"/>
  <c r="H57" s="1"/>
  <c r="K56"/>
  <c r="L56" s="1"/>
  <c r="N56" s="1"/>
  <c r="G56"/>
  <c r="H56" s="1"/>
  <c r="G55"/>
  <c r="H55" s="1"/>
  <c r="K54"/>
  <c r="L54" s="1"/>
  <c r="N54" s="1"/>
  <c r="G54"/>
  <c r="H54" s="1"/>
  <c r="N53"/>
  <c r="L53"/>
  <c r="H53"/>
  <c r="O53" s="1"/>
  <c r="G49"/>
  <c r="H49" s="1"/>
  <c r="K48"/>
  <c r="L48" s="1"/>
  <c r="G48"/>
  <c r="H48" s="1"/>
  <c r="L46"/>
  <c r="N46" s="1"/>
  <c r="H46"/>
  <c r="L45"/>
  <c r="K45"/>
  <c r="J45"/>
  <c r="G45"/>
  <c r="H45" s="1"/>
  <c r="F45"/>
  <c r="L44"/>
  <c r="N44" s="1"/>
  <c r="K44"/>
  <c r="H44"/>
  <c r="G44"/>
  <c r="L43"/>
  <c r="K43"/>
  <c r="H43"/>
  <c r="N43" s="1"/>
  <c r="G43"/>
  <c r="L42"/>
  <c r="N42" s="1"/>
  <c r="K42"/>
  <c r="H42"/>
  <c r="O42" s="1"/>
  <c r="G42"/>
  <c r="L41"/>
  <c r="K41"/>
  <c r="H41"/>
  <c r="N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N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G33"/>
  <c r="L32"/>
  <c r="K32"/>
  <c r="H32"/>
  <c r="N32" s="1"/>
  <c r="G32"/>
  <c r="L31"/>
  <c r="N31" s="1"/>
  <c r="K31"/>
  <c r="H31"/>
  <c r="O31" s="1"/>
  <c r="G31"/>
  <c r="L30"/>
  <c r="K30"/>
  <c r="H30"/>
  <c r="N30" s="1"/>
  <c r="G30"/>
  <c r="L29"/>
  <c r="N29" s="1"/>
  <c r="K29"/>
  <c r="H29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L47" l="1"/>
  <c r="N39"/>
  <c r="O39" s="1"/>
  <c r="H47"/>
  <c r="N58"/>
  <c r="O58" s="1"/>
  <c r="O57"/>
  <c r="O29"/>
  <c r="O33"/>
  <c r="O44"/>
  <c r="O54"/>
  <c r="N45"/>
  <c r="O45" s="1"/>
  <c r="N48"/>
  <c r="O48" s="1"/>
  <c r="O56"/>
  <c r="O30"/>
  <c r="O32"/>
  <c r="O34"/>
  <c r="O36"/>
  <c r="O38"/>
  <c r="O41"/>
  <c r="O43"/>
  <c r="G52"/>
  <c r="H52" s="1"/>
  <c r="K49"/>
  <c r="G51"/>
  <c r="H51" s="1"/>
  <c r="K55"/>
  <c r="L55" s="1"/>
  <c r="N55" s="1"/>
  <c r="O55" s="1"/>
  <c r="K57"/>
  <c r="L57" s="1"/>
  <c r="N57" s="1"/>
  <c r="K59"/>
  <c r="L59" s="1"/>
  <c r="N59" s="1"/>
  <c r="O59" s="1"/>
  <c r="N47" l="1"/>
  <c r="O47" s="1"/>
  <c r="H50"/>
  <c r="L49"/>
  <c r="N49" s="1"/>
  <c r="O49" s="1"/>
  <c r="K52"/>
  <c r="L52" s="1"/>
  <c r="N52" s="1"/>
  <c r="O52" s="1"/>
  <c r="K51"/>
  <c r="L51" s="1"/>
  <c r="N51" l="1"/>
  <c r="O51" s="1"/>
  <c r="H67"/>
  <c r="L50"/>
  <c r="H61"/>
  <c r="H68" l="1"/>
  <c r="N50"/>
  <c r="O50" s="1"/>
  <c r="L67"/>
  <c r="H63"/>
  <c r="H62"/>
  <c r="L61"/>
  <c r="H64" l="1"/>
  <c r="L62"/>
  <c r="N62" s="1"/>
  <c r="N61"/>
  <c r="O61" s="1"/>
  <c r="L69"/>
  <c r="L68"/>
  <c r="N68" s="1"/>
  <c r="O68" s="1"/>
  <c r="N67"/>
  <c r="O67" s="1"/>
  <c r="O62"/>
  <c r="H69"/>
  <c r="H65" l="1"/>
  <c r="L70"/>
  <c r="L71" s="1"/>
  <c r="N71" s="1"/>
  <c r="N69"/>
  <c r="O69" s="1"/>
  <c r="H70"/>
  <c r="H71" s="1"/>
  <c r="L63"/>
  <c r="O71" l="1"/>
  <c r="L64"/>
  <c r="N64" s="1"/>
  <c r="O64" s="1"/>
  <c r="N63"/>
  <c r="O63" s="1"/>
  <c r="O70"/>
  <c r="N70"/>
  <c r="L65" l="1"/>
  <c r="N65" s="1"/>
  <c r="O65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<sst xmlns="http://schemas.openxmlformats.org/spreadsheetml/2006/main" count="1022" uniqueCount="89">
  <si>
    <t>File Number:</t>
  </si>
  <si>
    <t>Exhibit:</t>
  </si>
  <si>
    <t>Tab:</t>
  </si>
  <si>
    <t>Schedule:</t>
  </si>
  <si>
    <t>Attachment:</t>
  </si>
  <si>
    <t>Date:</t>
  </si>
  <si>
    <t>Appendix 2-W</t>
  </si>
  <si>
    <t>Bill Impacts</t>
  </si>
  <si>
    <t>Customer Class:</t>
  </si>
  <si>
    <t>Residential - 800 kWh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</si>
  <si>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</si>
  <si>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</si>
  <si>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</si>
  <si>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</si>
  <si>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</si>
  <si>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</si>
  <si>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</si>
  <si>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</si>
  <si>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</si>
  <si>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</si>
  <si>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</si>
  <si>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</si>
  <si>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</si>
  <si>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</si>
  <si>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</si>
  <si>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</si>
  <si>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</si>
  <si>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ICM rate rider</t>
  </si>
  <si>
    <t>Smart Meter IRR</t>
  </si>
  <si>
    <t>Stranded Assets</t>
  </si>
  <si>
    <t>Distribution Volumetric Rate</t>
  </si>
  <si>
    <t>per kWh</t>
  </si>
  <si>
    <t>Smart Meter Disposition Rider</t>
  </si>
  <si>
    <t>LRAM &amp; SSM Rate Rider</t>
  </si>
  <si>
    <t>ICM rate rider (variable)</t>
  </si>
  <si>
    <t>Tax change rate rider</t>
  </si>
  <si>
    <t>Sub-Total A (excluding pass through)</t>
  </si>
  <si>
    <t>Deferral/Variance Account Disposition Rate Rider</t>
  </si>
  <si>
    <t>Disposition 1575/1576</t>
  </si>
  <si>
    <t>Rate Rider - Global Adjustment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</si>
  <si>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</si>
  <si>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</si>
  <si>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</si>
  <si>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</si>
  <si>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</si>
  <si>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</si>
  <si>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</si>
  <si>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</si>
  <si>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</si>
  <si>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</si>
  <si>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</si>
  <si>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</si>
  <si>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</si>
  <si>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</si>
  <si>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</si>
  <si>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</si>
  <si>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</si>
  <si>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</si>
  <si>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</si>
  <si>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</si>
  <si>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</si>
  <si>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</si>
  <si>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</si>
  <si>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</si>
  <si>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</si>
  <si>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</si>
  <si>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</si>
  <si>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</si>
  <si>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</si>
  <si>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</si>
  <si>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</si>
  <si>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</si>
  <si>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</si>
  <si>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</si>
  <si>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</si>
  <si>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</si>
  <si>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GS &lt; 50 kW - 2000 kWh</t>
  </si>
  <si>
    <t>GS &lt; 50 kW</t>
  </si>
  <si>
    <t>GS &gt; 50 kW Interval   600 kW and 306,600 kWh</t>
  </si>
  <si>
    <t>non-TOU</t>
  </si>
  <si>
    <t>per kW</t>
  </si>
  <si>
    <t>GS &gt; 50 kW  - 100 kW and 51,100 kWh</t>
  </si>
  <si>
    <t>Large Use   5000 kW  and 2,555,000 kWh</t>
  </si>
  <si>
    <t>Unmetered Scattered Load</t>
  </si>
  <si>
    <t>Street Lights - 657kW  239805 kWh</t>
  </si>
  <si>
    <t xml:space="preserve">kWh </t>
  </si>
  <si>
    <t xml:space="preserve"> kW</t>
  </si>
  <si>
    <t>Sentinel Lights .36 kW and 131 kWh</t>
  </si>
  <si>
    <t>kWh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</si>
</sst>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07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0" borderId="0" xfId="0" applyFont="1"/>
    <xf numFmtId="0" fontId="5" fillId="0" borderId="0" xfId="0" applyFont="1" applyAlignment="1">
      <alignment horizontal="right" vertical="top"/>
    </xf>
    <xf numFmtId="0" fontId="6" fillId="2" borderId="0" xfId="0" applyFont="1" applyFill="1" applyBorder="1" applyAlignment="1" applyProtection="1"/>
    <xf numFmtId="0" fontId="5" fillId="3" borderId="1" xfId="0" applyFont="1" applyFill="1" applyBorder="1" applyAlignment="1">
      <alignment horizontal="right" vertical="top"/>
    </xf>
    <xf numFmtId="0" fontId="6" fillId="2" borderId="0" xfId="0" applyFont="1" applyFill="1" applyBorder="1" applyAlignment="1" applyProtection="1">
      <alignment horizontal="left" indent="7"/>
    </xf>
    <xf numFmtId="0" fontId="0" fillId="2" borderId="0" xfId="0" applyFill="1" applyBorder="1" applyAlignment="1" applyProtection="1">
      <alignment horizontal="left" indent="1"/>
    </xf>
    <xf numFmtId="0" fontId="7" fillId="2" borderId="0" xfId="0" applyFont="1" applyFill="1" applyBorder="1" applyAlignment="1" applyProtection="1"/>
    <xf numFmtId="0" fontId="5" fillId="3" borderId="0" xfId="0" applyFont="1" applyFill="1" applyAlignment="1">
      <alignment horizontal="right" vertical="top"/>
    </xf>
    <xf numFmtId="15" fontId="5" fillId="3" borderId="0" xfId="0" applyNumberFormat="1" applyFont="1" applyFill="1" applyAlignment="1">
      <alignment horizontal="right" vertical="top"/>
    </xf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7" fillId="3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9" fillId="0" borderId="0" xfId="0" applyFont="1" applyProtection="1"/>
    <xf numFmtId="0" fontId="4" fillId="0" borderId="0" xfId="0" applyFont="1" applyProtection="1"/>
    <xf numFmtId="164" fontId="4" fillId="3" borderId="2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0" xfId="0" quotePrefix="1" applyFont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9" fillId="3" borderId="0" xfId="0" applyFont="1" applyFill="1" applyAlignment="1" applyProtection="1">
      <alignment vertical="top"/>
    </xf>
    <xf numFmtId="0" fontId="9" fillId="4" borderId="0" xfId="0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</xf>
    <xf numFmtId="0" fontId="9" fillId="3" borderId="0" xfId="0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4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4" fillId="5" borderId="2" xfId="0" applyNumberFormat="1" applyFont="1" applyFill="1" applyBorder="1" applyAlignment="1" applyProtection="1">
      <alignment vertical="center"/>
    </xf>
    <xf numFmtId="10" fontId="4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9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43" fontId="0" fillId="7" borderId="9" xfId="0" applyNumberFormat="1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4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9" fillId="3" borderId="9" xfId="2" applyNumberFormat="1" applyFont="1" applyFill="1" applyBorder="1" applyAlignment="1" applyProtection="1">
      <alignment vertical="top"/>
      <protection locked="0"/>
    </xf>
    <xf numFmtId="44" fontId="9" fillId="0" borderId="7" xfId="2" applyFont="1" applyBorder="1" applyAlignment="1" applyProtection="1">
      <alignment vertical="center"/>
    </xf>
    <xf numFmtId="165" fontId="9" fillId="3" borderId="9" xfId="2" applyNumberFormat="1" applyFont="1" applyFill="1" applyBorder="1" applyAlignment="1" applyProtection="1">
      <alignment vertical="center"/>
      <protection locked="0"/>
    </xf>
    <xf numFmtId="10" fontId="9" fillId="0" borderId="7" xfId="3" applyNumberFormat="1" applyFon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9" fillId="0" borderId="9" xfId="2" applyNumberFormat="1" applyFont="1" applyFill="1" applyBorder="1" applyAlignment="1" applyProtection="1">
      <alignment vertical="top"/>
      <protection locked="0"/>
    </xf>
    <xf numFmtId="1" fontId="9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9" fillId="0" borderId="0" xfId="4" applyFont="1" applyAlignment="1" applyProtection="1">
      <alignment vertical="top"/>
    </xf>
    <xf numFmtId="0" fontId="9" fillId="0" borderId="0" xfId="4" applyAlignment="1" applyProtection="1">
      <alignment vertical="top"/>
    </xf>
    <xf numFmtId="0" fontId="9" fillId="4" borderId="0" xfId="4" applyFill="1" applyAlignment="1" applyProtection="1">
      <alignment vertical="top"/>
      <protection locked="0"/>
    </xf>
    <xf numFmtId="0" fontId="9" fillId="0" borderId="0" xfId="4" applyFill="1" applyAlignment="1" applyProtection="1">
      <alignment vertical="top"/>
    </xf>
    <xf numFmtId="1" fontId="9" fillId="6" borderId="9" xfId="4" applyNumberFormat="1" applyFill="1" applyBorder="1" applyAlignment="1" applyProtection="1">
      <alignment vertical="center"/>
    </xf>
    <xf numFmtId="0" fontId="9" fillId="0" borderId="0" xfId="4" applyAlignment="1" applyProtection="1">
      <alignment vertical="center"/>
    </xf>
    <xf numFmtId="44" fontId="9" fillId="0" borderId="9" xfId="4" applyNumberFormat="1" applyBorder="1" applyAlignment="1" applyProtection="1">
      <alignment vertical="center"/>
    </xf>
    <xf numFmtId="0" fontId="9" fillId="0" borderId="0" xfId="4" applyProtection="1"/>
    <xf numFmtId="0" fontId="9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9" fillId="8" borderId="15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9" fillId="8" borderId="14" xfId="2" applyFont="1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9" fillId="8" borderId="17" xfId="3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4" fillId="0" borderId="12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4" fillId="0" borderId="9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9" xfId="0" applyNumberFormat="1" applyFont="1" applyFill="1" applyBorder="1" applyAlignment="1" applyProtection="1">
      <alignment vertical="center"/>
    </xf>
    <xf numFmtId="10" fontId="4" fillId="0" borderId="7" xfId="3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9" fillId="0" borderId="12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9" fontId="9" fillId="0" borderId="9" xfId="0" applyNumberFormat="1" applyFont="1" applyFill="1" applyBorder="1" applyAlignment="1" applyProtection="1">
      <alignment vertical="center"/>
      <protection locked="0"/>
    </xf>
    <xf numFmtId="44" fontId="9" fillId="0" borderId="7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44" fontId="9" fillId="0" borderId="9" xfId="0" applyNumberFormat="1" applyFont="1" applyFill="1" applyBorder="1" applyAlignment="1" applyProtection="1">
      <alignment vertical="center"/>
    </xf>
    <xf numFmtId="10" fontId="9" fillId="0" borderId="7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0" fontId="11" fillId="0" borderId="0" xfId="0" applyFont="1" applyAlignment="1" applyProtection="1">
      <alignment horizontal="left" vertical="top" wrapText="1" indent="1"/>
    </xf>
    <xf numFmtId="44" fontId="13" fillId="0" borderId="12" xfId="0" applyNumberFormat="1" applyFont="1" applyFill="1" applyBorder="1" applyAlignment="1" applyProtection="1">
      <alignment vertical="center"/>
    </xf>
    <xf numFmtId="44" fontId="13" fillId="0" borderId="7" xfId="0" applyNumberFormat="1" applyFont="1" applyFill="1" applyBorder="1" applyAlignment="1" applyProtection="1">
      <alignment vertical="center"/>
    </xf>
    <xf numFmtId="44" fontId="13" fillId="0" borderId="9" xfId="0" applyNumberFormat="1" applyFont="1" applyFill="1" applyBorder="1" applyAlignment="1" applyProtection="1">
      <alignment vertical="center"/>
    </xf>
    <xf numFmtId="10" fontId="13" fillId="0" borderId="7" xfId="3" applyNumberFormat="1" applyFont="1" applyFill="1" applyBorder="1" applyAlignment="1" applyProtection="1">
      <alignment vertical="center"/>
    </xf>
    <xf numFmtId="0" fontId="4" fillId="9" borderId="0" xfId="0" applyFont="1" applyFill="1" applyAlignment="1" applyProtection="1">
      <alignment horizontal="left" vertical="top" wrapText="1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4" fillId="9" borderId="19" xfId="0" applyNumberFormat="1" applyFont="1" applyFill="1" applyBorder="1" applyAlignment="1" applyProtection="1">
      <alignment vertical="center"/>
    </xf>
    <xf numFmtId="0" fontId="4" fillId="9" borderId="10" xfId="0" applyFont="1" applyFill="1" applyBorder="1" applyAlignment="1" applyProtection="1">
      <alignment vertical="center"/>
    </xf>
    <xf numFmtId="44" fontId="4" fillId="9" borderId="11" xfId="0" applyNumberFormat="1" applyFont="1" applyFill="1" applyBorder="1" applyAlignment="1" applyProtection="1">
      <alignment vertical="center"/>
    </xf>
    <xf numFmtId="0" fontId="4" fillId="9" borderId="18" xfId="0" applyFont="1" applyFill="1" applyBorder="1" applyAlignment="1" applyProtection="1">
      <alignment vertical="center"/>
    </xf>
    <xf numFmtId="44" fontId="4" fillId="9" borderId="10" xfId="0" applyNumberFormat="1" applyFont="1" applyFill="1" applyBorder="1" applyAlignment="1" applyProtection="1">
      <alignment vertical="center"/>
    </xf>
    <xf numFmtId="10" fontId="4" fillId="9" borderId="11" xfId="3" applyNumberFormat="1" applyFont="1" applyFill="1" applyBorder="1" applyAlignment="1" applyProtection="1">
      <alignment vertical="center"/>
    </xf>
    <xf numFmtId="0" fontId="9" fillId="8" borderId="13" xfId="4" applyFont="1" applyFill="1" applyBorder="1" applyProtection="1"/>
    <xf numFmtId="0" fontId="9" fillId="8" borderId="14" xfId="4" applyFill="1" applyBorder="1" applyAlignment="1" applyProtection="1">
      <alignment vertical="top"/>
    </xf>
    <xf numFmtId="0" fontId="9" fillId="8" borderId="14" xfId="4" applyFill="1" applyBorder="1" applyAlignment="1" applyProtection="1">
      <alignment vertical="top"/>
      <protection locked="0"/>
    </xf>
    <xf numFmtId="0" fontId="9" fillId="8" borderId="16" xfId="4" applyFill="1" applyBorder="1" applyAlignment="1" applyProtection="1">
      <alignment vertical="center"/>
      <protection locked="0"/>
    </xf>
    <xf numFmtId="0" fontId="9" fillId="8" borderId="14" xfId="4" applyFill="1" applyBorder="1" applyAlignment="1" applyProtection="1">
      <alignment vertical="center"/>
    </xf>
    <xf numFmtId="0" fontId="9" fillId="8" borderId="15" xfId="4" applyFill="1" applyBorder="1" applyAlignment="1" applyProtection="1">
      <alignment vertical="center"/>
      <protection locked="0"/>
    </xf>
    <xf numFmtId="44" fontId="9" fillId="8" borderId="15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9" fillId="0" borderId="9" xfId="4" applyNumberFormat="1" applyFill="1" applyBorder="1" applyAlignment="1" applyProtection="1">
      <alignment vertical="top"/>
    </xf>
    <xf numFmtId="9" fontId="9" fillId="0" borderId="0" xfId="4" applyNumberFormat="1" applyFill="1" applyBorder="1" applyAlignment="1" applyProtection="1">
      <alignment vertical="center"/>
    </xf>
    <xf numFmtId="44" fontId="4" fillId="0" borderId="12" xfId="4" applyNumberFormat="1" applyFont="1" applyFill="1" applyBorder="1" applyAlignment="1" applyProtection="1">
      <alignment vertical="center"/>
    </xf>
    <xf numFmtId="0" fontId="4" fillId="0" borderId="9" xfId="4" applyFont="1" applyFill="1" applyBorder="1" applyAlignment="1" applyProtection="1">
      <alignment vertical="center"/>
    </xf>
    <xf numFmtId="9" fontId="4" fillId="0" borderId="9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 applyProtection="1">
      <alignment vertical="center"/>
    </xf>
    <xf numFmtId="44" fontId="4" fillId="0" borderId="9" xfId="4" applyNumberFormat="1" applyFont="1" applyFill="1" applyBorder="1" applyAlignment="1" applyProtection="1">
      <alignment vertical="center"/>
    </xf>
    <xf numFmtId="0" fontId="9" fillId="0" borderId="0" xfId="4" applyFont="1" applyFill="1" applyAlignment="1" applyProtection="1">
      <alignment horizontal="left" vertical="top" indent="1"/>
    </xf>
    <xf numFmtId="9" fontId="9" fillId="0" borderId="9" xfId="4" applyNumberFormat="1" applyFill="1" applyBorder="1" applyAlignment="1" applyProtection="1">
      <alignment vertical="top"/>
      <protection locked="0"/>
    </xf>
    <xf numFmtId="44" fontId="9" fillId="0" borderId="12" xfId="4" applyNumberFormat="1" applyFont="1" applyFill="1" applyBorder="1" applyAlignment="1" applyProtection="1">
      <alignment vertical="center"/>
    </xf>
    <xf numFmtId="0" fontId="9" fillId="0" borderId="9" xfId="4" applyFont="1" applyFill="1" applyBorder="1" applyAlignment="1" applyProtection="1">
      <alignment vertical="center"/>
    </xf>
    <xf numFmtId="9" fontId="9" fillId="0" borderId="9" xfId="4" applyNumberFormat="1" applyFont="1" applyFill="1" applyBorder="1" applyAlignment="1" applyProtection="1">
      <alignment vertical="top"/>
      <protection locked="0"/>
    </xf>
    <xf numFmtId="9" fontId="9" fillId="0" borderId="9" xfId="4" applyNumberFormat="1" applyFont="1" applyFill="1" applyBorder="1" applyAlignment="1" applyProtection="1">
      <alignment vertical="center"/>
    </xf>
    <xf numFmtId="44" fontId="9" fillId="0" borderId="7" xfId="4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44" fontId="9" fillId="0" borderId="9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9" fillId="0" borderId="9" xfId="4" applyFill="1" applyBorder="1" applyAlignment="1" applyProtection="1">
      <alignment vertical="top"/>
    </xf>
    <xf numFmtId="0" fontId="9" fillId="0" borderId="0" xfId="4" applyFill="1" applyBorder="1" applyAlignment="1" applyProtection="1">
      <alignment vertical="center"/>
    </xf>
    <xf numFmtId="0" fontId="11" fillId="0" borderId="0" xfId="4" applyFont="1" applyAlignment="1" applyProtection="1">
      <alignment horizontal="left" vertical="top" wrapText="1" indent="1"/>
    </xf>
    <xf numFmtId="44" fontId="13" fillId="0" borderId="12" xfId="4" applyNumberFormat="1" applyFont="1" applyFill="1" applyBorder="1" applyAlignment="1" applyProtection="1">
      <alignment vertical="center"/>
    </xf>
    <xf numFmtId="44" fontId="13" fillId="0" borderId="7" xfId="4" applyNumberFormat="1" applyFont="1" applyFill="1" applyBorder="1" applyAlignment="1" applyProtection="1">
      <alignment vertical="center"/>
    </xf>
    <xf numFmtId="44" fontId="13" fillId="0" borderId="9" xfId="4" applyNumberFormat="1" applyFont="1" applyFill="1" applyBorder="1" applyAlignment="1" applyProtection="1">
      <alignment vertical="center"/>
    </xf>
    <xf numFmtId="0" fontId="4" fillId="9" borderId="0" xfId="4" applyFont="1" applyFill="1" applyAlignment="1" applyProtection="1">
      <alignment horizontal="left" vertical="top" wrapText="1"/>
    </xf>
    <xf numFmtId="0" fontId="9" fillId="9" borderId="0" xfId="4" applyFill="1" applyAlignment="1" applyProtection="1">
      <alignment vertical="top"/>
    </xf>
    <xf numFmtId="0" fontId="9" fillId="9" borderId="9" xfId="4" applyFill="1" applyBorder="1" applyAlignment="1" applyProtection="1">
      <alignment vertical="top"/>
    </xf>
    <xf numFmtId="0" fontId="9" fillId="9" borderId="0" xfId="4" applyFill="1" applyBorder="1" applyAlignment="1" applyProtection="1">
      <alignment vertical="center"/>
    </xf>
    <xf numFmtId="44" fontId="4" fillId="9" borderId="12" xfId="4" applyNumberFormat="1" applyFont="1" applyFill="1" applyBorder="1" applyAlignment="1" applyProtection="1">
      <alignment vertical="center"/>
    </xf>
    <xf numFmtId="0" fontId="4" fillId="9" borderId="9" xfId="4" applyFont="1" applyFill="1" applyBorder="1" applyAlignment="1" applyProtection="1">
      <alignment vertical="center"/>
    </xf>
    <xf numFmtId="44" fontId="4" fillId="9" borderId="7" xfId="4" applyNumberFormat="1" applyFont="1" applyFill="1" applyBorder="1" applyAlignment="1" applyProtection="1">
      <alignment vertical="center"/>
    </xf>
    <xf numFmtId="0" fontId="4" fillId="9" borderId="0" xfId="4" applyFont="1" applyFill="1" applyBorder="1" applyAlignment="1" applyProtection="1">
      <alignment vertical="center"/>
    </xf>
    <xf numFmtId="44" fontId="4" fillId="9" borderId="9" xfId="4" applyNumberFormat="1" applyFont="1" applyFill="1" applyBorder="1" applyAlignment="1" applyProtection="1">
      <alignment vertical="center"/>
    </xf>
    <xf numFmtId="10" fontId="4" fillId="9" borderId="7" xfId="3" applyNumberFormat="1" applyFont="1" applyFill="1" applyBorder="1" applyAlignment="1" applyProtection="1">
      <alignment vertical="center"/>
    </xf>
    <xf numFmtId="165" fontId="9" fillId="8" borderId="16" xfId="2" applyNumberFormat="1" applyFont="1" applyFill="1" applyBorder="1" applyAlignment="1" applyProtection="1">
      <alignment vertical="top"/>
      <protection locked="0"/>
    </xf>
    <xf numFmtId="0" fontId="9" fillId="8" borderId="14" xfId="4" applyFill="1" applyBorder="1" applyAlignment="1" applyProtection="1">
      <alignment vertical="center"/>
      <protection locked="0"/>
    </xf>
    <xf numFmtId="44" fontId="9" fillId="8" borderId="20" xfId="2" applyFont="1" applyFill="1" applyBorder="1" applyAlignment="1" applyProtection="1">
      <alignment vertical="center"/>
    </xf>
    <xf numFmtId="0" fontId="9" fillId="8" borderId="16" xfId="4" applyFill="1" applyBorder="1" applyAlignment="1" applyProtection="1">
      <alignment vertical="center"/>
    </xf>
    <xf numFmtId="44" fontId="9" fillId="8" borderId="15" xfId="2" applyFont="1" applyFill="1" applyBorder="1" applyAlignment="1" applyProtection="1">
      <alignment vertical="center"/>
    </xf>
    <xf numFmtId="44" fontId="9" fillId="8" borderId="16" xfId="4" applyNumberFormat="1" applyFill="1" applyBorder="1" applyAlignment="1" applyProtection="1">
      <alignment vertical="center"/>
    </xf>
    <xf numFmtId="166" fontId="9" fillId="3" borderId="2" xfId="3" applyNumberFormat="1" applyFont="1" applyFill="1" applyBorder="1" applyProtection="1">
      <protection locked="0"/>
    </xf>
    <xf numFmtId="0" fontId="14" fillId="0" borderId="0" xfId="0" applyFont="1" applyProtection="1"/>
    <xf numFmtId="0" fontId="0" fillId="7" borderId="0" xfId="0" applyFill="1" applyProtection="1"/>
    <xf numFmtId="0" fontId="0" fillId="7" borderId="9" xfId="0" applyFill="1" applyBorder="1" applyAlignment="1" applyProtection="1">
      <alignment vertical="center"/>
    </xf>
    <xf numFmtId="10" fontId="9" fillId="3" borderId="2" xfId="3" applyNumberFormat="1" applyFont="1" applyFill="1" applyBorder="1" applyProtection="1">
      <protection locked="0"/>
    </xf>
    <xf numFmtId="43" fontId="4" fillId="3" borderId="2" xfId="1" applyNumberFormat="1" applyFont="1" applyFill="1" applyBorder="1" applyProtection="1">
      <protection locked="0"/>
    </xf>
    <xf numFmtId="2" fontId="0" fillId="7" borderId="9" xfId="0" applyNumberFormat="1" applyFill="1" applyBorder="1" applyAlignment="1" applyProtection="1">
      <alignment vertical="center"/>
    </xf>
    <xf numFmtId="2" fontId="0" fillId="7" borderId="7" xfId="0" applyNumberFormat="1" applyFill="1" applyBorder="1" applyAlignment="1" applyProtection="1">
      <alignment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idential%20-%20800%20DR%20Revised%20May%2029%20201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 2014 0073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0"/>
  <sheetViews>
    <sheetView tabSelected="1"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9.710937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41789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9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800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15.18</v>
      </c>
      <c r="G23" s="42">
        <v>1</v>
      </c>
      <c r="H23" s="43">
        <f>G23*F23</f>
        <v>15.18</v>
      </c>
      <c r="I23" s="44"/>
      <c r="J23" s="45">
        <v>16.59</v>
      </c>
      <c r="K23" s="46">
        <v>1</v>
      </c>
      <c r="L23" s="43">
        <f>K23*J23</f>
        <v>16.59</v>
      </c>
      <c r="M23" s="44"/>
      <c r="N23" s="47">
        <f>L23-H23</f>
        <v>1.4100000000000001</v>
      </c>
      <c r="O23" s="48">
        <f>IF((H23)=0,"",(N23/H23))</f>
        <v>9.2885375494071151E-2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1</v>
      </c>
      <c r="G25" s="42">
        <v>1</v>
      </c>
      <c r="H25" s="43">
        <f t="shared" si="0"/>
        <v>1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>
        <v>2.79</v>
      </c>
      <c r="G26" s="42">
        <v>1</v>
      </c>
      <c r="H26" s="43">
        <f t="shared" si="0"/>
        <v>2.79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-2.79</v>
      </c>
      <c r="O26" s="48">
        <f t="shared" si="3"/>
        <v>-1</v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>
        <v>0.9</v>
      </c>
      <c r="K27" s="46">
        <v>1</v>
      </c>
      <c r="L27" s="43">
        <f t="shared" si="1"/>
        <v>0.9</v>
      </c>
      <c r="M27" s="44"/>
      <c r="N27" s="47">
        <f t="shared" si="2"/>
        <v>0.9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31</v>
      </c>
      <c r="E29" s="40"/>
      <c r="F29" s="41">
        <v>1.6899999999999998E-2</v>
      </c>
      <c r="G29" s="42">
        <f t="shared" ref="G29:G38" si="4">$F$18</f>
        <v>800</v>
      </c>
      <c r="H29" s="43">
        <f t="shared" si="0"/>
        <v>13.52</v>
      </c>
      <c r="I29" s="44"/>
      <c r="J29" s="45">
        <v>1.8499999999999999E-2</v>
      </c>
      <c r="K29" s="42">
        <f>$F$18</f>
        <v>800</v>
      </c>
      <c r="L29" s="43">
        <f t="shared" si="1"/>
        <v>14.799999999999999</v>
      </c>
      <c r="M29" s="44"/>
      <c r="N29" s="47">
        <f t="shared" si="2"/>
        <v>1.2799999999999994</v>
      </c>
      <c r="O29" s="48">
        <f t="shared" si="3"/>
        <v>9.4674556213017708E-2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800</v>
      </c>
      <c r="H30" s="43">
        <f t="shared" si="0"/>
        <v>0</v>
      </c>
      <c r="I30" s="44"/>
      <c r="J30" s="45"/>
      <c r="K30" s="42">
        <f t="shared" ref="K30:K38" si="5">$F$18</f>
        <v>800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800</v>
      </c>
      <c r="H31" s="43">
        <f t="shared" si="0"/>
        <v>0</v>
      </c>
      <c r="I31" s="44"/>
      <c r="J31" s="45"/>
      <c r="K31" s="42">
        <f t="shared" si="5"/>
        <v>800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31</v>
      </c>
      <c r="E32" s="40"/>
      <c r="F32" s="41">
        <v>1.1000000000000001E-3</v>
      </c>
      <c r="G32" s="42">
        <f t="shared" si="4"/>
        <v>800</v>
      </c>
      <c r="H32" s="43">
        <f>G32*F32</f>
        <v>0.88</v>
      </c>
      <c r="I32" s="44"/>
      <c r="J32" s="45">
        <v>5.0000000000000001E-4</v>
      </c>
      <c r="K32" s="42">
        <f t="shared" si="5"/>
        <v>800</v>
      </c>
      <c r="L32" s="43">
        <f>K32*J32</f>
        <v>0.4</v>
      </c>
      <c r="M32" s="44"/>
      <c r="N32" s="47">
        <f>L32-H32</f>
        <v>-0.48</v>
      </c>
      <c r="O32" s="48">
        <f>IF((H32)=0,"",(N32/H32))</f>
        <v>-0.54545454545454541</v>
      </c>
    </row>
    <row r="33" spans="2:15">
      <c r="B33" s="52" t="s">
        <v>35</v>
      </c>
      <c r="C33" s="38"/>
      <c r="D33" s="39" t="s">
        <v>31</v>
      </c>
      <c r="E33" s="40"/>
      <c r="F33" s="41">
        <v>-4.0000000000000002E-4</v>
      </c>
      <c r="G33" s="42">
        <f t="shared" si="4"/>
        <v>800</v>
      </c>
      <c r="H33" s="43">
        <f>G33*F33</f>
        <v>-0.32</v>
      </c>
      <c r="I33" s="44"/>
      <c r="J33" s="45"/>
      <c r="K33" s="42">
        <f t="shared" si="5"/>
        <v>800</v>
      </c>
      <c r="L33" s="43">
        <f>K33*J33</f>
        <v>0</v>
      </c>
      <c r="M33" s="44"/>
      <c r="N33" s="47">
        <f>L33-H33</f>
        <v>0.32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800</v>
      </c>
      <c r="H34" s="43">
        <f>G34*F34</f>
        <v>0</v>
      </c>
      <c r="I34" s="44"/>
      <c r="J34" s="45"/>
      <c r="K34" s="42">
        <f t="shared" si="5"/>
        <v>800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800</v>
      </c>
      <c r="H35" s="43">
        <f t="shared" si="0"/>
        <v>0</v>
      </c>
      <c r="I35" s="44"/>
      <c r="J35" s="45"/>
      <c r="K35" s="42">
        <f t="shared" si="5"/>
        <v>800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800</v>
      </c>
      <c r="H36" s="43">
        <f t="shared" si="0"/>
        <v>0</v>
      </c>
      <c r="I36" s="44"/>
      <c r="J36" s="45"/>
      <c r="K36" s="42">
        <f t="shared" si="5"/>
        <v>800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800</v>
      </c>
      <c r="H37" s="43">
        <f t="shared" si="0"/>
        <v>0</v>
      </c>
      <c r="I37" s="44"/>
      <c r="J37" s="45"/>
      <c r="K37" s="42">
        <f t="shared" si="5"/>
        <v>800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800</v>
      </c>
      <c r="H38" s="43">
        <f t="shared" si="0"/>
        <v>0</v>
      </c>
      <c r="I38" s="44"/>
      <c r="J38" s="45"/>
      <c r="K38" s="42">
        <f t="shared" si="5"/>
        <v>800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33.049999999999997</v>
      </c>
      <c r="I39" s="60"/>
      <c r="J39" s="61"/>
      <c r="K39" s="62"/>
      <c r="L39" s="59">
        <f>SUM(L23:L38)</f>
        <v>32.69</v>
      </c>
      <c r="M39" s="60"/>
      <c r="N39" s="63">
        <f t="shared" si="2"/>
        <v>-0.35999999999999943</v>
      </c>
      <c r="O39" s="64">
        <f t="shared" si="3"/>
        <v>-1.0892586989409968E-2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800</v>
      </c>
      <c r="H40" s="43">
        <f t="shared" ref="H40:H46" si="6">G40*F40</f>
        <v>0</v>
      </c>
      <c r="I40" s="44"/>
      <c r="J40" s="45">
        <v>-2.3E-3</v>
      </c>
      <c r="K40" s="42">
        <f>$F$18</f>
        <v>800</v>
      </c>
      <c r="L40" s="43">
        <f t="shared" ref="L40:L46" si="7">K40*J40</f>
        <v>-1.8399999999999999</v>
      </c>
      <c r="M40" s="44"/>
      <c r="N40" s="47">
        <f t="shared" si="2"/>
        <v>-1.8399999999999999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800</v>
      </c>
      <c r="H41" s="43">
        <f t="shared" si="6"/>
        <v>0</v>
      </c>
      <c r="I41" s="67"/>
      <c r="J41" s="45">
        <v>-1.4E-3</v>
      </c>
      <c r="K41" s="42">
        <f>$F$18</f>
        <v>800</v>
      </c>
      <c r="L41" s="43">
        <f t="shared" si="7"/>
        <v>-1.1199999999999999</v>
      </c>
      <c r="M41" s="68"/>
      <c r="N41" s="47">
        <f t="shared" si="2"/>
        <v>-1.1199999999999999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31</v>
      </c>
      <c r="E42" s="40"/>
      <c r="F42" s="41"/>
      <c r="G42" s="42">
        <f>$F$18</f>
        <v>800</v>
      </c>
      <c r="H42" s="43">
        <f t="shared" si="6"/>
        <v>0</v>
      </c>
      <c r="I42" s="67"/>
      <c r="J42" s="45">
        <v>0</v>
      </c>
      <c r="K42" s="42">
        <f>$F$18</f>
        <v>800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800</v>
      </c>
      <c r="H43" s="43">
        <f t="shared" si="6"/>
        <v>0</v>
      </c>
      <c r="I43" s="67"/>
      <c r="J43" s="45"/>
      <c r="K43" s="42">
        <f>$F$18</f>
        <v>800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31</v>
      </c>
      <c r="E44" s="40"/>
      <c r="F44" s="41">
        <v>2.0000000000000001E-4</v>
      </c>
      <c r="G44" s="42">
        <f>$F$18</f>
        <v>800</v>
      </c>
      <c r="H44" s="43">
        <f t="shared" si="6"/>
        <v>0.16</v>
      </c>
      <c r="I44" s="44"/>
      <c r="J44" s="45">
        <v>4.0000000000000002E-4</v>
      </c>
      <c r="K44" s="42">
        <f>$F$18</f>
        <v>800</v>
      </c>
      <c r="L44" s="43">
        <f t="shared" si="7"/>
        <v>0.32</v>
      </c>
      <c r="M44" s="44"/>
      <c r="N44" s="47">
        <f t="shared" si="2"/>
        <v>0.16</v>
      </c>
      <c r="O44" s="48">
        <f t="shared" si="3"/>
        <v>1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71">
        <f>$F$18*(1+$F$74)-$F$18</f>
        <v>8.2456000000000813</v>
      </c>
      <c r="H45" s="43">
        <f t="shared" si="6"/>
        <v>0.69197075200000679</v>
      </c>
      <c r="I45" s="44"/>
      <c r="J45" s="72">
        <f>0.64*$F$55+0.18*$F$56+0.18*$F$57</f>
        <v>8.3919999999999995E-2</v>
      </c>
      <c r="K45" s="71">
        <f>$F$18*(1+$J$74)-$F$18</f>
        <v>8.2327999999999975</v>
      </c>
      <c r="L45" s="43">
        <f>K45*J45</f>
        <v>0.69089657599999976</v>
      </c>
      <c r="M45" s="44"/>
      <c r="N45" s="47">
        <f t="shared" si="2"/>
        <v>-1.0741760000070322E-3</v>
      </c>
      <c r="O45" s="48">
        <f t="shared" si="3"/>
        <v>-1.5523430678281351E-3</v>
      </c>
    </row>
    <row r="46" spans="2:15">
      <c r="B46" s="69" t="s">
        <v>42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34.691970752000003</v>
      </c>
      <c r="I47" s="60"/>
      <c r="J47" s="76"/>
      <c r="K47" s="78"/>
      <c r="L47" s="77">
        <f>SUM(L40:L46)+L39</f>
        <v>31.530896575999996</v>
      </c>
      <c r="M47" s="60"/>
      <c r="N47" s="63">
        <f t="shared" si="2"/>
        <v>-3.1610741760000067</v>
      </c>
      <c r="O47" s="64">
        <f t="shared" ref="O47:O65" si="8">IF((H47)=0,"",(N47/H47))</f>
        <v>-9.1118322409451752E-2</v>
      </c>
    </row>
    <row r="48" spans="2:15">
      <c r="B48" s="44" t="s">
        <v>44</v>
      </c>
      <c r="C48" s="44"/>
      <c r="D48" s="79" t="s">
        <v>31</v>
      </c>
      <c r="E48" s="80"/>
      <c r="F48" s="45">
        <v>7.1999999999999998E-3</v>
      </c>
      <c r="G48" s="81">
        <f>F18*(1+F74)</f>
        <v>808.24560000000008</v>
      </c>
      <c r="H48" s="43">
        <f>G48*F48</f>
        <v>5.8193683200000006</v>
      </c>
      <c r="I48" s="44"/>
      <c r="J48" s="45">
        <v>7.3000000000000001E-3</v>
      </c>
      <c r="K48" s="82">
        <f>F18*(1+J74)</f>
        <v>808.2328</v>
      </c>
      <c r="L48" s="43">
        <f>K48*J48</f>
        <v>5.90009944</v>
      </c>
      <c r="M48" s="44"/>
      <c r="N48" s="47">
        <f t="shared" si="2"/>
        <v>8.0731119999999379E-2</v>
      </c>
      <c r="O48" s="48">
        <f t="shared" si="8"/>
        <v>1.3872832163336823E-2</v>
      </c>
    </row>
    <row r="49" spans="2:19" ht="30">
      <c r="B49" s="83" t="s">
        <v>45</v>
      </c>
      <c r="C49" s="44"/>
      <c r="D49" s="79" t="s">
        <v>31</v>
      </c>
      <c r="E49" s="80"/>
      <c r="F49" s="45">
        <v>5.1000000000000004E-3</v>
      </c>
      <c r="G49" s="81">
        <f>G48</f>
        <v>808.24560000000008</v>
      </c>
      <c r="H49" s="43">
        <f>G49*F49</f>
        <v>4.1220525600000011</v>
      </c>
      <c r="I49" s="44"/>
      <c r="J49" s="45">
        <v>4.4999999999999997E-3</v>
      </c>
      <c r="K49" s="82">
        <f>K48</f>
        <v>808.2328</v>
      </c>
      <c r="L49" s="43">
        <f>K49*J49</f>
        <v>3.6370475999999998</v>
      </c>
      <c r="M49" s="44"/>
      <c r="N49" s="47">
        <f t="shared" si="2"/>
        <v>-0.48500496000000126</v>
      </c>
      <c r="O49" s="48">
        <f t="shared" si="8"/>
        <v>-0.1176610324444774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44.633391632000006</v>
      </c>
      <c r="I50" s="85"/>
      <c r="J50" s="86"/>
      <c r="K50" s="87"/>
      <c r="L50" s="77">
        <f>SUM(L47:L49)</f>
        <v>41.068043615999997</v>
      </c>
      <c r="M50" s="85"/>
      <c r="N50" s="63">
        <f t="shared" si="2"/>
        <v>-3.5653480160000086</v>
      </c>
      <c r="O50" s="64">
        <f t="shared" si="8"/>
        <v>-7.988073246586587E-2</v>
      </c>
    </row>
    <row r="51" spans="2:19" ht="30">
      <c r="B51" s="88" t="s">
        <v>47</v>
      </c>
      <c r="C51" s="38"/>
      <c r="D51" s="39" t="s">
        <v>31</v>
      </c>
      <c r="E51" s="40"/>
      <c r="F51" s="89">
        <v>4.4000000000000003E-3</v>
      </c>
      <c r="G51" s="81">
        <f>G49</f>
        <v>808.24560000000008</v>
      </c>
      <c r="H51" s="90">
        <f t="shared" ref="H51:H57" si="9">G51*F51</f>
        <v>3.5562806400000007</v>
      </c>
      <c r="I51" s="44"/>
      <c r="J51" s="91">
        <v>4.4000000000000003E-3</v>
      </c>
      <c r="K51" s="82">
        <f>K49</f>
        <v>808.2328</v>
      </c>
      <c r="L51" s="90">
        <f t="shared" ref="L51:L57" si="10">K51*J51</f>
        <v>3.5562243200000001</v>
      </c>
      <c r="M51" s="44"/>
      <c r="N51" s="47">
        <f t="shared" si="2"/>
        <v>-5.6320000000553705E-5</v>
      </c>
      <c r="O51" s="92">
        <f t="shared" si="8"/>
        <v>-1.5836770407566513E-5</v>
      </c>
    </row>
    <row r="52" spans="2:19" ht="30">
      <c r="B52" s="88" t="s">
        <v>48</v>
      </c>
      <c r="C52" s="38"/>
      <c r="D52" s="39" t="s">
        <v>31</v>
      </c>
      <c r="E52" s="40"/>
      <c r="F52" s="89">
        <v>1.2999999999999999E-3</v>
      </c>
      <c r="G52" s="81">
        <f>G49</f>
        <v>808.24560000000008</v>
      </c>
      <c r="H52" s="90">
        <f t="shared" si="9"/>
        <v>1.05071928</v>
      </c>
      <c r="I52" s="44"/>
      <c r="J52" s="91">
        <v>1.2999999999999999E-3</v>
      </c>
      <c r="K52" s="82">
        <f>K49</f>
        <v>808.2328</v>
      </c>
      <c r="L52" s="90">
        <f t="shared" si="10"/>
        <v>1.0507026399999999</v>
      </c>
      <c r="M52" s="44"/>
      <c r="N52" s="47">
        <f t="shared" si="2"/>
        <v>-1.6640000000123223E-5</v>
      </c>
      <c r="O52" s="92">
        <f t="shared" si="8"/>
        <v>-1.5836770407528092E-5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f>F18</f>
        <v>800</v>
      </c>
      <c r="H54" s="90">
        <f t="shared" si="9"/>
        <v>5.6000000000000005</v>
      </c>
      <c r="I54" s="44"/>
      <c r="J54" s="91">
        <v>7.0000000000000001E-3</v>
      </c>
      <c r="K54" s="94">
        <f>F18</f>
        <v>800</v>
      </c>
      <c r="L54" s="90">
        <f t="shared" si="10"/>
        <v>5.6000000000000005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31</v>
      </c>
      <c r="E55" s="40"/>
      <c r="F55" s="95">
        <v>6.7000000000000004E-2</v>
      </c>
      <c r="G55" s="96">
        <f>0.64*$F$18</f>
        <v>512</v>
      </c>
      <c r="H55" s="90">
        <f t="shared" si="9"/>
        <v>34.304000000000002</v>
      </c>
      <c r="I55" s="44"/>
      <c r="J55" s="89">
        <v>6.7000000000000004E-2</v>
      </c>
      <c r="K55" s="96">
        <f>G55</f>
        <v>512</v>
      </c>
      <c r="L55" s="90">
        <f t="shared" si="10"/>
        <v>34.304000000000002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31</v>
      </c>
      <c r="E56" s="40"/>
      <c r="F56" s="95">
        <v>0.104</v>
      </c>
      <c r="G56" s="96">
        <f>0.18*$F$18</f>
        <v>144</v>
      </c>
      <c r="H56" s="90">
        <f t="shared" si="9"/>
        <v>14.975999999999999</v>
      </c>
      <c r="I56" s="44"/>
      <c r="J56" s="89">
        <v>0.104</v>
      </c>
      <c r="K56" s="96">
        <f>G56</f>
        <v>144</v>
      </c>
      <c r="L56" s="90">
        <f t="shared" si="10"/>
        <v>14.975999999999999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31</v>
      </c>
      <c r="E57" s="40"/>
      <c r="F57" s="95">
        <v>0.124</v>
      </c>
      <c r="G57" s="96">
        <f>0.18*$F$18</f>
        <v>144</v>
      </c>
      <c r="H57" s="90">
        <f t="shared" si="9"/>
        <v>17.856000000000002</v>
      </c>
      <c r="I57" s="44"/>
      <c r="J57" s="89">
        <v>0.124</v>
      </c>
      <c r="K57" s="96">
        <f>G57</f>
        <v>144</v>
      </c>
      <c r="L57" s="90">
        <f t="shared" si="10"/>
        <v>17.856000000000002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31</v>
      </c>
      <c r="E58" s="101"/>
      <c r="F58" s="95">
        <v>7.4999999999999997E-2</v>
      </c>
      <c r="G58" s="102">
        <f>IF(AND($T$1=1, F18&gt;=600), 600, IF(AND($T$1=1, AND(F18&lt;600, F18&gt;=0)), F18, IF(AND($T$1=2, F18&gt;=1000), 1000, IF(AND($T$1=2, AND(F18&lt;1000, F18&gt;=0)), F18))))</f>
        <v>600</v>
      </c>
      <c r="H58" s="90">
        <f>G58*F58</f>
        <v>45</v>
      </c>
      <c r="I58" s="103"/>
      <c r="J58" s="89">
        <v>7.4999999999999997E-2</v>
      </c>
      <c r="K58" s="102">
        <f>G58</f>
        <v>600</v>
      </c>
      <c r="L58" s="90">
        <f>K58*J58</f>
        <v>45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31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200</v>
      </c>
      <c r="H59" s="90">
        <f>G59*F59</f>
        <v>17.599999999999998</v>
      </c>
      <c r="I59" s="103"/>
      <c r="J59" s="89">
        <v>8.7999999999999995E-2</v>
      </c>
      <c r="K59" s="102">
        <f>G59</f>
        <v>200</v>
      </c>
      <c r="L59" s="90">
        <f>K59*J59</f>
        <v>17.599999999999998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122.22639155200002</v>
      </c>
      <c r="I61" s="120"/>
      <c r="J61" s="121"/>
      <c r="K61" s="121"/>
      <c r="L61" s="119">
        <f>SUM(L51:L57,L50)</f>
        <v>118.660970576</v>
      </c>
      <c r="M61" s="122"/>
      <c r="N61" s="123">
        <f>L61-H61</f>
        <v>-3.5654209760000271</v>
      </c>
      <c r="O61" s="124">
        <f>IF((H61)=0,"",(N61/H61))</f>
        <v>-2.9170631078339195E-2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15.889430901760004</v>
      </c>
      <c r="I62" s="129"/>
      <c r="J62" s="130">
        <v>0.13</v>
      </c>
      <c r="K62" s="129"/>
      <c r="L62" s="131">
        <f>L61*J62</f>
        <v>15.425926174880001</v>
      </c>
      <c r="M62" s="132"/>
      <c r="N62" s="133">
        <f t="shared" si="2"/>
        <v>-0.46350472688000366</v>
      </c>
      <c r="O62" s="134">
        <f t="shared" si="8"/>
        <v>-2.9170631078339202E-2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138.11582245376002</v>
      </c>
      <c r="I63" s="129"/>
      <c r="J63" s="129"/>
      <c r="K63" s="129"/>
      <c r="L63" s="131">
        <f>L61+L62</f>
        <v>134.08689675087999</v>
      </c>
      <c r="M63" s="132"/>
      <c r="N63" s="133">
        <f t="shared" si="2"/>
        <v>-4.0289257028800307</v>
      </c>
      <c r="O63" s="134">
        <f t="shared" si="8"/>
        <v>-2.9170631078339199E-2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-13.81</v>
      </c>
      <c r="I64" s="129"/>
      <c r="J64" s="129"/>
      <c r="K64" s="129"/>
      <c r="L64" s="139">
        <f>ROUND(-L63*10%,2)</f>
        <v>-13.41</v>
      </c>
      <c r="M64" s="132"/>
      <c r="N64" s="140">
        <f t="shared" si="2"/>
        <v>0.40000000000000036</v>
      </c>
      <c r="O64" s="141">
        <f t="shared" si="8"/>
        <v>-2.8964518464880545E-2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124.30582245376002</v>
      </c>
      <c r="I65" s="147"/>
      <c r="J65" s="147"/>
      <c r="K65" s="147"/>
      <c r="L65" s="148">
        <f>L63+L64</f>
        <v>120.67689675087999</v>
      </c>
      <c r="M65" s="149"/>
      <c r="N65" s="150">
        <f t="shared" si="2"/>
        <v>-3.628925702880025</v>
      </c>
      <c r="O65" s="151">
        <f t="shared" si="8"/>
        <v>-2.9193529564795193E-2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117.69039155199999</v>
      </c>
      <c r="I67" s="163"/>
      <c r="J67" s="164"/>
      <c r="K67" s="164"/>
      <c r="L67" s="162">
        <f>SUM(L58:L59,L50,L51:L54)</f>
        <v>114.12497057599998</v>
      </c>
      <c r="M67" s="165"/>
      <c r="N67" s="166">
        <f>L67-H67</f>
        <v>-3.5654209760000128</v>
      </c>
      <c r="O67" s="124">
        <f>IF((H67)=0,"",(N67/H67))</f>
        <v>-3.0294919822954937E-2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15.29975090176</v>
      </c>
      <c r="I68" s="170"/>
      <c r="J68" s="171">
        <v>0.13</v>
      </c>
      <c r="K68" s="172"/>
      <c r="L68" s="173">
        <f>L67*J68</f>
        <v>14.836246174879998</v>
      </c>
      <c r="M68" s="174"/>
      <c r="N68" s="175">
        <f>L68-H68</f>
        <v>-0.46350472688000188</v>
      </c>
      <c r="O68" s="134">
        <f>IF((H68)=0,"",(N68/H68))</f>
        <v>-3.0294919822954951E-2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132.99014245376</v>
      </c>
      <c r="I69" s="170"/>
      <c r="J69" s="170"/>
      <c r="K69" s="170"/>
      <c r="L69" s="173">
        <f>L67+L68</f>
        <v>128.96121675087997</v>
      </c>
      <c r="M69" s="174"/>
      <c r="N69" s="175">
        <f>L69-H69</f>
        <v>-4.0289257028800307</v>
      </c>
      <c r="O69" s="134">
        <f>IF((H69)=0,"",(N69/H69))</f>
        <v>-3.0294919822955058E-2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-13.3</v>
      </c>
      <c r="I70" s="170"/>
      <c r="J70" s="170"/>
      <c r="K70" s="170"/>
      <c r="L70" s="181">
        <f>ROUND(-L69*10%,2)</f>
        <v>-12.9</v>
      </c>
      <c r="M70" s="174"/>
      <c r="N70" s="182">
        <f>L70-H70</f>
        <v>0.40000000000000036</v>
      </c>
      <c r="O70" s="141">
        <f>IF((H70)=0,"",(N70/H70))</f>
        <v>-3.0075187969924838E-2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119.69014245376</v>
      </c>
      <c r="I71" s="188"/>
      <c r="J71" s="188"/>
      <c r="K71" s="188"/>
      <c r="L71" s="189">
        <f>SUM(L69:L70)</f>
        <v>116.06121675087996</v>
      </c>
      <c r="M71" s="190"/>
      <c r="N71" s="191">
        <f>L71-H71</f>
        <v>-3.6289257028800392</v>
      </c>
      <c r="O71" s="192">
        <f>IF((H71)=0,"",(N71/H71))</f>
        <v>-3.0319336484055111E-2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2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>
        <v>131</v>
      </c>
      <c r="G17" s="17" t="s">
        <v>88</v>
      </c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04">
        <v>0.36</v>
      </c>
      <c r="G18" s="20" t="s">
        <v>86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2.06</v>
      </c>
      <c r="G23" s="42">
        <v>1</v>
      </c>
      <c r="H23" s="43">
        <f>G23*F23</f>
        <v>2.06</v>
      </c>
      <c r="I23" s="44"/>
      <c r="J23" s="45">
        <v>2.25</v>
      </c>
      <c r="K23" s="46">
        <v>1</v>
      </c>
      <c r="L23" s="43">
        <f>K23*J23</f>
        <v>2.25</v>
      </c>
      <c r="M23" s="44"/>
      <c r="N23" s="47">
        <f>L23-H23</f>
        <v>0.18999999999999995</v>
      </c>
      <c r="O23" s="48">
        <f>IF((H23)=0,"",(N23/H23))</f>
        <v>9.2233009708737837E-2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0.13</v>
      </c>
      <c r="G25" s="42">
        <v>1</v>
      </c>
      <c r="H25" s="43">
        <f t="shared" si="0"/>
        <v>0.13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-0.13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80</v>
      </c>
      <c r="E29" s="40"/>
      <c r="F29" s="41">
        <v>10.819800000000001</v>
      </c>
      <c r="G29" s="42">
        <f t="shared" ref="G29:G38" si="4">$F$18</f>
        <v>0.36</v>
      </c>
      <c r="H29" s="43">
        <f t="shared" si="0"/>
        <v>3.8951280000000001</v>
      </c>
      <c r="I29" s="44"/>
      <c r="J29" s="45">
        <v>11.833299999999999</v>
      </c>
      <c r="K29" s="42">
        <f>$F$18</f>
        <v>0.36</v>
      </c>
      <c r="L29" s="43">
        <f t="shared" si="1"/>
        <v>4.2599879999999999</v>
      </c>
      <c r="M29" s="44"/>
      <c r="N29" s="47">
        <f t="shared" si="2"/>
        <v>0.36485999999999974</v>
      </c>
      <c r="O29" s="48">
        <f t="shared" si="3"/>
        <v>9.3670862677683431E-2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0.36</v>
      </c>
      <c r="H30" s="43">
        <f t="shared" si="0"/>
        <v>0</v>
      </c>
      <c r="I30" s="44"/>
      <c r="J30" s="45"/>
      <c r="K30" s="42">
        <f t="shared" ref="K30:K38" si="5">$F$18</f>
        <v>0.36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0.36</v>
      </c>
      <c r="H31" s="43">
        <f t="shared" si="0"/>
        <v>0</v>
      </c>
      <c r="I31" s="44"/>
      <c r="J31" s="45"/>
      <c r="K31" s="42">
        <f t="shared" si="5"/>
        <v>0.36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80</v>
      </c>
      <c r="E32" s="40"/>
      <c r="F32" s="41">
        <v>0.70799999999999996</v>
      </c>
      <c r="G32" s="42">
        <f t="shared" si="4"/>
        <v>0.36</v>
      </c>
      <c r="H32" s="43">
        <f>G32*F32</f>
        <v>0.25488</v>
      </c>
      <c r="I32" s="44"/>
      <c r="J32" s="45">
        <v>0.23150000000000001</v>
      </c>
      <c r="K32" s="42">
        <f t="shared" si="5"/>
        <v>0.36</v>
      </c>
      <c r="L32" s="43">
        <f>K32*J32</f>
        <v>8.3339999999999997E-2</v>
      </c>
      <c r="M32" s="44"/>
      <c r="N32" s="47">
        <f>L32-H32</f>
        <v>-0.17154</v>
      </c>
      <c r="O32" s="48">
        <f>IF((H32)=0,"",(N32/H32))</f>
        <v>-0.67302259887005655</v>
      </c>
    </row>
    <row r="33" spans="2:15">
      <c r="B33" s="52" t="s">
        <v>35</v>
      </c>
      <c r="C33" s="38"/>
      <c r="D33" s="39" t="s">
        <v>80</v>
      </c>
      <c r="E33" s="40"/>
      <c r="F33" s="41">
        <v>-0.15540000000000001</v>
      </c>
      <c r="G33" s="42">
        <f t="shared" si="4"/>
        <v>0.36</v>
      </c>
      <c r="H33" s="43">
        <f>G33*F33</f>
        <v>-5.5944000000000001E-2</v>
      </c>
      <c r="I33" s="44"/>
      <c r="J33" s="45"/>
      <c r="K33" s="42">
        <f t="shared" si="5"/>
        <v>0.36</v>
      </c>
      <c r="L33" s="43">
        <f>K33*J33</f>
        <v>0</v>
      </c>
      <c r="M33" s="44"/>
      <c r="N33" s="47">
        <f>L33-H33</f>
        <v>5.5944000000000001E-2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0.36</v>
      </c>
      <c r="H34" s="43">
        <f>G34*F34</f>
        <v>0</v>
      </c>
      <c r="I34" s="44"/>
      <c r="J34" s="45"/>
      <c r="K34" s="42">
        <f t="shared" si="5"/>
        <v>0.36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0.36</v>
      </c>
      <c r="H35" s="43">
        <f t="shared" si="0"/>
        <v>0</v>
      </c>
      <c r="I35" s="44"/>
      <c r="J35" s="45"/>
      <c r="K35" s="42">
        <f t="shared" si="5"/>
        <v>0.36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0.36</v>
      </c>
      <c r="H36" s="43">
        <f t="shared" si="0"/>
        <v>0</v>
      </c>
      <c r="I36" s="44"/>
      <c r="J36" s="45"/>
      <c r="K36" s="42">
        <f t="shared" si="5"/>
        <v>0.36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0.36</v>
      </c>
      <c r="H37" s="43">
        <f t="shared" si="0"/>
        <v>0</v>
      </c>
      <c r="I37" s="44"/>
      <c r="J37" s="45"/>
      <c r="K37" s="42">
        <f t="shared" si="5"/>
        <v>0.36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0.36</v>
      </c>
      <c r="H38" s="43">
        <f t="shared" si="0"/>
        <v>0</v>
      </c>
      <c r="I38" s="44"/>
      <c r="J38" s="45"/>
      <c r="K38" s="42">
        <f t="shared" si="5"/>
        <v>0.36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6.2840639999999999</v>
      </c>
      <c r="I39" s="60"/>
      <c r="J39" s="61"/>
      <c r="K39" s="62"/>
      <c r="L39" s="59">
        <f>SUM(L23:L38)</f>
        <v>6.5933279999999996</v>
      </c>
      <c r="M39" s="60"/>
      <c r="N39" s="63">
        <f t="shared" si="2"/>
        <v>0.30926399999999976</v>
      </c>
      <c r="O39" s="64">
        <f t="shared" si="3"/>
        <v>4.9214011824195263E-2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0.36</v>
      </c>
      <c r="H40" s="43">
        <f t="shared" ref="H40:H46" si="6">G40*F40</f>
        <v>0</v>
      </c>
      <c r="I40" s="44"/>
      <c r="J40" s="45">
        <v>-1.2486999999999999</v>
      </c>
      <c r="K40" s="42">
        <f>$F$18</f>
        <v>0.36</v>
      </c>
      <c r="L40" s="43">
        <f t="shared" ref="L40:L46" si="7">K40*J40</f>
        <v>-0.44953199999999993</v>
      </c>
      <c r="M40" s="44"/>
      <c r="N40" s="47">
        <f t="shared" si="2"/>
        <v>-0.44953199999999993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0.36</v>
      </c>
      <c r="H41" s="43">
        <f t="shared" si="6"/>
        <v>0</v>
      </c>
      <c r="I41" s="67"/>
      <c r="J41" s="45">
        <v>-0.60809999999999997</v>
      </c>
      <c r="K41" s="42">
        <f>$F$18</f>
        <v>0.36</v>
      </c>
      <c r="L41" s="43">
        <f t="shared" si="7"/>
        <v>-0.21891599999999997</v>
      </c>
      <c r="M41" s="68"/>
      <c r="N41" s="47">
        <f t="shared" si="2"/>
        <v>-0.21891599999999997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80</v>
      </c>
      <c r="E42" s="40"/>
      <c r="F42" s="41"/>
      <c r="G42" s="42">
        <f>$F$18</f>
        <v>0.36</v>
      </c>
      <c r="H42" s="43">
        <f t="shared" si="6"/>
        <v>0</v>
      </c>
      <c r="I42" s="67"/>
      <c r="J42" s="45"/>
      <c r="K42" s="42">
        <f>$F$18</f>
        <v>0.36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0.36</v>
      </c>
      <c r="H43" s="43">
        <f t="shared" si="6"/>
        <v>0</v>
      </c>
      <c r="I43" s="67"/>
      <c r="J43" s="45"/>
      <c r="K43" s="42">
        <f>$F$18</f>
        <v>0.36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80</v>
      </c>
      <c r="E44" s="40"/>
      <c r="F44" s="41">
        <v>5.04E-2</v>
      </c>
      <c r="G44" s="42">
        <f>$F$18</f>
        <v>0.36</v>
      </c>
      <c r="H44" s="43">
        <f t="shared" si="6"/>
        <v>1.8144E-2</v>
      </c>
      <c r="I44" s="44"/>
      <c r="J44" s="45">
        <v>9.9400000000000002E-2</v>
      </c>
      <c r="K44" s="42">
        <f>$F$18</f>
        <v>0.36</v>
      </c>
      <c r="L44" s="43">
        <f t="shared" si="7"/>
        <v>3.5783999999999996E-2</v>
      </c>
      <c r="M44" s="44"/>
      <c r="N44" s="47">
        <f t="shared" si="2"/>
        <v>1.7639999999999996E-2</v>
      </c>
      <c r="O44" s="48">
        <f t="shared" si="3"/>
        <v>0.97222222222222199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7.4999999999999997E-2</v>
      </c>
      <c r="G45" s="202">
        <f>$F$18*(1+$F$74)-$F$18</f>
        <v>3.7105200000000504E-3</v>
      </c>
      <c r="H45" s="43">
        <f t="shared" si="6"/>
        <v>2.7828900000000377E-4</v>
      </c>
      <c r="I45" s="44"/>
      <c r="J45" s="72">
        <f>0.64*$F$55+0.18*$F$56+0.18*$F$57</f>
        <v>8.3919999999999995E-2</v>
      </c>
      <c r="K45" s="202">
        <f>$F$18*(1+$J$74)-$F$18</f>
        <v>3.7047600000000291E-3</v>
      </c>
      <c r="L45" s="43">
        <f t="shared" si="7"/>
        <v>3.1090345920000242E-4</v>
      </c>
      <c r="M45" s="44"/>
      <c r="N45" s="47">
        <f t="shared" si="2"/>
        <v>3.2614459199998647E-5</v>
      </c>
      <c r="O45" s="48">
        <f t="shared" si="3"/>
        <v>0.11719636492997641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6.302486289</v>
      </c>
      <c r="I47" s="60"/>
      <c r="J47" s="76"/>
      <c r="K47" s="78"/>
      <c r="L47" s="77">
        <f>SUM(L40:L46)+L39</f>
        <v>5.9609749034592001</v>
      </c>
      <c r="M47" s="60"/>
      <c r="N47" s="63">
        <f t="shared" si="2"/>
        <v>-0.34151138554079985</v>
      </c>
      <c r="O47" s="64">
        <f t="shared" ref="O47:O65" si="8">IF((H47)=0,"",(N47/H47))</f>
        <v>-5.4186771677211636E-2</v>
      </c>
    </row>
    <row r="48" spans="2:15">
      <c r="B48" s="44" t="s">
        <v>44</v>
      </c>
      <c r="C48" s="44"/>
      <c r="D48" s="79" t="s">
        <v>80</v>
      </c>
      <c r="E48" s="80"/>
      <c r="F48" s="45">
        <v>1.9812000000000001</v>
      </c>
      <c r="G48" s="205">
        <f>F18*(1+F74)</f>
        <v>0.36371052000000004</v>
      </c>
      <c r="H48" s="43">
        <f>G48*F48</f>
        <v>0.72058328222400014</v>
      </c>
      <c r="I48" s="44"/>
      <c r="J48" s="45">
        <v>2.0127000000000002</v>
      </c>
      <c r="K48" s="206">
        <f>F18*(1+J74)</f>
        <v>0.36370476000000002</v>
      </c>
      <c r="L48" s="43">
        <f>K48*J48</f>
        <v>0.73202857045200009</v>
      </c>
      <c r="M48" s="44"/>
      <c r="N48" s="47">
        <f t="shared" si="2"/>
        <v>1.144528822799995E-2</v>
      </c>
      <c r="O48" s="48">
        <f t="shared" si="8"/>
        <v>1.5883366309408873E-2</v>
      </c>
    </row>
    <row r="49" spans="2:19" ht="30">
      <c r="B49" s="83" t="s">
        <v>45</v>
      </c>
      <c r="C49" s="44"/>
      <c r="D49" s="79" t="s">
        <v>80</v>
      </c>
      <c r="E49" s="80"/>
      <c r="F49" s="45">
        <v>1.4745999999999999</v>
      </c>
      <c r="G49" s="205">
        <f>G48</f>
        <v>0.36371052000000004</v>
      </c>
      <c r="H49" s="43">
        <f>G49*F49</f>
        <v>0.53632753279200007</v>
      </c>
      <c r="I49" s="44"/>
      <c r="J49" s="45">
        <v>1.2939000000000001</v>
      </c>
      <c r="K49" s="206">
        <f>K48</f>
        <v>0.36370476000000002</v>
      </c>
      <c r="L49" s="43">
        <f>K49*J49</f>
        <v>0.47059758896400006</v>
      </c>
      <c r="M49" s="44"/>
      <c r="N49" s="47">
        <f t="shared" si="2"/>
        <v>-6.5729943828000015E-2</v>
      </c>
      <c r="O49" s="48">
        <f t="shared" si="8"/>
        <v>-0.12255560233095766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7.559397104016</v>
      </c>
      <c r="I50" s="85"/>
      <c r="J50" s="86"/>
      <c r="K50" s="87"/>
      <c r="L50" s="77">
        <f>SUM(L47:L49)</f>
        <v>7.1636010628752</v>
      </c>
      <c r="M50" s="85"/>
      <c r="N50" s="63">
        <f t="shared" si="2"/>
        <v>-0.39579604114079991</v>
      </c>
      <c r="O50" s="64">
        <f t="shared" si="8"/>
        <v>-5.2358149161198263E-2</v>
      </c>
    </row>
    <row r="51" spans="2:19" ht="30">
      <c r="B51" s="88" t="s">
        <v>47</v>
      </c>
      <c r="C51" s="38"/>
      <c r="D51" s="39" t="s">
        <v>80</v>
      </c>
      <c r="E51" s="40"/>
      <c r="F51" s="89">
        <v>4.4000000000000003E-3</v>
      </c>
      <c r="G51" s="81">
        <f>131*1.0307</f>
        <v>135.02169999999998</v>
      </c>
      <c r="H51" s="90">
        <f t="shared" ref="H51:H57" si="9">G51*F51</f>
        <v>0.59409548000000001</v>
      </c>
      <c r="I51" s="44"/>
      <c r="J51" s="91">
        <v>4.4000000000000003E-3</v>
      </c>
      <c r="K51" s="82">
        <f>131*1.0291</f>
        <v>134.81209999999999</v>
      </c>
      <c r="L51" s="90">
        <f t="shared" ref="L51:L57" si="10">K51*J51</f>
        <v>0.59317323999999994</v>
      </c>
      <c r="M51" s="44"/>
      <c r="N51" s="47">
        <f t="shared" si="2"/>
        <v>-9.2224000000007411E-4</v>
      </c>
      <c r="O51" s="92">
        <f t="shared" si="8"/>
        <v>-1.5523430678181125E-3</v>
      </c>
    </row>
    <row r="52" spans="2:19" ht="30">
      <c r="B52" s="88" t="s">
        <v>48</v>
      </c>
      <c r="C52" s="38"/>
      <c r="D52" s="39" t="s">
        <v>80</v>
      </c>
      <c r="E52" s="40"/>
      <c r="F52" s="89">
        <v>1.2999999999999999E-3</v>
      </c>
      <c r="G52" s="81">
        <f>+G51</f>
        <v>135.02169999999998</v>
      </c>
      <c r="H52" s="90">
        <f t="shared" si="9"/>
        <v>0.17552820999999996</v>
      </c>
      <c r="I52" s="44"/>
      <c r="J52" s="91">
        <v>1.2999999999999999E-3</v>
      </c>
      <c r="K52" s="82">
        <f>+G52</f>
        <v>135.02169999999998</v>
      </c>
      <c r="L52" s="90">
        <f t="shared" si="10"/>
        <v>0.17552820999999996</v>
      </c>
      <c r="M52" s="44"/>
      <c r="N52" s="47">
        <f t="shared" si="2"/>
        <v>0</v>
      </c>
      <c r="O52" s="92">
        <f t="shared" si="8"/>
        <v>0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v>131</v>
      </c>
      <c r="H54" s="90">
        <f t="shared" si="9"/>
        <v>0.91700000000000004</v>
      </c>
      <c r="I54" s="44"/>
      <c r="J54" s="91">
        <v>7.0000000000000001E-3</v>
      </c>
      <c r="K54" s="94">
        <f>+G54</f>
        <v>131</v>
      </c>
      <c r="L54" s="90">
        <f t="shared" si="10"/>
        <v>0.91700000000000004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80</v>
      </c>
      <c r="E55" s="40"/>
      <c r="F55" s="95">
        <v>6.7000000000000004E-2</v>
      </c>
      <c r="G55" s="96">
        <f>0.64*$F$17</f>
        <v>83.84</v>
      </c>
      <c r="H55" s="90">
        <f t="shared" si="9"/>
        <v>5.6172800000000009</v>
      </c>
      <c r="I55" s="44"/>
      <c r="J55" s="89">
        <v>6.7000000000000004E-2</v>
      </c>
      <c r="K55" s="96">
        <f>G55</f>
        <v>83.84</v>
      </c>
      <c r="L55" s="90">
        <f t="shared" si="10"/>
        <v>5.6172800000000009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80</v>
      </c>
      <c r="E56" s="40"/>
      <c r="F56" s="95">
        <v>0.104</v>
      </c>
      <c r="G56" s="96">
        <f>0.18*$F$17</f>
        <v>23.58</v>
      </c>
      <c r="H56" s="90">
        <f t="shared" si="9"/>
        <v>2.4523199999999998</v>
      </c>
      <c r="I56" s="44"/>
      <c r="J56" s="89">
        <v>0.104</v>
      </c>
      <c r="K56" s="96">
        <f>G56</f>
        <v>23.58</v>
      </c>
      <c r="L56" s="90">
        <f t="shared" si="10"/>
        <v>2.4523199999999998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80</v>
      </c>
      <c r="E57" s="40"/>
      <c r="F57" s="95">
        <v>0.124</v>
      </c>
      <c r="G57" s="96">
        <f>0.18*$F$17</f>
        <v>23.58</v>
      </c>
      <c r="H57" s="90">
        <f t="shared" si="9"/>
        <v>2.9239199999999999</v>
      </c>
      <c r="I57" s="44"/>
      <c r="J57" s="89">
        <v>0.124</v>
      </c>
      <c r="K57" s="96">
        <f>G57</f>
        <v>23.58</v>
      </c>
      <c r="L57" s="90">
        <f t="shared" si="10"/>
        <v>2.9239199999999999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80</v>
      </c>
      <c r="E58" s="101"/>
      <c r="F58" s="95">
        <v>7.4999999999999997E-2</v>
      </c>
      <c r="G58" s="102">
        <v>131</v>
      </c>
      <c r="H58" s="90">
        <f>G58*F58</f>
        <v>9.8249999999999993</v>
      </c>
      <c r="I58" s="103"/>
      <c r="J58" s="89">
        <v>7.4999999999999997E-2</v>
      </c>
      <c r="K58" s="102">
        <f>G58</f>
        <v>131</v>
      </c>
      <c r="L58" s="90">
        <f>K58*J58</f>
        <v>9.8249999999999993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80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0</v>
      </c>
      <c r="H59" s="90">
        <f>G59*F59</f>
        <v>0</v>
      </c>
      <c r="I59" s="103"/>
      <c r="J59" s="89">
        <v>8.7999999999999995E-2</v>
      </c>
      <c r="K59" s="102">
        <f>G59</f>
        <v>0</v>
      </c>
      <c r="L59" s="90">
        <f>K59*J59</f>
        <v>0</v>
      </c>
      <c r="M59" s="103"/>
      <c r="N59" s="104">
        <f t="shared" si="2"/>
        <v>0</v>
      </c>
      <c r="O59" s="92" t="str">
        <f t="shared" si="8"/>
        <v/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20.489540794016001</v>
      </c>
      <c r="I61" s="120"/>
      <c r="J61" s="121"/>
      <c r="K61" s="121"/>
      <c r="L61" s="119">
        <f>SUM(L51:L57,L50)</f>
        <v>20.092822512875202</v>
      </c>
      <c r="M61" s="122"/>
      <c r="N61" s="123">
        <f>L61-H61</f>
        <v>-0.39671828114079943</v>
      </c>
      <c r="O61" s="124">
        <f>IF((H61)=0,"",(N61/H61))</f>
        <v>-1.9361989862489333E-2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2.6636403032220803</v>
      </c>
      <c r="I62" s="129"/>
      <c r="J62" s="130">
        <v>0.13</v>
      </c>
      <c r="K62" s="129"/>
      <c r="L62" s="131">
        <f>L61*J62</f>
        <v>2.6120669266737764</v>
      </c>
      <c r="M62" s="132"/>
      <c r="N62" s="133">
        <f t="shared" si="2"/>
        <v>-5.1573376548303962E-2</v>
      </c>
      <c r="O62" s="134">
        <f t="shared" si="8"/>
        <v>-1.9361989862489343E-2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23.153181097238082</v>
      </c>
      <c r="I63" s="129"/>
      <c r="J63" s="129"/>
      <c r="K63" s="129"/>
      <c r="L63" s="131">
        <f>L61+L62</f>
        <v>22.704889439548978</v>
      </c>
      <c r="M63" s="132"/>
      <c r="N63" s="133">
        <f t="shared" si="2"/>
        <v>-0.44829165768910428</v>
      </c>
      <c r="O63" s="134">
        <f t="shared" si="8"/>
        <v>-1.9361989862489371E-2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-2.3199999999999998</v>
      </c>
      <c r="I64" s="129"/>
      <c r="J64" s="129"/>
      <c r="K64" s="129"/>
      <c r="L64" s="139">
        <f>ROUND(-L63*10%,2)</f>
        <v>-2.27</v>
      </c>
      <c r="M64" s="132"/>
      <c r="N64" s="140">
        <f t="shared" si="2"/>
        <v>4.9999999999999822E-2</v>
      </c>
      <c r="O64" s="141">
        <f t="shared" si="8"/>
        <v>-2.155172413793096E-2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20.833181097238082</v>
      </c>
      <c r="I65" s="147"/>
      <c r="J65" s="147"/>
      <c r="K65" s="147"/>
      <c r="L65" s="148">
        <f>L63+L64</f>
        <v>20.434889439548979</v>
      </c>
      <c r="M65" s="149"/>
      <c r="N65" s="150">
        <f t="shared" si="2"/>
        <v>-0.39829165768910357</v>
      </c>
      <c r="O65" s="151">
        <f t="shared" si="8"/>
        <v>-1.911813927167879E-2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19.321020794016</v>
      </c>
      <c r="I67" s="163"/>
      <c r="J67" s="164"/>
      <c r="K67" s="164"/>
      <c r="L67" s="162">
        <f>SUM(L58:L59,L50,L51:L54)</f>
        <v>18.924302512875197</v>
      </c>
      <c r="M67" s="165"/>
      <c r="N67" s="166">
        <f>L67-H67</f>
        <v>-0.39671828114080299</v>
      </c>
      <c r="O67" s="124">
        <f>IF((H67)=0,"",(N67/H67))</f>
        <v>-2.0532987639228274E-2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2.51173270322208</v>
      </c>
      <c r="I68" s="170"/>
      <c r="J68" s="171">
        <v>0.13</v>
      </c>
      <c r="K68" s="172"/>
      <c r="L68" s="173">
        <f>L67*J68</f>
        <v>2.4601593266737756</v>
      </c>
      <c r="M68" s="174"/>
      <c r="N68" s="175">
        <f>L68-H68</f>
        <v>-5.1573376548304406E-2</v>
      </c>
      <c r="O68" s="134">
        <f>IF((H68)=0,"",(N68/H68))</f>
        <v>-2.053298763922828E-2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21.83275349723808</v>
      </c>
      <c r="I69" s="170"/>
      <c r="J69" s="170"/>
      <c r="K69" s="170"/>
      <c r="L69" s="173">
        <f>L67+L68</f>
        <v>21.384461839548973</v>
      </c>
      <c r="M69" s="174"/>
      <c r="N69" s="175">
        <f>L69-H69</f>
        <v>-0.44829165768910784</v>
      </c>
      <c r="O69" s="134">
        <f>IF((H69)=0,"",(N69/H69))</f>
        <v>-2.0532987639228294E-2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-2.1800000000000002</v>
      </c>
      <c r="I70" s="170"/>
      <c r="J70" s="170"/>
      <c r="K70" s="170"/>
      <c r="L70" s="181">
        <f>ROUND(-L69*10%,2)</f>
        <v>-2.14</v>
      </c>
      <c r="M70" s="174"/>
      <c r="N70" s="182">
        <f>L70-H70</f>
        <v>4.0000000000000036E-2</v>
      </c>
      <c r="O70" s="141">
        <f>IF((H70)=0,"",(N70/H70))</f>
        <v>-1.8348623853211024E-2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19.652753497238081</v>
      </c>
      <c r="I71" s="188"/>
      <c r="J71" s="188"/>
      <c r="K71" s="188"/>
      <c r="L71" s="189">
        <f>SUM(L69:L70)</f>
        <v>19.244461839548972</v>
      </c>
      <c r="M71" s="190"/>
      <c r="N71" s="191">
        <f>L71-H71</f>
        <v>-0.40829165768910869</v>
      </c>
      <c r="O71" s="192">
        <f>IF((H71)=0,"",(N71/H71))</f>
        <v>-2.0775290228236383E-2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9.710937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250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15.18</v>
      </c>
      <c r="G23" s="42">
        <v>1</v>
      </c>
      <c r="H23" s="43">
        <f>G23*F23</f>
        <v>15.18</v>
      </c>
      <c r="I23" s="44"/>
      <c r="J23" s="45">
        <v>16.59</v>
      </c>
      <c r="K23" s="46">
        <v>1</v>
      </c>
      <c r="L23" s="43">
        <f>K23*J23</f>
        <v>16.59</v>
      </c>
      <c r="M23" s="44"/>
      <c r="N23" s="47">
        <f>L23-H23</f>
        <v>1.4100000000000001</v>
      </c>
      <c r="O23" s="48">
        <f>IF((H23)=0,"",(N23/H23))</f>
        <v>9.2885375494071151E-2</v>
      </c>
    </row>
    <row r="24" spans="2:15">
      <c r="B24" s="38" t="s">
        <v>26</v>
      </c>
      <c r="C24" s="38"/>
      <c r="D24" s="39" t="s">
        <v>25</v>
      </c>
      <c r="E24" s="40"/>
      <c r="F24" s="41">
        <v>0.79</v>
      </c>
      <c r="G24" s="42">
        <v>1</v>
      </c>
      <c r="H24" s="43">
        <f t="shared" ref="H24:H38" si="0">G24*F24</f>
        <v>0.79</v>
      </c>
      <c r="I24" s="44"/>
      <c r="J24" s="45">
        <v>0.79</v>
      </c>
      <c r="K24" s="46">
        <v>1</v>
      </c>
      <c r="L24" s="43">
        <f>K24*J24</f>
        <v>0.79</v>
      </c>
      <c r="M24" s="44"/>
      <c r="N24" s="47">
        <f>L24-H24</f>
        <v>0</v>
      </c>
      <c r="O24" s="48">
        <f>IF((H24)=0,"",(N24/H24))</f>
        <v>0</v>
      </c>
    </row>
    <row r="25" spans="2:15">
      <c r="B25" s="49" t="s">
        <v>27</v>
      </c>
      <c r="C25" s="38"/>
      <c r="D25" s="39" t="s">
        <v>25</v>
      </c>
      <c r="E25" s="40"/>
      <c r="F25" s="41">
        <v>1</v>
      </c>
      <c r="G25" s="42">
        <v>1</v>
      </c>
      <c r="H25" s="43">
        <f t="shared" si="0"/>
        <v>1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>
        <v>2.79</v>
      </c>
      <c r="G26" s="42">
        <v>1</v>
      </c>
      <c r="H26" s="43">
        <f t="shared" si="0"/>
        <v>2.79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-2.79</v>
      </c>
      <c r="O26" s="48">
        <f t="shared" si="3"/>
        <v>-1</v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>
        <v>0.9</v>
      </c>
      <c r="K27" s="46">
        <v>1</v>
      </c>
      <c r="L27" s="43">
        <f t="shared" si="1"/>
        <v>0.9</v>
      </c>
      <c r="M27" s="44"/>
      <c r="N27" s="47">
        <f t="shared" si="2"/>
        <v>0.9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31</v>
      </c>
      <c r="E29" s="40"/>
      <c r="F29" s="41">
        <v>1.6899999999999998E-2</v>
      </c>
      <c r="G29" s="42">
        <f t="shared" ref="G29:G38" si="4">$F$18</f>
        <v>250</v>
      </c>
      <c r="H29" s="43">
        <f t="shared" si="0"/>
        <v>4.2249999999999996</v>
      </c>
      <c r="I29" s="44"/>
      <c r="J29" s="45">
        <v>1.8499999999999999E-2</v>
      </c>
      <c r="K29" s="42">
        <f>$F$18</f>
        <v>250</v>
      </c>
      <c r="L29" s="43">
        <f t="shared" si="1"/>
        <v>4.625</v>
      </c>
      <c r="M29" s="44"/>
      <c r="N29" s="47">
        <f t="shared" si="2"/>
        <v>0.40000000000000036</v>
      </c>
      <c r="O29" s="48">
        <f t="shared" si="3"/>
        <v>9.4674556213017846E-2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250</v>
      </c>
      <c r="H30" s="43">
        <f t="shared" si="0"/>
        <v>0</v>
      </c>
      <c r="I30" s="44"/>
      <c r="J30" s="45"/>
      <c r="K30" s="42">
        <f t="shared" ref="K30:K38" si="5">$F$18</f>
        <v>250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250</v>
      </c>
      <c r="H31" s="43">
        <f t="shared" si="0"/>
        <v>0</v>
      </c>
      <c r="I31" s="44"/>
      <c r="J31" s="45"/>
      <c r="K31" s="42">
        <f t="shared" si="5"/>
        <v>250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31</v>
      </c>
      <c r="E32" s="40"/>
      <c r="F32" s="41">
        <v>1.1000000000000001E-3</v>
      </c>
      <c r="G32" s="42">
        <f t="shared" si="4"/>
        <v>250</v>
      </c>
      <c r="H32" s="43">
        <f>G32*F32</f>
        <v>0.27500000000000002</v>
      </c>
      <c r="I32" s="44"/>
      <c r="J32" s="45">
        <v>5.0000000000000001E-4</v>
      </c>
      <c r="K32" s="42">
        <f t="shared" si="5"/>
        <v>250</v>
      </c>
      <c r="L32" s="43">
        <f>K32*J32</f>
        <v>0.125</v>
      </c>
      <c r="M32" s="44"/>
      <c r="N32" s="47">
        <f>L32-H32</f>
        <v>-0.15000000000000002</v>
      </c>
      <c r="O32" s="48">
        <f>IF((H32)=0,"",(N32/H32))</f>
        <v>-0.54545454545454553</v>
      </c>
    </row>
    <row r="33" spans="2:15">
      <c r="B33" s="52" t="s">
        <v>35</v>
      </c>
      <c r="C33" s="38"/>
      <c r="D33" s="39" t="s">
        <v>31</v>
      </c>
      <c r="E33" s="40"/>
      <c r="F33" s="41">
        <v>-4.0000000000000002E-4</v>
      </c>
      <c r="G33" s="42">
        <f t="shared" si="4"/>
        <v>250</v>
      </c>
      <c r="H33" s="43">
        <f>G33*F33</f>
        <v>-0.1</v>
      </c>
      <c r="I33" s="44"/>
      <c r="J33" s="45"/>
      <c r="K33" s="42">
        <f t="shared" si="5"/>
        <v>250</v>
      </c>
      <c r="L33" s="43">
        <f>K33*J33</f>
        <v>0</v>
      </c>
      <c r="M33" s="44"/>
      <c r="N33" s="47">
        <f>L33-H33</f>
        <v>0.1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250</v>
      </c>
      <c r="H34" s="43">
        <f>G34*F34</f>
        <v>0</v>
      </c>
      <c r="I34" s="44"/>
      <c r="J34" s="45"/>
      <c r="K34" s="42">
        <f t="shared" si="5"/>
        <v>250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250</v>
      </c>
      <c r="H35" s="43">
        <f t="shared" si="0"/>
        <v>0</v>
      </c>
      <c r="I35" s="44"/>
      <c r="J35" s="45"/>
      <c r="K35" s="42">
        <f t="shared" si="5"/>
        <v>250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250</v>
      </c>
      <c r="H36" s="43">
        <f t="shared" si="0"/>
        <v>0</v>
      </c>
      <c r="I36" s="44"/>
      <c r="J36" s="45"/>
      <c r="K36" s="42">
        <f t="shared" si="5"/>
        <v>250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250</v>
      </c>
      <c r="H37" s="43">
        <f t="shared" si="0"/>
        <v>0</v>
      </c>
      <c r="I37" s="44"/>
      <c r="J37" s="45"/>
      <c r="K37" s="42">
        <f t="shared" si="5"/>
        <v>250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250</v>
      </c>
      <c r="H38" s="43">
        <f t="shared" si="0"/>
        <v>0</v>
      </c>
      <c r="I38" s="44"/>
      <c r="J38" s="45"/>
      <c r="K38" s="42">
        <f t="shared" si="5"/>
        <v>250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24.159999999999997</v>
      </c>
      <c r="I39" s="60"/>
      <c r="J39" s="61"/>
      <c r="K39" s="62"/>
      <c r="L39" s="59">
        <f>SUM(L23:L38)</f>
        <v>23.029999999999998</v>
      </c>
      <c r="M39" s="60"/>
      <c r="N39" s="63">
        <f t="shared" si="2"/>
        <v>-1.129999999999999</v>
      </c>
      <c r="O39" s="64">
        <f t="shared" si="3"/>
        <v>-4.6771523178807915E-2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250</v>
      </c>
      <c r="H40" s="43">
        <f t="shared" ref="H40:H46" si="6">G40*F40</f>
        <v>0</v>
      </c>
      <c r="I40" s="44"/>
      <c r="J40" s="45">
        <v>-2.3E-3</v>
      </c>
      <c r="K40" s="42">
        <f>$F$18</f>
        <v>250</v>
      </c>
      <c r="L40" s="43">
        <f t="shared" ref="L40:L46" si="7">K40*J40</f>
        <v>-0.57499999999999996</v>
      </c>
      <c r="M40" s="44"/>
      <c r="N40" s="47">
        <f t="shared" si="2"/>
        <v>-0.57499999999999996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250</v>
      </c>
      <c r="H41" s="43">
        <f t="shared" si="6"/>
        <v>0</v>
      </c>
      <c r="I41" s="67"/>
      <c r="J41" s="45">
        <v>-1.4E-3</v>
      </c>
      <c r="K41" s="42">
        <f>$F$18</f>
        <v>250</v>
      </c>
      <c r="L41" s="43">
        <f t="shared" si="7"/>
        <v>-0.35</v>
      </c>
      <c r="M41" s="68"/>
      <c r="N41" s="47">
        <f t="shared" si="2"/>
        <v>-0.35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31</v>
      </c>
      <c r="E42" s="40"/>
      <c r="F42" s="41"/>
      <c r="G42" s="42">
        <f>$F$18</f>
        <v>250</v>
      </c>
      <c r="H42" s="43">
        <f t="shared" si="6"/>
        <v>0</v>
      </c>
      <c r="I42" s="67"/>
      <c r="J42" s="45">
        <v>2.5999999999999999E-3</v>
      </c>
      <c r="K42" s="42">
        <f>$F$18</f>
        <v>250</v>
      </c>
      <c r="L42" s="43">
        <f t="shared" si="7"/>
        <v>0.65</v>
      </c>
      <c r="M42" s="68"/>
      <c r="N42" s="47">
        <f t="shared" si="2"/>
        <v>0.65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250</v>
      </c>
      <c r="H43" s="43">
        <f t="shared" si="6"/>
        <v>0</v>
      </c>
      <c r="I43" s="67"/>
      <c r="J43" s="45"/>
      <c r="K43" s="42">
        <f>$F$18</f>
        <v>250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31</v>
      </c>
      <c r="E44" s="40"/>
      <c r="F44" s="41">
        <v>2.0000000000000001E-4</v>
      </c>
      <c r="G44" s="42">
        <f>$F$18</f>
        <v>250</v>
      </c>
      <c r="H44" s="43">
        <f t="shared" si="6"/>
        <v>0.05</v>
      </c>
      <c r="I44" s="44"/>
      <c r="J44" s="45">
        <v>4.0000000000000002E-4</v>
      </c>
      <c r="K44" s="42">
        <f>$F$18</f>
        <v>250</v>
      </c>
      <c r="L44" s="43">
        <f t="shared" si="7"/>
        <v>0.1</v>
      </c>
      <c r="M44" s="44"/>
      <c r="N44" s="47">
        <f t="shared" si="2"/>
        <v>0.05</v>
      </c>
      <c r="O44" s="48">
        <f t="shared" si="3"/>
        <v>1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202">
        <f>$F$18*(1+$F$74)-$F$18</f>
        <v>2.5767500000000041</v>
      </c>
      <c r="H45" s="43">
        <f t="shared" si="6"/>
        <v>0.21624086000000034</v>
      </c>
      <c r="I45" s="44"/>
      <c r="J45" s="72">
        <f>0.64*$F$55+0.18*$F$56+0.18*$F$57</f>
        <v>8.3919999999999995E-2</v>
      </c>
      <c r="K45" s="202">
        <f>$F$18*(1+$J$74)-$F$18</f>
        <v>2.5727500000000134</v>
      </c>
      <c r="L45" s="43">
        <f t="shared" si="7"/>
        <v>0.21590518000000111</v>
      </c>
      <c r="M45" s="44"/>
      <c r="N45" s="47">
        <f t="shared" si="2"/>
        <v>-3.3567999999922771E-4</v>
      </c>
      <c r="O45" s="48">
        <f t="shared" si="3"/>
        <v>-1.5523430678144139E-3</v>
      </c>
    </row>
    <row r="46" spans="2:15">
      <c r="B46" s="69" t="s">
        <v>42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25.216240859999996</v>
      </c>
      <c r="I47" s="60"/>
      <c r="J47" s="76"/>
      <c r="K47" s="78"/>
      <c r="L47" s="77">
        <f>SUM(L40:L46)+L39</f>
        <v>23.86090518</v>
      </c>
      <c r="M47" s="60"/>
      <c r="N47" s="63">
        <f t="shared" si="2"/>
        <v>-1.355335679999996</v>
      </c>
      <c r="O47" s="64">
        <f t="shared" ref="O47:O65" si="8">IF((H47)=0,"",(N47/H47))</f>
        <v>-5.3748522134000443E-2</v>
      </c>
    </row>
    <row r="48" spans="2:15">
      <c r="B48" s="44" t="s">
        <v>44</v>
      </c>
      <c r="C48" s="44"/>
      <c r="D48" s="79" t="s">
        <v>31</v>
      </c>
      <c r="E48" s="80"/>
      <c r="F48" s="45">
        <v>7.1999999999999998E-3</v>
      </c>
      <c r="G48" s="81">
        <f>F18*(1+F74)</f>
        <v>252.57675</v>
      </c>
      <c r="H48" s="43">
        <f>G48*F48</f>
        <v>1.8185526000000001</v>
      </c>
      <c r="I48" s="44"/>
      <c r="J48" s="45">
        <v>7.3000000000000001E-3</v>
      </c>
      <c r="K48" s="82">
        <f>F18*(1+J74)</f>
        <v>252.57275000000001</v>
      </c>
      <c r="L48" s="43">
        <f>K48*J48</f>
        <v>1.8437810750000001</v>
      </c>
      <c r="M48" s="44"/>
      <c r="N48" s="47">
        <f t="shared" si="2"/>
        <v>2.5228475000000028E-2</v>
      </c>
      <c r="O48" s="48">
        <f t="shared" si="8"/>
        <v>1.3872832163336946E-2</v>
      </c>
    </row>
    <row r="49" spans="2:19" ht="30">
      <c r="B49" s="83" t="s">
        <v>45</v>
      </c>
      <c r="C49" s="44"/>
      <c r="D49" s="79" t="s">
        <v>31</v>
      </c>
      <c r="E49" s="80"/>
      <c r="F49" s="45">
        <v>5.1000000000000004E-3</v>
      </c>
      <c r="G49" s="81">
        <f>G48</f>
        <v>252.57675</v>
      </c>
      <c r="H49" s="43">
        <f>G49*F49</f>
        <v>1.2881414250000001</v>
      </c>
      <c r="I49" s="44"/>
      <c r="J49" s="45">
        <v>4.4999999999999997E-3</v>
      </c>
      <c r="K49" s="82">
        <f>K48</f>
        <v>252.57275000000001</v>
      </c>
      <c r="L49" s="43">
        <f>K49*J49</f>
        <v>1.1365773749999999</v>
      </c>
      <c r="M49" s="44"/>
      <c r="N49" s="47">
        <f t="shared" si="2"/>
        <v>-0.15156405000000017</v>
      </c>
      <c r="O49" s="48">
        <f t="shared" si="8"/>
        <v>-0.11766103244447726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28.322934884999995</v>
      </c>
      <c r="I50" s="85"/>
      <c r="J50" s="86"/>
      <c r="K50" s="87"/>
      <c r="L50" s="77">
        <f>SUM(L47:L49)</f>
        <v>26.84126363</v>
      </c>
      <c r="M50" s="85"/>
      <c r="N50" s="63">
        <f t="shared" si="2"/>
        <v>-1.4816712549999949</v>
      </c>
      <c r="O50" s="64">
        <f t="shared" si="8"/>
        <v>-5.2313478847303259E-2</v>
      </c>
    </row>
    <row r="51" spans="2:19" ht="30">
      <c r="B51" s="88" t="s">
        <v>47</v>
      </c>
      <c r="C51" s="38"/>
      <c r="D51" s="39" t="s">
        <v>31</v>
      </c>
      <c r="E51" s="40"/>
      <c r="F51" s="89">
        <v>4.4000000000000003E-3</v>
      </c>
      <c r="G51" s="81">
        <f>G49</f>
        <v>252.57675</v>
      </c>
      <c r="H51" s="90">
        <f t="shared" ref="H51:H57" si="9">G51*F51</f>
        <v>1.1113377</v>
      </c>
      <c r="I51" s="44"/>
      <c r="J51" s="91">
        <v>4.4000000000000003E-3</v>
      </c>
      <c r="K51" s="82">
        <f>K49</f>
        <v>252.57275000000001</v>
      </c>
      <c r="L51" s="90">
        <f t="shared" ref="L51:L57" si="10">K51*J51</f>
        <v>1.1113201000000001</v>
      </c>
      <c r="M51" s="44"/>
      <c r="N51" s="47">
        <f t="shared" si="2"/>
        <v>-1.7599999999839966E-5</v>
      </c>
      <c r="O51" s="92">
        <f t="shared" si="8"/>
        <v>-1.5836770407266816E-5</v>
      </c>
    </row>
    <row r="52" spans="2:19" ht="30">
      <c r="B52" s="88" t="s">
        <v>48</v>
      </c>
      <c r="C52" s="38"/>
      <c r="D52" s="39" t="s">
        <v>31</v>
      </c>
      <c r="E52" s="40"/>
      <c r="F52" s="89">
        <v>1.2999999999999999E-3</v>
      </c>
      <c r="G52" s="81">
        <f>G49</f>
        <v>252.57675</v>
      </c>
      <c r="H52" s="90">
        <f t="shared" si="9"/>
        <v>0.32834977500000001</v>
      </c>
      <c r="I52" s="44"/>
      <c r="J52" s="91">
        <v>1.2999999999999999E-3</v>
      </c>
      <c r="K52" s="82">
        <f>K49</f>
        <v>252.57275000000001</v>
      </c>
      <c r="L52" s="90">
        <f t="shared" si="10"/>
        <v>0.32834457500000003</v>
      </c>
      <c r="M52" s="44"/>
      <c r="N52" s="47">
        <f t="shared" si="2"/>
        <v>-5.199999999982996E-6</v>
      </c>
      <c r="O52" s="92">
        <f t="shared" si="8"/>
        <v>-1.5836770407359031E-5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/>
      <c r="G54" s="93">
        <f>F18</f>
        <v>250</v>
      </c>
      <c r="H54" s="90">
        <f t="shared" si="9"/>
        <v>0</v>
      </c>
      <c r="I54" s="44"/>
      <c r="J54" s="91"/>
      <c r="K54" s="94">
        <f>F18</f>
        <v>250</v>
      </c>
      <c r="L54" s="90">
        <f t="shared" si="10"/>
        <v>0</v>
      </c>
      <c r="M54" s="44"/>
      <c r="N54" s="47">
        <f t="shared" si="2"/>
        <v>0</v>
      </c>
      <c r="O54" s="92" t="str">
        <f t="shared" si="8"/>
        <v/>
      </c>
    </row>
    <row r="55" spans="2:19">
      <c r="B55" s="69" t="s">
        <v>51</v>
      </c>
      <c r="C55" s="38"/>
      <c r="D55" s="39" t="s">
        <v>31</v>
      </c>
      <c r="E55" s="40"/>
      <c r="F55" s="95">
        <v>6.7000000000000004E-2</v>
      </c>
      <c r="G55" s="96">
        <f>0.64*$F$18</f>
        <v>160</v>
      </c>
      <c r="H55" s="90">
        <f t="shared" si="9"/>
        <v>10.72</v>
      </c>
      <c r="I55" s="44"/>
      <c r="J55" s="89">
        <v>6.7000000000000004E-2</v>
      </c>
      <c r="K55" s="96">
        <f>G55</f>
        <v>160</v>
      </c>
      <c r="L55" s="90">
        <f t="shared" si="10"/>
        <v>10.72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31</v>
      </c>
      <c r="E56" s="40"/>
      <c r="F56" s="95">
        <v>0.104</v>
      </c>
      <c r="G56" s="96">
        <f>0.18*$F$18</f>
        <v>45</v>
      </c>
      <c r="H56" s="90">
        <f t="shared" si="9"/>
        <v>4.68</v>
      </c>
      <c r="I56" s="44"/>
      <c r="J56" s="89">
        <v>0.104</v>
      </c>
      <c r="K56" s="96">
        <f>G56</f>
        <v>45</v>
      </c>
      <c r="L56" s="90">
        <f t="shared" si="10"/>
        <v>4.68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31</v>
      </c>
      <c r="E57" s="40"/>
      <c r="F57" s="95">
        <v>0.124</v>
      </c>
      <c r="G57" s="96">
        <f>0.18*$F$18</f>
        <v>45</v>
      </c>
      <c r="H57" s="90">
        <f t="shared" si="9"/>
        <v>5.58</v>
      </c>
      <c r="I57" s="44"/>
      <c r="J57" s="89">
        <v>0.124</v>
      </c>
      <c r="K57" s="96">
        <f>G57</f>
        <v>45</v>
      </c>
      <c r="L57" s="90">
        <f t="shared" si="10"/>
        <v>5.58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31</v>
      </c>
      <c r="E58" s="101"/>
      <c r="F58" s="95">
        <v>7.4999999999999997E-2</v>
      </c>
      <c r="G58" s="102">
        <f>IF(AND($T$1=1, F18&gt;=600), 600, IF(AND($T$1=1, AND(F18&lt;600, F18&gt;=0)), F18, IF(AND($T$1=2, F18&gt;=1000), 1000, IF(AND($T$1=2, AND(F18&lt;1000, F18&gt;=0)), F18))))</f>
        <v>250</v>
      </c>
      <c r="H58" s="90">
        <f>G58*F58</f>
        <v>18.75</v>
      </c>
      <c r="I58" s="103"/>
      <c r="J58" s="89">
        <v>7.4999999999999997E-2</v>
      </c>
      <c r="K58" s="102">
        <f>G58</f>
        <v>250</v>
      </c>
      <c r="L58" s="90">
        <f>K58*J58</f>
        <v>18.75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31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0</v>
      </c>
      <c r="H59" s="90">
        <f>G59*F59</f>
        <v>0</v>
      </c>
      <c r="I59" s="103"/>
      <c r="J59" s="89">
        <v>8.7999999999999995E-2</v>
      </c>
      <c r="K59" s="102">
        <f>G59</f>
        <v>0</v>
      </c>
      <c r="L59" s="90">
        <f>K59*J59</f>
        <v>0</v>
      </c>
      <c r="M59" s="103"/>
      <c r="N59" s="104">
        <f t="shared" si="2"/>
        <v>0</v>
      </c>
      <c r="O59" s="92" t="str">
        <f t="shared" si="8"/>
        <v/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50.992622359999991</v>
      </c>
      <c r="I61" s="120"/>
      <c r="J61" s="121"/>
      <c r="K61" s="121"/>
      <c r="L61" s="119">
        <f>SUM(L51:L57,L50)</f>
        <v>49.510928305</v>
      </c>
      <c r="M61" s="122"/>
      <c r="N61" s="123">
        <f>L61-H61</f>
        <v>-1.4816940549999913</v>
      </c>
      <c r="O61" s="124">
        <f>IF((H61)=0,"",(N61/H61))</f>
        <v>-2.9057027986116531E-2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6.6290409067999994</v>
      </c>
      <c r="I62" s="129"/>
      <c r="J62" s="130">
        <v>0.13</v>
      </c>
      <c r="K62" s="129"/>
      <c r="L62" s="131">
        <f>L61*J62</f>
        <v>6.4364206796500003</v>
      </c>
      <c r="M62" s="132"/>
      <c r="N62" s="133">
        <f t="shared" si="2"/>
        <v>-0.19262022714999905</v>
      </c>
      <c r="O62" s="134">
        <f t="shared" si="8"/>
        <v>-2.9057027986116556E-2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57.621663266799992</v>
      </c>
      <c r="I63" s="129"/>
      <c r="J63" s="129"/>
      <c r="K63" s="129"/>
      <c r="L63" s="131">
        <f>L61+L62</f>
        <v>55.947348984649999</v>
      </c>
      <c r="M63" s="132"/>
      <c r="N63" s="133">
        <f t="shared" si="2"/>
        <v>-1.674314282149993</v>
      </c>
      <c r="O63" s="134">
        <f t="shared" si="8"/>
        <v>-2.905702798611658E-2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-5.76</v>
      </c>
      <c r="I64" s="129"/>
      <c r="J64" s="129"/>
      <c r="K64" s="129"/>
      <c r="L64" s="139">
        <f>ROUND(-L63*10%,2)</f>
        <v>-5.59</v>
      </c>
      <c r="M64" s="132"/>
      <c r="N64" s="140">
        <f t="shared" si="2"/>
        <v>0.16999999999999993</v>
      </c>
      <c r="O64" s="141">
        <f t="shared" si="8"/>
        <v>-2.9513888888888878E-2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51.861663266799994</v>
      </c>
      <c r="I65" s="147"/>
      <c r="J65" s="147"/>
      <c r="K65" s="147"/>
      <c r="L65" s="148">
        <f>L63+L64</f>
        <v>50.357348984650002</v>
      </c>
      <c r="M65" s="149"/>
      <c r="N65" s="150">
        <f t="shared" si="2"/>
        <v>-1.5043142821499913</v>
      </c>
      <c r="O65" s="151">
        <f t="shared" si="8"/>
        <v>-2.9006286867644684E-2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48.762622359999995</v>
      </c>
      <c r="I67" s="163"/>
      <c r="J67" s="164"/>
      <c r="K67" s="164"/>
      <c r="L67" s="162">
        <f>SUM(L58:L59,L50,L51:L54)</f>
        <v>47.280928305000003</v>
      </c>
      <c r="M67" s="165"/>
      <c r="N67" s="166">
        <f>L67-H67</f>
        <v>-1.4816940549999913</v>
      </c>
      <c r="O67" s="124">
        <f>IF((H67)=0,"",(N67/H67))</f>
        <v>-3.0385856692880114E-2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6.3391409067999991</v>
      </c>
      <c r="I68" s="170"/>
      <c r="J68" s="171">
        <v>0.13</v>
      </c>
      <c r="K68" s="172"/>
      <c r="L68" s="173">
        <f>L67*J68</f>
        <v>6.1465206796500009</v>
      </c>
      <c r="M68" s="174"/>
      <c r="N68" s="175">
        <f>L68-H68</f>
        <v>-0.19262022714999816</v>
      </c>
      <c r="O68" s="134">
        <f>IF((H68)=0,"",(N68/H68))</f>
        <v>-3.0385856692880003E-2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55.101763266799992</v>
      </c>
      <c r="I69" s="170"/>
      <c r="J69" s="170"/>
      <c r="K69" s="170"/>
      <c r="L69" s="173">
        <f>L67+L68</f>
        <v>53.427448984650006</v>
      </c>
      <c r="M69" s="174"/>
      <c r="N69" s="175">
        <f>L69-H69</f>
        <v>-1.6743142821499859</v>
      </c>
      <c r="O69" s="134">
        <f>IF((H69)=0,"",(N69/H69))</f>
        <v>-3.0385856692880037E-2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-5.51</v>
      </c>
      <c r="I70" s="170"/>
      <c r="J70" s="170"/>
      <c r="K70" s="170"/>
      <c r="L70" s="181">
        <f>ROUND(-L69*10%,2)</f>
        <v>-5.34</v>
      </c>
      <c r="M70" s="174"/>
      <c r="N70" s="182">
        <f>L70-H70</f>
        <v>0.16999999999999993</v>
      </c>
      <c r="O70" s="141">
        <f>IF((H70)=0,"",(N70/H70))</f>
        <v>-3.085299455535389E-2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49.591763266799994</v>
      </c>
      <c r="I71" s="188"/>
      <c r="J71" s="188"/>
      <c r="K71" s="188"/>
      <c r="L71" s="189">
        <f>SUM(L69:L70)</f>
        <v>48.08744898465001</v>
      </c>
      <c r="M71" s="190"/>
      <c r="N71" s="191">
        <f>L71-H71</f>
        <v>-1.5043142821499842</v>
      </c>
      <c r="O71" s="192">
        <f>IF((H71)=0,"",(N71/H71))</f>
        <v>-3.0333954331425671E-2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203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0.425781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1.855468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2000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29.44</v>
      </c>
      <c r="G23" s="42">
        <v>1</v>
      </c>
      <c r="H23" s="43">
        <f>G23*F23</f>
        <v>29.44</v>
      </c>
      <c r="I23" s="44"/>
      <c r="J23" s="45">
        <v>32.159999999999997</v>
      </c>
      <c r="K23" s="46">
        <v>1</v>
      </c>
      <c r="L23" s="43">
        <f>K23*J23</f>
        <v>32.159999999999997</v>
      </c>
      <c r="M23" s="44"/>
      <c r="N23" s="47">
        <f>L23-H23</f>
        <v>2.7199999999999953</v>
      </c>
      <c r="O23" s="48">
        <f>IF((H23)=0,"",(N23/H23))</f>
        <v>9.2391304347825928E-2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1.93</v>
      </c>
      <c r="G25" s="42">
        <v>1</v>
      </c>
      <c r="H25" s="43">
        <f t="shared" si="0"/>
        <v>1.93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-1.93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>
        <v>4.72</v>
      </c>
      <c r="G26" s="42">
        <v>1</v>
      </c>
      <c r="H26" s="43">
        <f t="shared" si="0"/>
        <v>4.72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-4.72</v>
      </c>
      <c r="O26" s="48">
        <f t="shared" si="3"/>
        <v>-1</v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>
        <v>1.53</v>
      </c>
      <c r="K27" s="46">
        <v>1</v>
      </c>
      <c r="L27" s="43">
        <f t="shared" si="1"/>
        <v>1.53</v>
      </c>
      <c r="M27" s="44"/>
      <c r="N27" s="47">
        <f t="shared" si="2"/>
        <v>1.53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31</v>
      </c>
      <c r="E29" s="40"/>
      <c r="F29" s="41">
        <v>1.49E-2</v>
      </c>
      <c r="G29" s="42">
        <f t="shared" ref="G29:G38" si="4">$F$18</f>
        <v>2000</v>
      </c>
      <c r="H29" s="43">
        <f t="shared" si="0"/>
        <v>29.8</v>
      </c>
      <c r="I29" s="44"/>
      <c r="J29" s="45">
        <v>1.6299999999999999E-2</v>
      </c>
      <c r="K29" s="42">
        <f>$F$18</f>
        <v>2000</v>
      </c>
      <c r="L29" s="43">
        <f t="shared" si="1"/>
        <v>32.599999999999994</v>
      </c>
      <c r="M29" s="44"/>
      <c r="N29" s="47">
        <f t="shared" si="2"/>
        <v>2.7999999999999936</v>
      </c>
      <c r="O29" s="48">
        <f t="shared" si="3"/>
        <v>9.3959731543623942E-2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2000</v>
      </c>
      <c r="H30" s="43">
        <f t="shared" si="0"/>
        <v>0</v>
      </c>
      <c r="I30" s="44"/>
      <c r="J30" s="45"/>
      <c r="K30" s="42">
        <f t="shared" ref="K30:K38" si="5">$F$18</f>
        <v>2000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2000</v>
      </c>
      <c r="H31" s="43">
        <f t="shared" si="0"/>
        <v>0</v>
      </c>
      <c r="I31" s="44"/>
      <c r="J31" s="45"/>
      <c r="K31" s="42">
        <f t="shared" si="5"/>
        <v>2000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31</v>
      </c>
      <c r="E32" s="40"/>
      <c r="F32" s="41">
        <v>1E-3</v>
      </c>
      <c r="G32" s="42">
        <f t="shared" si="4"/>
        <v>2000</v>
      </c>
      <c r="H32" s="43">
        <f>G32*F32</f>
        <v>2</v>
      </c>
      <c r="I32" s="44"/>
      <c r="J32" s="45">
        <v>5.0000000000000001E-4</v>
      </c>
      <c r="K32" s="42">
        <f t="shared" si="5"/>
        <v>2000</v>
      </c>
      <c r="L32" s="43">
        <f>K32*J32</f>
        <v>1</v>
      </c>
      <c r="M32" s="44"/>
      <c r="N32" s="47">
        <f>L32-H32</f>
        <v>-1</v>
      </c>
      <c r="O32" s="48">
        <f>IF((H32)=0,"",(N32/H32))</f>
        <v>-0.5</v>
      </c>
    </row>
    <row r="33" spans="2:15">
      <c r="B33" s="52" t="s">
        <v>35</v>
      </c>
      <c r="C33" s="38"/>
      <c r="D33" s="39" t="s">
        <v>31</v>
      </c>
      <c r="E33" s="40"/>
      <c r="F33" s="41">
        <v>-2.9999999999999997E-4</v>
      </c>
      <c r="G33" s="42">
        <f t="shared" si="4"/>
        <v>2000</v>
      </c>
      <c r="H33" s="43">
        <f>G33*F33</f>
        <v>-0.6</v>
      </c>
      <c r="I33" s="44"/>
      <c r="J33" s="45"/>
      <c r="K33" s="42">
        <f t="shared" si="5"/>
        <v>2000</v>
      </c>
      <c r="L33" s="43">
        <f>K33*J33</f>
        <v>0</v>
      </c>
      <c r="M33" s="44"/>
      <c r="N33" s="47">
        <f>L33-H33</f>
        <v>0.6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2000</v>
      </c>
      <c r="H34" s="43">
        <f>G34*F34</f>
        <v>0</v>
      </c>
      <c r="I34" s="44"/>
      <c r="J34" s="45"/>
      <c r="K34" s="42">
        <f t="shared" si="5"/>
        <v>2000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2000</v>
      </c>
      <c r="H35" s="43">
        <f t="shared" si="0"/>
        <v>0</v>
      </c>
      <c r="I35" s="44"/>
      <c r="J35" s="45"/>
      <c r="K35" s="42">
        <f t="shared" si="5"/>
        <v>2000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2000</v>
      </c>
      <c r="H36" s="43">
        <f t="shared" si="0"/>
        <v>0</v>
      </c>
      <c r="I36" s="44"/>
      <c r="J36" s="45"/>
      <c r="K36" s="42">
        <f t="shared" si="5"/>
        <v>2000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2000</v>
      </c>
      <c r="H37" s="43">
        <f t="shared" si="0"/>
        <v>0</v>
      </c>
      <c r="I37" s="44"/>
      <c r="J37" s="45"/>
      <c r="K37" s="42">
        <f t="shared" si="5"/>
        <v>2000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2000</v>
      </c>
      <c r="H38" s="43">
        <f t="shared" si="0"/>
        <v>0</v>
      </c>
      <c r="I38" s="44"/>
      <c r="J38" s="45"/>
      <c r="K38" s="42">
        <f t="shared" si="5"/>
        <v>2000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67.290000000000006</v>
      </c>
      <c r="I39" s="60"/>
      <c r="J39" s="61"/>
      <c r="K39" s="62"/>
      <c r="L39" s="59">
        <f>SUM(L23:L38)</f>
        <v>67.289999999999992</v>
      </c>
      <c r="M39" s="60"/>
      <c r="N39" s="63">
        <f t="shared" si="2"/>
        <v>0</v>
      </c>
      <c r="O39" s="64">
        <f t="shared" si="3"/>
        <v>0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2000</v>
      </c>
      <c r="H40" s="43">
        <f t="shared" ref="H40:H46" si="6">G40*F40</f>
        <v>0</v>
      </c>
      <c r="I40" s="44"/>
      <c r="J40" s="45">
        <v>-1.8E-3</v>
      </c>
      <c r="K40" s="42">
        <f>$F$18</f>
        <v>2000</v>
      </c>
      <c r="L40" s="43">
        <f t="shared" ref="L40:L46" si="7">K40*J40</f>
        <v>-3.6</v>
      </c>
      <c r="M40" s="44"/>
      <c r="N40" s="47">
        <f t="shared" si="2"/>
        <v>-3.6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2000</v>
      </c>
      <c r="H41" s="43">
        <f t="shared" si="6"/>
        <v>0</v>
      </c>
      <c r="I41" s="67"/>
      <c r="J41" s="45">
        <v>-1.4E-3</v>
      </c>
      <c r="K41" s="42">
        <f>$F$18</f>
        <v>2000</v>
      </c>
      <c r="L41" s="43">
        <f t="shared" si="7"/>
        <v>-2.8</v>
      </c>
      <c r="M41" s="68"/>
      <c r="N41" s="47">
        <f t="shared" si="2"/>
        <v>-2.8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31</v>
      </c>
      <c r="E42" s="40"/>
      <c r="F42" s="41"/>
      <c r="G42" s="42">
        <f>$F$18</f>
        <v>2000</v>
      </c>
      <c r="H42" s="43">
        <f t="shared" si="6"/>
        <v>0</v>
      </c>
      <c r="I42" s="67"/>
      <c r="J42" s="45"/>
      <c r="K42" s="42">
        <f>$F$18</f>
        <v>2000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2000</v>
      </c>
      <c r="H43" s="43">
        <f t="shared" si="6"/>
        <v>0</v>
      </c>
      <c r="I43" s="67"/>
      <c r="J43" s="45"/>
      <c r="K43" s="42">
        <f>$F$18</f>
        <v>2000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31</v>
      </c>
      <c r="E44" s="40"/>
      <c r="F44" s="41">
        <v>2.0000000000000001E-4</v>
      </c>
      <c r="G44" s="42">
        <f>$F$18</f>
        <v>2000</v>
      </c>
      <c r="H44" s="43">
        <f t="shared" si="6"/>
        <v>0.4</v>
      </c>
      <c r="I44" s="44"/>
      <c r="J44" s="45">
        <v>2.9999999999999997E-4</v>
      </c>
      <c r="K44" s="42">
        <f>$F$18</f>
        <v>2000</v>
      </c>
      <c r="L44" s="43">
        <f t="shared" si="7"/>
        <v>0.6</v>
      </c>
      <c r="M44" s="44"/>
      <c r="N44" s="47">
        <f t="shared" si="2"/>
        <v>0.19999999999999996</v>
      </c>
      <c r="O44" s="48">
        <f t="shared" si="3"/>
        <v>0.49999999999999989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202">
        <f>$F$18*(1+$F$74)-$F$18</f>
        <v>20.614000000000033</v>
      </c>
      <c r="H45" s="43">
        <f t="shared" si="6"/>
        <v>1.7299268800000027</v>
      </c>
      <c r="I45" s="44"/>
      <c r="J45" s="72">
        <f>0.64*$F$55+0.18*$F$56+0.18*$F$57</f>
        <v>8.3919999999999995E-2</v>
      </c>
      <c r="K45" s="202">
        <f>$F$18*(1+$J$74)-$F$18</f>
        <v>20.582000000000107</v>
      </c>
      <c r="L45" s="43">
        <f t="shared" si="7"/>
        <v>1.7272414400000089</v>
      </c>
      <c r="M45" s="44"/>
      <c r="N45" s="47">
        <f t="shared" si="2"/>
        <v>-2.6854399999938217E-3</v>
      </c>
      <c r="O45" s="48">
        <f t="shared" si="3"/>
        <v>-1.5523430678144139E-3</v>
      </c>
    </row>
    <row r="46" spans="2:15">
      <c r="B46" s="69" t="s">
        <v>42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70.209926880000012</v>
      </c>
      <c r="I47" s="60"/>
      <c r="J47" s="76"/>
      <c r="K47" s="78"/>
      <c r="L47" s="77">
        <f>SUM(L40:L46)+L39</f>
        <v>64.007241440000001</v>
      </c>
      <c r="M47" s="60"/>
      <c r="N47" s="63">
        <f t="shared" si="2"/>
        <v>-6.2026854400000104</v>
      </c>
      <c r="O47" s="64">
        <f t="shared" ref="O47:O65" si="8">IF((H47)=0,"",(N47/H47))</f>
        <v>-8.8344849733306113E-2</v>
      </c>
    </row>
    <row r="48" spans="2:15">
      <c r="B48" s="44" t="s">
        <v>44</v>
      </c>
      <c r="C48" s="44"/>
      <c r="D48" s="79" t="s">
        <v>31</v>
      </c>
      <c r="E48" s="80"/>
      <c r="F48" s="45">
        <v>6.1999999999999998E-3</v>
      </c>
      <c r="G48" s="81">
        <f>F18*(1+F74)</f>
        <v>2020.614</v>
      </c>
      <c r="H48" s="43">
        <f>G48*F48</f>
        <v>12.5278068</v>
      </c>
      <c r="I48" s="44"/>
      <c r="J48" s="45">
        <v>6.3E-3</v>
      </c>
      <c r="K48" s="82">
        <f>F18*(1+J74)</f>
        <v>2020.5820000000001</v>
      </c>
      <c r="L48" s="43">
        <f>K48*J48</f>
        <v>12.729666600000002</v>
      </c>
      <c r="M48" s="44"/>
      <c r="N48" s="47">
        <f t="shared" si="2"/>
        <v>0.20185980000000114</v>
      </c>
      <c r="O48" s="48">
        <f t="shared" si="8"/>
        <v>1.6112940055876431E-2</v>
      </c>
    </row>
    <row r="49" spans="2:19" ht="30">
      <c r="B49" s="83" t="s">
        <v>45</v>
      </c>
      <c r="C49" s="44"/>
      <c r="D49" s="79" t="s">
        <v>31</v>
      </c>
      <c r="E49" s="80"/>
      <c r="F49" s="45">
        <v>4.7000000000000002E-3</v>
      </c>
      <c r="G49" s="81">
        <f>G48</f>
        <v>2020.614</v>
      </c>
      <c r="H49" s="43">
        <f>G49*F49</f>
        <v>9.4968858000000012</v>
      </c>
      <c r="I49" s="44"/>
      <c r="J49" s="45">
        <v>4.1000000000000003E-3</v>
      </c>
      <c r="K49" s="82">
        <f>K48</f>
        <v>2020.5820000000001</v>
      </c>
      <c r="L49" s="43">
        <f>K49*J49</f>
        <v>8.2843862000000019</v>
      </c>
      <c r="M49" s="44"/>
      <c r="N49" s="47">
        <f t="shared" si="2"/>
        <v>-1.2124995999999992</v>
      </c>
      <c r="O49" s="48">
        <f t="shared" si="8"/>
        <v>-0.12767338952312127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92.234619480000021</v>
      </c>
      <c r="I50" s="85"/>
      <c r="J50" s="86"/>
      <c r="K50" s="87"/>
      <c r="L50" s="77">
        <f>SUM(L47:L49)</f>
        <v>85.021294240000003</v>
      </c>
      <c r="M50" s="85"/>
      <c r="N50" s="63">
        <f t="shared" si="2"/>
        <v>-7.2133252400000174</v>
      </c>
      <c r="O50" s="64">
        <f t="shared" si="8"/>
        <v>-7.8206266591300255E-2</v>
      </c>
    </row>
    <row r="51" spans="2:19" ht="30">
      <c r="B51" s="88" t="s">
        <v>47</v>
      </c>
      <c r="C51" s="38"/>
      <c r="D51" s="39" t="s">
        <v>31</v>
      </c>
      <c r="E51" s="40"/>
      <c r="F51" s="89">
        <v>4.4000000000000003E-3</v>
      </c>
      <c r="G51" s="81">
        <f>G49</f>
        <v>2020.614</v>
      </c>
      <c r="H51" s="90">
        <f t="shared" ref="H51:H57" si="9">G51*F51</f>
        <v>8.8907015999999999</v>
      </c>
      <c r="I51" s="44"/>
      <c r="J51" s="91">
        <v>4.4000000000000003E-3</v>
      </c>
      <c r="K51" s="82">
        <f>K49</f>
        <v>2020.5820000000001</v>
      </c>
      <c r="L51" s="90">
        <f t="shared" ref="L51:L57" si="10">K51*J51</f>
        <v>8.8905608000000012</v>
      </c>
      <c r="M51" s="44"/>
      <c r="N51" s="47">
        <f t="shared" si="2"/>
        <v>-1.4079999999871973E-4</v>
      </c>
      <c r="O51" s="92">
        <f t="shared" si="8"/>
        <v>-1.5836770407266816E-5</v>
      </c>
    </row>
    <row r="52" spans="2:19" ht="30">
      <c r="B52" s="88" t="s">
        <v>48</v>
      </c>
      <c r="C52" s="38"/>
      <c r="D52" s="39" t="s">
        <v>31</v>
      </c>
      <c r="E52" s="40"/>
      <c r="F52" s="89">
        <v>1.2999999999999999E-3</v>
      </c>
      <c r="G52" s="81">
        <f>G49</f>
        <v>2020.614</v>
      </c>
      <c r="H52" s="90">
        <f t="shared" si="9"/>
        <v>2.6267982000000001</v>
      </c>
      <c r="I52" s="44"/>
      <c r="J52" s="91">
        <v>1.2999999999999999E-3</v>
      </c>
      <c r="K52" s="82">
        <f>K49</f>
        <v>2020.5820000000001</v>
      </c>
      <c r="L52" s="90">
        <f t="shared" si="10"/>
        <v>2.6267566000000002</v>
      </c>
      <c r="M52" s="44"/>
      <c r="N52" s="47">
        <f t="shared" si="2"/>
        <v>-4.1599999999863968E-5</v>
      </c>
      <c r="O52" s="92">
        <f t="shared" si="8"/>
        <v>-1.5836770407359031E-5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f>F18</f>
        <v>2000</v>
      </c>
      <c r="H54" s="90">
        <f t="shared" si="9"/>
        <v>14</v>
      </c>
      <c r="I54" s="44"/>
      <c r="J54" s="91">
        <v>7.0000000000000001E-3</v>
      </c>
      <c r="K54" s="94">
        <f>F18</f>
        <v>2000</v>
      </c>
      <c r="L54" s="90">
        <f t="shared" si="10"/>
        <v>14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31</v>
      </c>
      <c r="E55" s="40"/>
      <c r="F55" s="95">
        <v>6.7000000000000004E-2</v>
      </c>
      <c r="G55" s="96">
        <f>0.64*$F$18</f>
        <v>1280</v>
      </c>
      <c r="H55" s="90">
        <f t="shared" si="9"/>
        <v>85.76</v>
      </c>
      <c r="I55" s="44"/>
      <c r="J55" s="89">
        <v>6.7000000000000004E-2</v>
      </c>
      <c r="K55" s="96">
        <f>G55</f>
        <v>1280</v>
      </c>
      <c r="L55" s="90">
        <f t="shared" si="10"/>
        <v>85.76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31</v>
      </c>
      <c r="E56" s="40"/>
      <c r="F56" s="95">
        <v>0.104</v>
      </c>
      <c r="G56" s="96">
        <f>0.18*$F$18</f>
        <v>360</v>
      </c>
      <c r="H56" s="90">
        <f t="shared" si="9"/>
        <v>37.44</v>
      </c>
      <c r="I56" s="44"/>
      <c r="J56" s="89">
        <v>0.104</v>
      </c>
      <c r="K56" s="96">
        <f>G56</f>
        <v>360</v>
      </c>
      <c r="L56" s="90">
        <f t="shared" si="10"/>
        <v>37.44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31</v>
      </c>
      <c r="E57" s="40"/>
      <c r="F57" s="95">
        <v>0.124</v>
      </c>
      <c r="G57" s="96">
        <f>0.18*$F$18</f>
        <v>360</v>
      </c>
      <c r="H57" s="90">
        <f t="shared" si="9"/>
        <v>44.64</v>
      </c>
      <c r="I57" s="44"/>
      <c r="J57" s="89">
        <v>0.124</v>
      </c>
      <c r="K57" s="96">
        <f>G57</f>
        <v>360</v>
      </c>
      <c r="L57" s="90">
        <f t="shared" si="10"/>
        <v>44.64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31</v>
      </c>
      <c r="E58" s="101"/>
      <c r="F58" s="95">
        <v>7.4999999999999997E-2</v>
      </c>
      <c r="G58" s="102">
        <f>IF(AND($T$1=1, F18&gt;=600), 600, IF(AND($T$1=1, AND(F18&lt;600, F18&gt;=0)), F18, IF(AND($T$1=2, F18&gt;=1000), 1000, IF(AND($T$1=2, AND(F18&lt;1000, F18&gt;=0)), F18))))</f>
        <v>600</v>
      </c>
      <c r="H58" s="90">
        <f>G58*F58</f>
        <v>45</v>
      </c>
      <c r="I58" s="103"/>
      <c r="J58" s="89">
        <v>7.4999999999999997E-2</v>
      </c>
      <c r="K58" s="102">
        <f>G58</f>
        <v>600</v>
      </c>
      <c r="L58" s="90">
        <f>K58*J58</f>
        <v>45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31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1400</v>
      </c>
      <c r="H59" s="90">
        <f>G59*F59</f>
        <v>123.19999999999999</v>
      </c>
      <c r="I59" s="103"/>
      <c r="J59" s="89">
        <v>8.7999999999999995E-2</v>
      </c>
      <c r="K59" s="102">
        <f>G59</f>
        <v>1400</v>
      </c>
      <c r="L59" s="90">
        <f>K59*J59</f>
        <v>123.19999999999999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285.84211928000002</v>
      </c>
      <c r="I61" s="120"/>
      <c r="J61" s="121"/>
      <c r="K61" s="121"/>
      <c r="L61" s="119">
        <f>SUM(L51:L57,L50)</f>
        <v>278.62861164000003</v>
      </c>
      <c r="M61" s="122"/>
      <c r="N61" s="123">
        <f>L61-H61</f>
        <v>-7.2135076399999889</v>
      </c>
      <c r="O61" s="124">
        <f>IF((H61)=0,"",(N61/H61))</f>
        <v>-2.5235985718864311E-2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37.159475506400007</v>
      </c>
      <c r="I62" s="129"/>
      <c r="J62" s="130">
        <v>0.13</v>
      </c>
      <c r="K62" s="129"/>
      <c r="L62" s="131">
        <f>L61*J62</f>
        <v>36.221719513200007</v>
      </c>
      <c r="M62" s="132"/>
      <c r="N62" s="133">
        <f t="shared" si="2"/>
        <v>-0.93775599319999969</v>
      </c>
      <c r="O62" s="134">
        <f t="shared" si="8"/>
        <v>-2.5235985718864339E-2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323.00159478640001</v>
      </c>
      <c r="I63" s="129"/>
      <c r="J63" s="129"/>
      <c r="K63" s="129"/>
      <c r="L63" s="131">
        <f>L61+L62</f>
        <v>314.85033115320005</v>
      </c>
      <c r="M63" s="132"/>
      <c r="N63" s="133">
        <f t="shared" si="2"/>
        <v>-8.1512636331999602</v>
      </c>
      <c r="O63" s="134">
        <f t="shared" si="8"/>
        <v>-2.5235985718864228E-2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-32.299999999999997</v>
      </c>
      <c r="I64" s="129"/>
      <c r="J64" s="129"/>
      <c r="K64" s="129"/>
      <c r="L64" s="139">
        <f>ROUND(-L63*10%,2)</f>
        <v>-31.49</v>
      </c>
      <c r="M64" s="132"/>
      <c r="N64" s="140">
        <f t="shared" si="2"/>
        <v>0.80999999999999872</v>
      </c>
      <c r="O64" s="141">
        <f t="shared" si="8"/>
        <v>-2.5077399380804916E-2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290.70159478639999</v>
      </c>
      <c r="I65" s="147"/>
      <c r="J65" s="147"/>
      <c r="K65" s="147"/>
      <c r="L65" s="148">
        <f>L63+L64</f>
        <v>283.36033115320004</v>
      </c>
      <c r="M65" s="149"/>
      <c r="N65" s="150">
        <f t="shared" si="2"/>
        <v>-7.3412636331999579</v>
      </c>
      <c r="O65" s="151">
        <f t="shared" si="8"/>
        <v>-2.5253606326425999E-2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286.20211928000003</v>
      </c>
      <c r="I67" s="163"/>
      <c r="J67" s="164"/>
      <c r="K67" s="164"/>
      <c r="L67" s="162">
        <f>SUM(L58:L59,L50,L51:L54)</f>
        <v>278.98861163999999</v>
      </c>
      <c r="M67" s="165"/>
      <c r="N67" s="166">
        <f>L67-H67</f>
        <v>-7.2135076400000457</v>
      </c>
      <c r="O67" s="124">
        <f>IF((H67)=0,"",(N67/H67))</f>
        <v>-2.5204242575656323E-2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37.206275506400004</v>
      </c>
      <c r="I68" s="170"/>
      <c r="J68" s="171">
        <v>0.13</v>
      </c>
      <c r="K68" s="172"/>
      <c r="L68" s="173">
        <f>L67*J68</f>
        <v>36.268519513199998</v>
      </c>
      <c r="M68" s="174"/>
      <c r="N68" s="175">
        <f>L68-H68</f>
        <v>-0.9377559932000068</v>
      </c>
      <c r="O68" s="134">
        <f>IF((H68)=0,"",(N68/H68))</f>
        <v>-2.5204242575656344E-2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323.40839478640004</v>
      </c>
      <c r="I69" s="170"/>
      <c r="J69" s="170"/>
      <c r="K69" s="170"/>
      <c r="L69" s="173">
        <f>L67+L68</f>
        <v>315.25713115319996</v>
      </c>
      <c r="M69" s="174"/>
      <c r="N69" s="175">
        <f>L69-H69</f>
        <v>-8.1512636332000739</v>
      </c>
      <c r="O69" s="134">
        <f>IF((H69)=0,"",(N69/H69))</f>
        <v>-2.5204242575656389E-2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-32.340000000000003</v>
      </c>
      <c r="I70" s="170"/>
      <c r="J70" s="170"/>
      <c r="K70" s="170"/>
      <c r="L70" s="181">
        <f>ROUND(-L69*10%,2)</f>
        <v>-31.53</v>
      </c>
      <c r="M70" s="174"/>
      <c r="N70" s="182">
        <f>L70-H70</f>
        <v>0.81000000000000227</v>
      </c>
      <c r="O70" s="141">
        <f>IF((H70)=0,"",(N70/H70))</f>
        <v>-2.5046382189239401E-2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291.06839478640006</v>
      </c>
      <c r="I71" s="188"/>
      <c r="J71" s="188"/>
      <c r="K71" s="188"/>
      <c r="L71" s="189">
        <f>SUM(L69:L70)</f>
        <v>283.72713115319993</v>
      </c>
      <c r="M71" s="190"/>
      <c r="N71" s="191">
        <f>L71-H71</f>
        <v>-7.3412636332001284</v>
      </c>
      <c r="O71" s="192">
        <f>IF((H71)=0,"",(N71/H71))</f>
        <v>-2.5221782112714433E-2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90"/>
  <sheetViews>
    <sheetView topLeftCell="A42" workbookViewId="0">
      <selection activeCell="A42" sqref="A42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0.425781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1.855468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10000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29.44</v>
      </c>
      <c r="G23" s="42">
        <v>1</v>
      </c>
      <c r="H23" s="43">
        <f>G23*F23</f>
        <v>29.44</v>
      </c>
      <c r="I23" s="44"/>
      <c r="J23" s="45">
        <v>32.159999999999997</v>
      </c>
      <c r="K23" s="46">
        <v>1</v>
      </c>
      <c r="L23" s="43">
        <f>K23*J23</f>
        <v>32.159999999999997</v>
      </c>
      <c r="M23" s="44"/>
      <c r="N23" s="47">
        <f>L23-H23</f>
        <v>2.7199999999999953</v>
      </c>
      <c r="O23" s="48">
        <f>IF((H23)=0,"",(N23/H23))</f>
        <v>9.2391304347825928E-2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1.93</v>
      </c>
      <c r="G25" s="42">
        <v>1</v>
      </c>
      <c r="H25" s="43">
        <f t="shared" si="0"/>
        <v>1.93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-1.93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>
        <v>4.72</v>
      </c>
      <c r="G26" s="42">
        <v>1</v>
      </c>
      <c r="H26" s="43">
        <f t="shared" si="0"/>
        <v>4.72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-4.72</v>
      </c>
      <c r="O26" s="48">
        <f t="shared" si="3"/>
        <v>-1</v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>
        <v>1.53</v>
      </c>
      <c r="K27" s="46">
        <v>1</v>
      </c>
      <c r="L27" s="43">
        <f t="shared" si="1"/>
        <v>1.53</v>
      </c>
      <c r="M27" s="44"/>
      <c r="N27" s="47">
        <f t="shared" si="2"/>
        <v>1.53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31</v>
      </c>
      <c r="E29" s="40"/>
      <c r="F29" s="41">
        <v>1.49E-2</v>
      </c>
      <c r="G29" s="42">
        <f t="shared" ref="G29:G38" si="4">$F$18</f>
        <v>10000</v>
      </c>
      <c r="H29" s="43">
        <f t="shared" si="0"/>
        <v>149</v>
      </c>
      <c r="I29" s="44"/>
      <c r="J29" s="45">
        <v>1.6299999999999999E-2</v>
      </c>
      <c r="K29" s="42">
        <f>$F$18</f>
        <v>10000</v>
      </c>
      <c r="L29" s="43">
        <f t="shared" si="1"/>
        <v>162.99999999999997</v>
      </c>
      <c r="M29" s="44"/>
      <c r="N29" s="47">
        <f t="shared" si="2"/>
        <v>13.999999999999972</v>
      </c>
      <c r="O29" s="48">
        <f t="shared" si="3"/>
        <v>9.395973154362397E-2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10000</v>
      </c>
      <c r="H30" s="43">
        <f t="shared" si="0"/>
        <v>0</v>
      </c>
      <c r="I30" s="44"/>
      <c r="J30" s="45"/>
      <c r="K30" s="42">
        <f t="shared" ref="K30:K38" si="5">$F$18</f>
        <v>10000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10000</v>
      </c>
      <c r="H31" s="43">
        <f t="shared" si="0"/>
        <v>0</v>
      </c>
      <c r="I31" s="44"/>
      <c r="J31" s="45"/>
      <c r="K31" s="42">
        <f t="shared" si="5"/>
        <v>10000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31</v>
      </c>
      <c r="E32" s="40"/>
      <c r="F32" s="41">
        <v>1E-3</v>
      </c>
      <c r="G32" s="42">
        <f t="shared" si="4"/>
        <v>10000</v>
      </c>
      <c r="H32" s="43">
        <f>G32*F32</f>
        <v>10</v>
      </c>
      <c r="I32" s="44"/>
      <c r="J32" s="45">
        <v>5.0000000000000001E-4</v>
      </c>
      <c r="K32" s="42">
        <f t="shared" si="5"/>
        <v>10000</v>
      </c>
      <c r="L32" s="43">
        <f>K32*J32</f>
        <v>5</v>
      </c>
      <c r="M32" s="44"/>
      <c r="N32" s="47">
        <f>L32-H32</f>
        <v>-5</v>
      </c>
      <c r="O32" s="48">
        <f>IF((H32)=0,"",(N32/H32))</f>
        <v>-0.5</v>
      </c>
    </row>
    <row r="33" spans="2:15">
      <c r="B33" s="52" t="s">
        <v>35</v>
      </c>
      <c r="C33" s="38"/>
      <c r="D33" s="39" t="s">
        <v>31</v>
      </c>
      <c r="E33" s="40"/>
      <c r="F33" s="41">
        <v>-2.9999999999999997E-4</v>
      </c>
      <c r="G33" s="42">
        <f t="shared" si="4"/>
        <v>10000</v>
      </c>
      <c r="H33" s="43">
        <f>G33*F33</f>
        <v>-2.9999999999999996</v>
      </c>
      <c r="I33" s="44"/>
      <c r="J33" s="45"/>
      <c r="K33" s="42">
        <f t="shared" si="5"/>
        <v>10000</v>
      </c>
      <c r="L33" s="43">
        <f>K33*J33</f>
        <v>0</v>
      </c>
      <c r="M33" s="44"/>
      <c r="N33" s="47">
        <f>L33-H33</f>
        <v>2.9999999999999996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10000</v>
      </c>
      <c r="H34" s="43">
        <f>G34*F34</f>
        <v>0</v>
      </c>
      <c r="I34" s="44"/>
      <c r="J34" s="45"/>
      <c r="K34" s="42">
        <f t="shared" si="5"/>
        <v>10000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10000</v>
      </c>
      <c r="H35" s="43">
        <f t="shared" si="0"/>
        <v>0</v>
      </c>
      <c r="I35" s="44"/>
      <c r="J35" s="45"/>
      <c r="K35" s="42">
        <f t="shared" si="5"/>
        <v>10000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10000</v>
      </c>
      <c r="H36" s="43">
        <f t="shared" si="0"/>
        <v>0</v>
      </c>
      <c r="I36" s="44"/>
      <c r="J36" s="45"/>
      <c r="K36" s="42">
        <f t="shared" si="5"/>
        <v>10000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10000</v>
      </c>
      <c r="H37" s="43">
        <f t="shared" si="0"/>
        <v>0</v>
      </c>
      <c r="I37" s="44"/>
      <c r="J37" s="45"/>
      <c r="K37" s="42">
        <f t="shared" si="5"/>
        <v>10000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10000</v>
      </c>
      <c r="H38" s="43">
        <f t="shared" si="0"/>
        <v>0</v>
      </c>
      <c r="I38" s="44"/>
      <c r="J38" s="45"/>
      <c r="K38" s="42">
        <f t="shared" si="5"/>
        <v>10000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192.09</v>
      </c>
      <c r="I39" s="60"/>
      <c r="J39" s="61"/>
      <c r="K39" s="62"/>
      <c r="L39" s="59">
        <f>SUM(L23:L38)</f>
        <v>201.68999999999997</v>
      </c>
      <c r="M39" s="60"/>
      <c r="N39" s="63">
        <f t="shared" si="2"/>
        <v>9.5999999999999659</v>
      </c>
      <c r="O39" s="64">
        <f t="shared" si="3"/>
        <v>4.9976573481180515E-2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10000</v>
      </c>
      <c r="H40" s="43">
        <f t="shared" ref="H40:H46" si="6">G40*F40</f>
        <v>0</v>
      </c>
      <c r="I40" s="44"/>
      <c r="J40" s="45">
        <v>-1.8E-3</v>
      </c>
      <c r="K40" s="42">
        <f>$F$18</f>
        <v>10000</v>
      </c>
      <c r="L40" s="43">
        <f t="shared" ref="L40:L46" si="7">K40*J40</f>
        <v>-18</v>
      </c>
      <c r="M40" s="44"/>
      <c r="N40" s="47">
        <f t="shared" si="2"/>
        <v>-18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10000</v>
      </c>
      <c r="H41" s="43">
        <f t="shared" si="6"/>
        <v>0</v>
      </c>
      <c r="I41" s="67"/>
      <c r="J41" s="45">
        <v>-1.4E-3</v>
      </c>
      <c r="K41" s="42">
        <f>$F$18</f>
        <v>10000</v>
      </c>
      <c r="L41" s="43">
        <f t="shared" si="7"/>
        <v>-14</v>
      </c>
      <c r="M41" s="68"/>
      <c r="N41" s="47">
        <f t="shared" si="2"/>
        <v>-14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31</v>
      </c>
      <c r="E42" s="40"/>
      <c r="F42" s="41"/>
      <c r="G42" s="42">
        <f>$F$18</f>
        <v>10000</v>
      </c>
      <c r="H42" s="43">
        <f t="shared" si="6"/>
        <v>0</v>
      </c>
      <c r="I42" s="67"/>
      <c r="J42" s="45"/>
      <c r="K42" s="42">
        <f>$F$18</f>
        <v>10000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10000</v>
      </c>
      <c r="H43" s="43">
        <f t="shared" si="6"/>
        <v>0</v>
      </c>
      <c r="I43" s="67"/>
      <c r="J43" s="45"/>
      <c r="K43" s="42">
        <f>$F$18</f>
        <v>10000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31</v>
      </c>
      <c r="E44" s="40"/>
      <c r="F44" s="41">
        <v>2.0000000000000001E-4</v>
      </c>
      <c r="G44" s="42">
        <f>$F$18</f>
        <v>10000</v>
      </c>
      <c r="H44" s="43">
        <f t="shared" si="6"/>
        <v>2</v>
      </c>
      <c r="I44" s="44"/>
      <c r="J44" s="45">
        <v>2.9999999999999997E-4</v>
      </c>
      <c r="K44" s="42">
        <f>$F$18</f>
        <v>10000</v>
      </c>
      <c r="L44" s="43">
        <f t="shared" si="7"/>
        <v>2.9999999999999996</v>
      </c>
      <c r="M44" s="44"/>
      <c r="N44" s="47">
        <f t="shared" si="2"/>
        <v>0.99999999999999956</v>
      </c>
      <c r="O44" s="48">
        <f t="shared" si="3"/>
        <v>0.49999999999999978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202">
        <f>$F$18*(1+$F$74)-$F$18</f>
        <v>103.07000000000153</v>
      </c>
      <c r="H45" s="43">
        <f t="shared" si="6"/>
        <v>8.649634400000128</v>
      </c>
      <c r="I45" s="44"/>
      <c r="J45" s="72">
        <f>0.64*$F$55+0.18*$F$56+0.18*$F$57</f>
        <v>8.3919999999999995E-2</v>
      </c>
      <c r="K45" s="202">
        <f>$F$18*(1+$J$74)-$F$18</f>
        <v>102.90999999999985</v>
      </c>
      <c r="L45" s="43">
        <f t="shared" si="7"/>
        <v>8.636207199999987</v>
      </c>
      <c r="M45" s="44"/>
      <c r="N45" s="47">
        <f t="shared" si="2"/>
        <v>-1.3427200000140971E-2</v>
      </c>
      <c r="O45" s="48">
        <f t="shared" si="3"/>
        <v>-1.5523430678342628E-3</v>
      </c>
    </row>
    <row r="46" spans="2:15">
      <c r="B46" s="69" t="s">
        <v>42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203.52963440000013</v>
      </c>
      <c r="I47" s="60"/>
      <c r="J47" s="76"/>
      <c r="K47" s="78"/>
      <c r="L47" s="77">
        <f>SUM(L40:L46)+L39</f>
        <v>182.11620719999996</v>
      </c>
      <c r="M47" s="60"/>
      <c r="N47" s="63">
        <f t="shared" si="2"/>
        <v>-21.413427200000172</v>
      </c>
      <c r="O47" s="64">
        <f t="shared" ref="O47:O65" si="8">IF((H47)=0,"",(N47/H47))</f>
        <v>-0.10521036537566815</v>
      </c>
    </row>
    <row r="48" spans="2:15">
      <c r="B48" s="44" t="s">
        <v>44</v>
      </c>
      <c r="C48" s="44"/>
      <c r="D48" s="79" t="s">
        <v>31</v>
      </c>
      <c r="E48" s="80"/>
      <c r="F48" s="45">
        <v>6.1999999999999998E-3</v>
      </c>
      <c r="G48" s="81">
        <f>F18*(1+F74)</f>
        <v>10103.070000000002</v>
      </c>
      <c r="H48" s="43">
        <f>G48*F48</f>
        <v>62.639034000000009</v>
      </c>
      <c r="I48" s="44"/>
      <c r="J48" s="45">
        <v>6.3E-3</v>
      </c>
      <c r="K48" s="82">
        <f>F18*(1+J74)</f>
        <v>10102.91</v>
      </c>
      <c r="L48" s="43">
        <f>K48*J48</f>
        <v>63.648333000000001</v>
      </c>
      <c r="M48" s="44"/>
      <c r="N48" s="47">
        <f t="shared" si="2"/>
        <v>1.0092989999999915</v>
      </c>
      <c r="O48" s="48">
        <f t="shared" si="8"/>
        <v>1.6112940055876202E-2</v>
      </c>
    </row>
    <row r="49" spans="2:19" ht="30">
      <c r="B49" s="83" t="s">
        <v>45</v>
      </c>
      <c r="C49" s="44"/>
      <c r="D49" s="79" t="s">
        <v>31</v>
      </c>
      <c r="E49" s="80"/>
      <c r="F49" s="45">
        <v>4.7000000000000002E-3</v>
      </c>
      <c r="G49" s="81">
        <f>G48</f>
        <v>10103.070000000002</v>
      </c>
      <c r="H49" s="43">
        <f>G49*F49</f>
        <v>47.484429000000006</v>
      </c>
      <c r="I49" s="44"/>
      <c r="J49" s="45">
        <v>4.1000000000000003E-3</v>
      </c>
      <c r="K49" s="82">
        <f>K48</f>
        <v>10102.91</v>
      </c>
      <c r="L49" s="43">
        <f>K49*J49</f>
        <v>41.421931000000001</v>
      </c>
      <c r="M49" s="44"/>
      <c r="N49" s="47">
        <f t="shared" si="2"/>
        <v>-6.062498000000005</v>
      </c>
      <c r="O49" s="48">
        <f t="shared" si="8"/>
        <v>-0.12767338952312146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313.65309740000009</v>
      </c>
      <c r="I50" s="85"/>
      <c r="J50" s="86"/>
      <c r="K50" s="87"/>
      <c r="L50" s="77">
        <f>SUM(L47:L49)</f>
        <v>287.18647119999997</v>
      </c>
      <c r="M50" s="85"/>
      <c r="N50" s="63">
        <f t="shared" si="2"/>
        <v>-26.466626200000121</v>
      </c>
      <c r="O50" s="64">
        <f t="shared" si="8"/>
        <v>-8.4381842294537823E-2</v>
      </c>
    </row>
    <row r="51" spans="2:19" ht="30">
      <c r="B51" s="88" t="s">
        <v>47</v>
      </c>
      <c r="C51" s="38"/>
      <c r="D51" s="39" t="s">
        <v>31</v>
      </c>
      <c r="E51" s="40"/>
      <c r="F51" s="89">
        <v>4.4000000000000003E-3</v>
      </c>
      <c r="G51" s="81">
        <f>G49</f>
        <v>10103.070000000002</v>
      </c>
      <c r="H51" s="90">
        <f t="shared" ref="H51:H57" si="9">G51*F51</f>
        <v>44.453508000000006</v>
      </c>
      <c r="I51" s="44"/>
      <c r="J51" s="91">
        <v>4.4000000000000003E-3</v>
      </c>
      <c r="K51" s="82">
        <f>K49</f>
        <v>10102.91</v>
      </c>
      <c r="L51" s="90">
        <f t="shared" ref="L51:L57" si="10">K51*J51</f>
        <v>44.452804</v>
      </c>
      <c r="M51" s="44"/>
      <c r="N51" s="47">
        <f t="shared" si="2"/>
        <v>-7.0400000000603313E-4</v>
      </c>
      <c r="O51" s="92">
        <f t="shared" si="8"/>
        <v>-1.5836770407546533E-5</v>
      </c>
    </row>
    <row r="52" spans="2:19" ht="30">
      <c r="B52" s="88" t="s">
        <v>48</v>
      </c>
      <c r="C52" s="38"/>
      <c r="D52" s="39" t="s">
        <v>31</v>
      </c>
      <c r="E52" s="40"/>
      <c r="F52" s="89">
        <v>1.2999999999999999E-3</v>
      </c>
      <c r="G52" s="81">
        <f>G49</f>
        <v>10103.070000000002</v>
      </c>
      <c r="H52" s="90">
        <f t="shared" si="9"/>
        <v>13.133991000000002</v>
      </c>
      <c r="I52" s="44"/>
      <c r="J52" s="91">
        <v>1.2999999999999999E-3</v>
      </c>
      <c r="K52" s="82">
        <f>K49</f>
        <v>10102.91</v>
      </c>
      <c r="L52" s="90">
        <f t="shared" si="10"/>
        <v>13.133782999999999</v>
      </c>
      <c r="M52" s="44"/>
      <c r="N52" s="47">
        <f t="shared" si="2"/>
        <v>-2.0800000000242846E-4</v>
      </c>
      <c r="O52" s="92">
        <f t="shared" si="8"/>
        <v>-1.5836770407595715E-5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f>F18</f>
        <v>10000</v>
      </c>
      <c r="H54" s="90">
        <f t="shared" si="9"/>
        <v>70</v>
      </c>
      <c r="I54" s="44"/>
      <c r="J54" s="91">
        <v>7.0000000000000001E-3</v>
      </c>
      <c r="K54" s="94">
        <f>F18</f>
        <v>10000</v>
      </c>
      <c r="L54" s="90">
        <f t="shared" si="10"/>
        <v>70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31</v>
      </c>
      <c r="E55" s="40"/>
      <c r="F55" s="95">
        <v>6.7000000000000004E-2</v>
      </c>
      <c r="G55" s="96">
        <f>0.64*$F$18</f>
        <v>6400</v>
      </c>
      <c r="H55" s="90">
        <f t="shared" si="9"/>
        <v>428.8</v>
      </c>
      <c r="I55" s="44"/>
      <c r="J55" s="89">
        <v>6.7000000000000004E-2</v>
      </c>
      <c r="K55" s="96">
        <f>G55</f>
        <v>6400</v>
      </c>
      <c r="L55" s="90">
        <f t="shared" si="10"/>
        <v>428.8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31</v>
      </c>
      <c r="E56" s="40"/>
      <c r="F56" s="95">
        <v>0.104</v>
      </c>
      <c r="G56" s="96">
        <f>0.18*$F$18</f>
        <v>1800</v>
      </c>
      <c r="H56" s="90">
        <f t="shared" si="9"/>
        <v>187.2</v>
      </c>
      <c r="I56" s="44"/>
      <c r="J56" s="89">
        <v>0.104</v>
      </c>
      <c r="K56" s="96">
        <f>G56</f>
        <v>1800</v>
      </c>
      <c r="L56" s="90">
        <f t="shared" si="10"/>
        <v>187.2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31</v>
      </c>
      <c r="E57" s="40"/>
      <c r="F57" s="95">
        <v>0.124</v>
      </c>
      <c r="G57" s="96">
        <f>0.18*$F$18</f>
        <v>1800</v>
      </c>
      <c r="H57" s="90">
        <f t="shared" si="9"/>
        <v>223.2</v>
      </c>
      <c r="I57" s="44"/>
      <c r="J57" s="89">
        <v>0.124</v>
      </c>
      <c r="K57" s="96">
        <f>G57</f>
        <v>1800</v>
      </c>
      <c r="L57" s="90">
        <f t="shared" si="10"/>
        <v>223.2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31</v>
      </c>
      <c r="E58" s="101"/>
      <c r="F58" s="95">
        <v>7.4999999999999997E-2</v>
      </c>
      <c r="G58" s="102">
        <f>IF(AND($T$1=1, F18&gt;=600), 600, IF(AND($T$1=1, AND(F18&lt;600, F18&gt;=0)), F18, IF(AND($T$1=2, F18&gt;=1000), 1000, IF(AND($T$1=2, AND(F18&lt;1000, F18&gt;=0)), F18))))</f>
        <v>600</v>
      </c>
      <c r="H58" s="90">
        <f>G58*F58</f>
        <v>45</v>
      </c>
      <c r="I58" s="103"/>
      <c r="J58" s="89">
        <v>7.4999999999999997E-2</v>
      </c>
      <c r="K58" s="102">
        <f>G58</f>
        <v>600</v>
      </c>
      <c r="L58" s="90">
        <f>K58*J58</f>
        <v>45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31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9400</v>
      </c>
      <c r="H59" s="90">
        <f>G59*F59</f>
        <v>827.19999999999993</v>
      </c>
      <c r="I59" s="103"/>
      <c r="J59" s="89">
        <v>8.7999999999999995E-2</v>
      </c>
      <c r="K59" s="102">
        <f>G59</f>
        <v>9400</v>
      </c>
      <c r="L59" s="90">
        <f>K59*J59</f>
        <v>827.19999999999993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1280.6905964000002</v>
      </c>
      <c r="I61" s="120"/>
      <c r="J61" s="121"/>
      <c r="K61" s="121"/>
      <c r="L61" s="119">
        <f>SUM(L51:L57,L50)</f>
        <v>1254.2230582</v>
      </c>
      <c r="M61" s="122"/>
      <c r="N61" s="123">
        <f>L61-H61</f>
        <v>-26.467538200000263</v>
      </c>
      <c r="O61" s="124">
        <f>IF((H61)=0,"",(N61/H61))</f>
        <v>-2.0666613992794253E-2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166.48977753200003</v>
      </c>
      <c r="I62" s="129"/>
      <c r="J62" s="130">
        <v>0.13</v>
      </c>
      <c r="K62" s="129"/>
      <c r="L62" s="131">
        <f>L61*J62</f>
        <v>163.048997566</v>
      </c>
      <c r="M62" s="132"/>
      <c r="N62" s="133">
        <f t="shared" si="2"/>
        <v>-3.4407799660000364</v>
      </c>
      <c r="O62" s="134">
        <f t="shared" si="8"/>
        <v>-2.0666613992794267E-2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1447.1803739320003</v>
      </c>
      <c r="I63" s="129"/>
      <c r="J63" s="129"/>
      <c r="K63" s="129"/>
      <c r="L63" s="131">
        <f>L61+L62</f>
        <v>1417.272055766</v>
      </c>
      <c r="M63" s="132"/>
      <c r="N63" s="133">
        <f t="shared" si="2"/>
        <v>-29.908318166000299</v>
      </c>
      <c r="O63" s="134">
        <f t="shared" si="8"/>
        <v>-2.0666613992794253E-2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-144.72</v>
      </c>
      <c r="I64" s="129"/>
      <c r="J64" s="129"/>
      <c r="K64" s="129"/>
      <c r="L64" s="139">
        <f>ROUND(-L63*10%,2)</f>
        <v>-141.72999999999999</v>
      </c>
      <c r="M64" s="132"/>
      <c r="N64" s="140">
        <f t="shared" si="2"/>
        <v>2.9900000000000091</v>
      </c>
      <c r="O64" s="141">
        <f t="shared" si="8"/>
        <v>-2.0660585959093484E-2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1302.4603739320003</v>
      </c>
      <c r="I65" s="147"/>
      <c r="J65" s="147"/>
      <c r="K65" s="147"/>
      <c r="L65" s="148">
        <f>L63+L64</f>
        <v>1275.542055766</v>
      </c>
      <c r="M65" s="149"/>
      <c r="N65" s="150">
        <f t="shared" si="2"/>
        <v>-26.91831816600029</v>
      </c>
      <c r="O65" s="151">
        <f t="shared" si="8"/>
        <v>-2.0667283784409136E-2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1313.6905964</v>
      </c>
      <c r="I67" s="163"/>
      <c r="J67" s="164"/>
      <c r="K67" s="164"/>
      <c r="L67" s="162">
        <f>SUM(L58:L59,L50,L51:L54)</f>
        <v>1287.2230582</v>
      </c>
      <c r="M67" s="165"/>
      <c r="N67" s="166">
        <f>L67-H67</f>
        <v>-26.467538200000035</v>
      </c>
      <c r="O67" s="124">
        <f>IF((H67)=0,"",(N67/H67))</f>
        <v>-2.0147467198540447E-2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170.779777532</v>
      </c>
      <c r="I68" s="170"/>
      <c r="J68" s="171">
        <v>0.13</v>
      </c>
      <c r="K68" s="172"/>
      <c r="L68" s="173">
        <f>L67*J68</f>
        <v>167.33899756599999</v>
      </c>
      <c r="M68" s="174"/>
      <c r="N68" s="175">
        <f>L68-H68</f>
        <v>-3.440779966000008</v>
      </c>
      <c r="O68" s="134">
        <f>IF((H68)=0,"",(N68/H68))</f>
        <v>-2.0147467198540468E-2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1484.470373932</v>
      </c>
      <c r="I69" s="170"/>
      <c r="J69" s="170"/>
      <c r="K69" s="170"/>
      <c r="L69" s="173">
        <f>L67+L68</f>
        <v>1454.562055766</v>
      </c>
      <c r="M69" s="174"/>
      <c r="N69" s="175">
        <f>L69-H69</f>
        <v>-29.908318166000072</v>
      </c>
      <c r="O69" s="134">
        <f>IF((H69)=0,"",(N69/H69))</f>
        <v>-2.0147467198540468E-2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-148.44999999999999</v>
      </c>
      <c r="I70" s="170"/>
      <c r="J70" s="170"/>
      <c r="K70" s="170"/>
      <c r="L70" s="181">
        <f>ROUND(-L69*10%,2)</f>
        <v>-145.46</v>
      </c>
      <c r="M70" s="174"/>
      <c r="N70" s="182">
        <f>L70-H70</f>
        <v>2.9899999999999807</v>
      </c>
      <c r="O70" s="141">
        <f>IF((H70)=0,"",(N70/H70))</f>
        <v>-2.0141461771640154E-2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1336.020373932</v>
      </c>
      <c r="I71" s="188"/>
      <c r="J71" s="188"/>
      <c r="K71" s="188"/>
      <c r="L71" s="189">
        <f>SUM(L69:L70)</f>
        <v>1309.1020557659999</v>
      </c>
      <c r="M71" s="190"/>
      <c r="N71" s="191">
        <f>L71-H71</f>
        <v>-26.918318166000063</v>
      </c>
      <c r="O71" s="192">
        <f>IF((H71)=0,"",(N71/H71))</f>
        <v>-2.0148134482992651E-2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B34" sqref="B34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2.1406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41788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600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227.57</v>
      </c>
      <c r="G23" s="42">
        <v>1</v>
      </c>
      <c r="H23" s="43">
        <f>G23*F23</f>
        <v>227.57</v>
      </c>
      <c r="I23" s="44"/>
      <c r="J23" s="45">
        <v>253.49</v>
      </c>
      <c r="K23" s="46">
        <v>1</v>
      </c>
      <c r="L23" s="43">
        <f>K23*J23</f>
        <v>253.49</v>
      </c>
      <c r="M23" s="44"/>
      <c r="N23" s="47">
        <f>L23-H23</f>
        <v>25.920000000000016</v>
      </c>
      <c r="O23" s="48">
        <f>IF((H23)=0,"",(N23/H23))</f>
        <v>0.11389902008173317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14.89</v>
      </c>
      <c r="G25" s="42">
        <v>1</v>
      </c>
      <c r="H25" s="43">
        <f t="shared" si="0"/>
        <v>14.89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-14.89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80</v>
      </c>
      <c r="E29" s="40"/>
      <c r="F29" s="41">
        <v>2.3332999999999999</v>
      </c>
      <c r="G29" s="42">
        <f t="shared" ref="G29:G38" si="4">$F$18</f>
        <v>600</v>
      </c>
      <c r="H29" s="43">
        <f t="shared" si="0"/>
        <v>1399.98</v>
      </c>
      <c r="I29" s="44"/>
      <c r="J29" s="45">
        <v>2.5556999999999999</v>
      </c>
      <c r="K29" s="42">
        <f>$F$18</f>
        <v>600</v>
      </c>
      <c r="L29" s="43">
        <f t="shared" si="1"/>
        <v>1533.4199999999998</v>
      </c>
      <c r="M29" s="44"/>
      <c r="N29" s="47">
        <f t="shared" si="2"/>
        <v>133.43999999999983</v>
      </c>
      <c r="O29" s="48">
        <f t="shared" si="3"/>
        <v>9.5315647366390824E-2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600</v>
      </c>
      <c r="H30" s="43">
        <f t="shared" si="0"/>
        <v>0</v>
      </c>
      <c r="I30" s="44"/>
      <c r="J30" s="45"/>
      <c r="K30" s="42">
        <f t="shared" ref="K30:K38" si="5">$F$18</f>
        <v>600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600</v>
      </c>
      <c r="H31" s="43">
        <f t="shared" si="0"/>
        <v>0</v>
      </c>
      <c r="I31" s="44"/>
      <c r="J31" s="45"/>
      <c r="K31" s="42">
        <f t="shared" si="5"/>
        <v>600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80</v>
      </c>
      <c r="E32" s="40"/>
      <c r="F32" s="41">
        <v>0.1527</v>
      </c>
      <c r="G32" s="42">
        <f t="shared" si="4"/>
        <v>600</v>
      </c>
      <c r="H32" s="43">
        <f>G32*F32</f>
        <v>91.62</v>
      </c>
      <c r="I32" s="44"/>
      <c r="J32" s="45">
        <v>0.2099</v>
      </c>
      <c r="K32" s="42">
        <f t="shared" si="5"/>
        <v>600</v>
      </c>
      <c r="L32" s="43">
        <f>K32*J32</f>
        <v>125.94</v>
      </c>
      <c r="M32" s="44"/>
      <c r="N32" s="47">
        <f>L32-H32</f>
        <v>34.319999999999993</v>
      </c>
      <c r="O32" s="48">
        <f>IF((H32)=0,"",(N32/H32))</f>
        <v>0.37459070072036665</v>
      </c>
    </row>
    <row r="33" spans="2:15">
      <c r="B33" s="52" t="s">
        <v>35</v>
      </c>
      <c r="C33" s="38"/>
      <c r="D33" s="39" t="s">
        <v>80</v>
      </c>
      <c r="E33" s="40"/>
      <c r="F33" s="41">
        <v>-3.4700000000000002E-2</v>
      </c>
      <c r="G33" s="42">
        <f t="shared" si="4"/>
        <v>600</v>
      </c>
      <c r="H33" s="43">
        <f>G33*F33</f>
        <v>-20.82</v>
      </c>
      <c r="I33" s="44"/>
      <c r="J33" s="45"/>
      <c r="K33" s="42">
        <f t="shared" si="5"/>
        <v>600</v>
      </c>
      <c r="L33" s="43">
        <f>K33*J33</f>
        <v>0</v>
      </c>
      <c r="M33" s="44"/>
      <c r="N33" s="47">
        <f>L33-H33</f>
        <v>20.82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600</v>
      </c>
      <c r="H34" s="43">
        <f>G34*F34</f>
        <v>0</v>
      </c>
      <c r="I34" s="44"/>
      <c r="J34" s="45"/>
      <c r="K34" s="42">
        <f t="shared" si="5"/>
        <v>600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600</v>
      </c>
      <c r="H35" s="43">
        <f t="shared" si="0"/>
        <v>0</v>
      </c>
      <c r="I35" s="44"/>
      <c r="J35" s="45"/>
      <c r="K35" s="42">
        <f t="shared" si="5"/>
        <v>600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600</v>
      </c>
      <c r="H36" s="43">
        <f t="shared" si="0"/>
        <v>0</v>
      </c>
      <c r="I36" s="44"/>
      <c r="J36" s="45"/>
      <c r="K36" s="42">
        <f t="shared" si="5"/>
        <v>600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600</v>
      </c>
      <c r="H37" s="43">
        <f t="shared" si="0"/>
        <v>0</v>
      </c>
      <c r="I37" s="44"/>
      <c r="J37" s="45"/>
      <c r="K37" s="42">
        <f t="shared" si="5"/>
        <v>600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600</v>
      </c>
      <c r="H38" s="43">
        <f t="shared" si="0"/>
        <v>0</v>
      </c>
      <c r="I38" s="44"/>
      <c r="J38" s="45"/>
      <c r="K38" s="42">
        <f t="shared" si="5"/>
        <v>600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1713.24</v>
      </c>
      <c r="I39" s="60"/>
      <c r="J39" s="61"/>
      <c r="K39" s="62"/>
      <c r="L39" s="59">
        <f>SUM(L23:L38)</f>
        <v>1912.85</v>
      </c>
      <c r="M39" s="60"/>
      <c r="N39" s="63">
        <f t="shared" si="2"/>
        <v>199.6099999999999</v>
      </c>
      <c r="O39" s="64">
        <f t="shared" si="3"/>
        <v>0.1165102379117928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600</v>
      </c>
      <c r="H40" s="43">
        <f t="shared" ref="H40:H46" si="6">G40*F40</f>
        <v>0</v>
      </c>
      <c r="I40" s="44"/>
      <c r="J40" s="45">
        <v>-0.76119999999999999</v>
      </c>
      <c r="K40" s="42">
        <f>$F$18</f>
        <v>600</v>
      </c>
      <c r="L40" s="43">
        <f t="shared" ref="L40:L46" si="7">K40*J40</f>
        <v>-456.71999999999997</v>
      </c>
      <c r="M40" s="44"/>
      <c r="N40" s="47">
        <f t="shared" si="2"/>
        <v>-456.71999999999997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600</v>
      </c>
      <c r="H41" s="43">
        <f t="shared" si="6"/>
        <v>0</v>
      </c>
      <c r="I41" s="67"/>
      <c r="J41" s="45">
        <v>-0.55230000000000001</v>
      </c>
      <c r="K41" s="42">
        <f>$F$18</f>
        <v>600</v>
      </c>
      <c r="L41" s="43">
        <f t="shared" si="7"/>
        <v>-331.38</v>
      </c>
      <c r="M41" s="68"/>
      <c r="N41" s="47">
        <f t="shared" si="2"/>
        <v>-331.38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80</v>
      </c>
      <c r="E42" s="40"/>
      <c r="F42" s="41"/>
      <c r="G42" s="42">
        <f>$F$18</f>
        <v>600</v>
      </c>
      <c r="H42" s="43">
        <f t="shared" si="6"/>
        <v>0</v>
      </c>
      <c r="I42" s="67"/>
      <c r="J42" s="45">
        <v>0.99270000000000003</v>
      </c>
      <c r="K42" s="42">
        <f>$F$18</f>
        <v>600</v>
      </c>
      <c r="L42" s="43">
        <f t="shared" si="7"/>
        <v>595.62</v>
      </c>
      <c r="M42" s="68"/>
      <c r="N42" s="47">
        <f t="shared" si="2"/>
        <v>595.62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600</v>
      </c>
      <c r="H43" s="43">
        <f t="shared" si="6"/>
        <v>0</v>
      </c>
      <c r="I43" s="67"/>
      <c r="J43" s="45"/>
      <c r="K43" s="42">
        <f>$F$18</f>
        <v>600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80</v>
      </c>
      <c r="E44" s="40"/>
      <c r="F44" s="41">
        <v>6.8900000000000003E-2</v>
      </c>
      <c r="G44" s="42">
        <f>$F$18</f>
        <v>600</v>
      </c>
      <c r="H44" s="43">
        <f t="shared" si="6"/>
        <v>41.34</v>
      </c>
      <c r="I44" s="44"/>
      <c r="J44" s="45">
        <v>0.13522000000000001</v>
      </c>
      <c r="K44" s="42">
        <f>$F$18</f>
        <v>600</v>
      </c>
      <c r="L44" s="43">
        <f t="shared" si="7"/>
        <v>81.132000000000005</v>
      </c>
      <c r="M44" s="44"/>
      <c r="N44" s="47">
        <f t="shared" si="2"/>
        <v>39.792000000000002</v>
      </c>
      <c r="O44" s="48">
        <f t="shared" si="3"/>
        <v>0.96255442670537006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202">
        <f>$F$18*(1+$F$74)-$F$18</f>
        <v>6.1224000000000842</v>
      </c>
      <c r="H45" s="43">
        <f t="shared" si="6"/>
        <v>0.53877120000000733</v>
      </c>
      <c r="I45" s="44"/>
      <c r="J45" s="72">
        <f>0.64*$F$55+0.18*$F$56+0.18*$F$57</f>
        <v>8.3919999999999995E-2</v>
      </c>
      <c r="K45" s="202">
        <f>$F$18*(1+$J$74)-$F$18</f>
        <v>6.1128000000001066</v>
      </c>
      <c r="L45" s="43">
        <f t="shared" si="7"/>
        <v>0.51298617600000895</v>
      </c>
      <c r="M45" s="44"/>
      <c r="N45" s="47">
        <f t="shared" si="2"/>
        <v>-2.578502399999838E-2</v>
      </c>
      <c r="O45" s="48">
        <f t="shared" si="3"/>
        <v>-4.7858950144324772E-2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1755.1187712000001</v>
      </c>
      <c r="I47" s="60"/>
      <c r="J47" s="76"/>
      <c r="K47" s="78"/>
      <c r="L47" s="77">
        <f>SUM(L40:L46)+L39</f>
        <v>1802.0149861760001</v>
      </c>
      <c r="M47" s="60"/>
      <c r="N47" s="63">
        <f t="shared" si="2"/>
        <v>46.89621497600001</v>
      </c>
      <c r="O47" s="64">
        <f t="shared" ref="O47:O65" si="8">IF((H47)=0,"",(N47/H47))</f>
        <v>2.671968173637411E-2</v>
      </c>
    </row>
    <row r="48" spans="2:15">
      <c r="B48" s="44" t="s">
        <v>44</v>
      </c>
      <c r="C48" s="44"/>
      <c r="D48" s="79" t="s">
        <v>80</v>
      </c>
      <c r="E48" s="80"/>
      <c r="F48" s="45">
        <v>2.7761</v>
      </c>
      <c r="G48" s="81">
        <v>600</v>
      </c>
      <c r="H48" s="43">
        <f>G48*F48</f>
        <v>1665.66</v>
      </c>
      <c r="I48" s="44"/>
      <c r="J48" s="45">
        <v>2.8201999999999998</v>
      </c>
      <c r="K48" s="82">
        <v>600</v>
      </c>
      <c r="L48" s="43">
        <f>K48*J48</f>
        <v>1692.12</v>
      </c>
      <c r="M48" s="44"/>
      <c r="N48" s="47">
        <f t="shared" si="2"/>
        <v>26.459999999999809</v>
      </c>
      <c r="O48" s="48">
        <f t="shared" si="8"/>
        <v>1.5885594899319073E-2</v>
      </c>
    </row>
    <row r="49" spans="2:19" ht="30">
      <c r="B49" s="83" t="s">
        <v>45</v>
      </c>
      <c r="C49" s="44"/>
      <c r="D49" s="79" t="s">
        <v>80</v>
      </c>
      <c r="E49" s="80"/>
      <c r="F49" s="45">
        <v>2.0480999999999998</v>
      </c>
      <c r="G49" s="81">
        <f>G48</f>
        <v>600</v>
      </c>
      <c r="H49" s="43">
        <f>G49*F49</f>
        <v>1228.8599999999999</v>
      </c>
      <c r="I49" s="44"/>
      <c r="J49" s="45">
        <v>1.7971999999999999</v>
      </c>
      <c r="K49" s="82">
        <f>K48</f>
        <v>600</v>
      </c>
      <c r="L49" s="43">
        <f>K49*J49</f>
        <v>1078.32</v>
      </c>
      <c r="M49" s="44"/>
      <c r="N49" s="47">
        <f t="shared" si="2"/>
        <v>-150.53999999999996</v>
      </c>
      <c r="O49" s="48">
        <f t="shared" si="8"/>
        <v>-0.12250378399492211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4649.6387711999996</v>
      </c>
      <c r="I50" s="85"/>
      <c r="J50" s="86"/>
      <c r="K50" s="87"/>
      <c r="L50" s="77">
        <f>SUM(L47:L49)</f>
        <v>4572.4549861759997</v>
      </c>
      <c r="M50" s="85"/>
      <c r="N50" s="63">
        <f t="shared" si="2"/>
        <v>-77.183785023999917</v>
      </c>
      <c r="O50" s="64">
        <f t="shared" si="8"/>
        <v>-1.6599952990343801E-2</v>
      </c>
    </row>
    <row r="51" spans="2:19" ht="30">
      <c r="B51" s="88" t="s">
        <v>47</v>
      </c>
      <c r="C51" s="38"/>
      <c r="D51" s="39" t="s">
        <v>80</v>
      </c>
      <c r="E51" s="40"/>
      <c r="F51" s="89">
        <v>4.4000000000000003E-3</v>
      </c>
      <c r="G51" s="81">
        <v>306600</v>
      </c>
      <c r="H51" s="90">
        <f t="shared" ref="H51:H57" si="9">G51*F51</f>
        <v>1349.0400000000002</v>
      </c>
      <c r="I51" s="44"/>
      <c r="J51" s="91">
        <v>4.4000000000000003E-3</v>
      </c>
      <c r="K51" s="82">
        <f>+G51</f>
        <v>306600</v>
      </c>
      <c r="L51" s="90">
        <f t="shared" ref="L51:L57" si="10">K51*J51</f>
        <v>1349.0400000000002</v>
      </c>
      <c r="M51" s="44"/>
      <c r="N51" s="47">
        <f t="shared" si="2"/>
        <v>0</v>
      </c>
      <c r="O51" s="92">
        <f t="shared" si="8"/>
        <v>0</v>
      </c>
    </row>
    <row r="52" spans="2:19" ht="30">
      <c r="B52" s="88" t="s">
        <v>48</v>
      </c>
      <c r="C52" s="38"/>
      <c r="D52" s="39" t="s">
        <v>80</v>
      </c>
      <c r="E52" s="40"/>
      <c r="F52" s="89">
        <v>1.2999999999999999E-3</v>
      </c>
      <c r="G52" s="81">
        <f>+G51</f>
        <v>306600</v>
      </c>
      <c r="H52" s="90">
        <f t="shared" si="9"/>
        <v>398.58</v>
      </c>
      <c r="I52" s="44"/>
      <c r="J52" s="91">
        <v>1.2999999999999999E-3</v>
      </c>
      <c r="K52" s="82">
        <f>+G52</f>
        <v>306600</v>
      </c>
      <c r="L52" s="90">
        <f t="shared" si="10"/>
        <v>398.58</v>
      </c>
      <c r="M52" s="44"/>
      <c r="N52" s="47">
        <f t="shared" si="2"/>
        <v>0</v>
      </c>
      <c r="O52" s="92">
        <f t="shared" si="8"/>
        <v>0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v>306600</v>
      </c>
      <c r="H54" s="90">
        <f t="shared" si="9"/>
        <v>2146.1999999999998</v>
      </c>
      <c r="I54" s="44"/>
      <c r="J54" s="91">
        <v>7.0000000000000001E-3</v>
      </c>
      <c r="K54" s="94">
        <f>+G54</f>
        <v>306600</v>
      </c>
      <c r="L54" s="90">
        <f t="shared" si="10"/>
        <v>2146.1999999999998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80</v>
      </c>
      <c r="E55" s="40"/>
      <c r="F55" s="95">
        <v>6.7000000000000004E-2</v>
      </c>
      <c r="G55" s="96">
        <f>0.64*$G$54</f>
        <v>196224</v>
      </c>
      <c r="H55" s="90">
        <f t="shared" si="9"/>
        <v>13147.008000000002</v>
      </c>
      <c r="I55" s="44"/>
      <c r="J55" s="89">
        <v>6.7000000000000004E-2</v>
      </c>
      <c r="K55" s="96">
        <f>G55</f>
        <v>196224</v>
      </c>
      <c r="L55" s="90">
        <f t="shared" si="10"/>
        <v>13147.008000000002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80</v>
      </c>
      <c r="E56" s="40"/>
      <c r="F56" s="95">
        <v>0.104</v>
      </c>
      <c r="G56" s="96">
        <f>0.18*$G$54</f>
        <v>55188</v>
      </c>
      <c r="H56" s="90">
        <f t="shared" si="9"/>
        <v>5739.5519999999997</v>
      </c>
      <c r="I56" s="44"/>
      <c r="J56" s="89">
        <v>0.104</v>
      </c>
      <c r="K56" s="96">
        <f>G56</f>
        <v>55188</v>
      </c>
      <c r="L56" s="90">
        <f t="shared" si="10"/>
        <v>5739.5519999999997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80</v>
      </c>
      <c r="E57" s="40"/>
      <c r="F57" s="95">
        <v>0.124</v>
      </c>
      <c r="G57" s="96">
        <f>0.18*$G$54</f>
        <v>55188</v>
      </c>
      <c r="H57" s="90">
        <f t="shared" si="9"/>
        <v>6843.3119999999999</v>
      </c>
      <c r="I57" s="44"/>
      <c r="J57" s="89">
        <v>0.124</v>
      </c>
      <c r="K57" s="96">
        <f>G57</f>
        <v>55188</v>
      </c>
      <c r="L57" s="90">
        <f t="shared" si="10"/>
        <v>6843.3119999999999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80</v>
      </c>
      <c r="E58" s="101"/>
      <c r="F58" s="95">
        <v>7.4999999999999997E-2</v>
      </c>
      <c r="G58" s="102">
        <v>750</v>
      </c>
      <c r="H58" s="90">
        <f>G58*F58</f>
        <v>56.25</v>
      </c>
      <c r="I58" s="103"/>
      <c r="J58" s="89">
        <v>7.4999999999999997E-2</v>
      </c>
      <c r="K58" s="102">
        <f>G58</f>
        <v>750</v>
      </c>
      <c r="L58" s="90">
        <f>K58*J58</f>
        <v>56.25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80</v>
      </c>
      <c r="E59" s="101"/>
      <c r="F59" s="95">
        <v>8.7999999999999995E-2</v>
      </c>
      <c r="G59" s="102">
        <f>306600-750</f>
        <v>305850</v>
      </c>
      <c r="H59" s="90">
        <f>G59*F59</f>
        <v>26914.799999999999</v>
      </c>
      <c r="I59" s="103"/>
      <c r="J59" s="89">
        <v>8.7999999999999995E-2</v>
      </c>
      <c r="K59" s="102">
        <f>G59</f>
        <v>305850</v>
      </c>
      <c r="L59" s="90">
        <f>K59*J59</f>
        <v>26914.799999999999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34273.580771200002</v>
      </c>
      <c r="I61" s="120"/>
      <c r="J61" s="121"/>
      <c r="K61" s="121"/>
      <c r="L61" s="119">
        <f>SUM(L51:L57,L50)</f>
        <v>34196.396986176005</v>
      </c>
      <c r="M61" s="122"/>
      <c r="N61" s="123">
        <f>L61-H61</f>
        <v>-77.183785023997189</v>
      </c>
      <c r="O61" s="124">
        <f>IF((H61)=0,"",(N61/H61))</f>
        <v>-2.2519906962523892E-3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4455.5655002560006</v>
      </c>
      <c r="I62" s="129"/>
      <c r="J62" s="130">
        <v>0.13</v>
      </c>
      <c r="K62" s="129"/>
      <c r="L62" s="131">
        <f>L61*J62</f>
        <v>4445.5316082028812</v>
      </c>
      <c r="M62" s="132"/>
      <c r="N62" s="133">
        <f t="shared" si="2"/>
        <v>-10.033892053119416</v>
      </c>
      <c r="O62" s="134">
        <f t="shared" si="8"/>
        <v>-2.2519906962523398E-3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38729.146271456004</v>
      </c>
      <c r="I63" s="129"/>
      <c r="J63" s="129"/>
      <c r="K63" s="129"/>
      <c r="L63" s="131">
        <f>L61+L62</f>
        <v>38641.928594378885</v>
      </c>
      <c r="M63" s="132"/>
      <c r="N63" s="133">
        <f t="shared" si="2"/>
        <v>-87.217677077118424</v>
      </c>
      <c r="O63" s="134">
        <f t="shared" si="8"/>
        <v>-2.2519906962524304E-3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v>0</v>
      </c>
      <c r="I64" s="129"/>
      <c r="J64" s="129"/>
      <c r="K64" s="129"/>
      <c r="L64" s="139"/>
      <c r="M64" s="132"/>
      <c r="N64" s="140">
        <f t="shared" si="2"/>
        <v>0</v>
      </c>
      <c r="O64" s="141" t="str">
        <f t="shared" si="8"/>
        <v/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38729.146271456004</v>
      </c>
      <c r="I65" s="147"/>
      <c r="J65" s="147"/>
      <c r="K65" s="147"/>
      <c r="L65" s="148">
        <f>L63+L64</f>
        <v>38641.928594378885</v>
      </c>
      <c r="M65" s="149"/>
      <c r="N65" s="150">
        <f t="shared" si="2"/>
        <v>-87.217677077118424</v>
      </c>
      <c r="O65" s="151">
        <f t="shared" si="8"/>
        <v>-2.2519906962524304E-3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35514.758771199995</v>
      </c>
      <c r="I67" s="163"/>
      <c r="J67" s="164"/>
      <c r="K67" s="164"/>
      <c r="L67" s="162">
        <f>SUM(L58:L59,L50,L51:L54)</f>
        <v>35437.574986175998</v>
      </c>
      <c r="M67" s="165"/>
      <c r="N67" s="166">
        <f>L67-H67</f>
        <v>-77.183785023997189</v>
      </c>
      <c r="O67" s="124">
        <f>IF((H67)=0,"",(N67/H67))</f>
        <v>-2.1732876047742687E-3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4616.9186402559999</v>
      </c>
      <c r="I68" s="170"/>
      <c r="J68" s="171">
        <v>0.13</v>
      </c>
      <c r="K68" s="172"/>
      <c r="L68" s="173">
        <f>L67*J68</f>
        <v>4606.8847482028796</v>
      </c>
      <c r="M68" s="174"/>
      <c r="N68" s="175">
        <f>L68-H68</f>
        <v>-10.033892053120326</v>
      </c>
      <c r="O68" s="134">
        <f>IF((H68)=0,"",(N68/H68))</f>
        <v>-2.1732876047744184E-3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40131.677411455996</v>
      </c>
      <c r="I69" s="170"/>
      <c r="J69" s="170"/>
      <c r="K69" s="170">
        <v>9</v>
      </c>
      <c r="L69" s="173">
        <f>L67+L68</f>
        <v>40044.459734378877</v>
      </c>
      <c r="M69" s="174"/>
      <c r="N69" s="175">
        <f>L69-H69</f>
        <v>-87.217677077118424</v>
      </c>
      <c r="O69" s="134">
        <f>IF((H69)=0,"",(N69/H69))</f>
        <v>-2.1732876047743086E-3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v>0</v>
      </c>
      <c r="I70" s="170"/>
      <c r="J70" s="170"/>
      <c r="K70" s="170"/>
      <c r="L70" s="181"/>
      <c r="M70" s="174"/>
      <c r="N70" s="182">
        <f>L70-H70</f>
        <v>0</v>
      </c>
      <c r="O70" s="141" t="str">
        <f>IF((H70)=0,"",(N70/H70))</f>
        <v/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40131.677411455996</v>
      </c>
      <c r="I71" s="188"/>
      <c r="J71" s="188"/>
      <c r="K71" s="188"/>
      <c r="L71" s="189">
        <f>SUM(L69:L70)</f>
        <v>40044.459734378877</v>
      </c>
      <c r="M71" s="190"/>
      <c r="N71" s="191">
        <f>L71-H71</f>
        <v>-87.217677077118424</v>
      </c>
      <c r="O71" s="192">
        <f>IF((H71)=0,"",(N71/H71))</f>
        <v>-2.1732876047743086E-3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1.0204E-2</v>
      </c>
      <c r="J74" s="199">
        <v>1.0187999999999999E-2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2.1406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100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227.57</v>
      </c>
      <c r="G23" s="42">
        <v>1</v>
      </c>
      <c r="H23" s="43">
        <f>G23*F23</f>
        <v>227.57</v>
      </c>
      <c r="I23" s="44"/>
      <c r="J23" s="45">
        <v>253.49</v>
      </c>
      <c r="K23" s="46">
        <v>1</v>
      </c>
      <c r="L23" s="43">
        <f>K23*J23</f>
        <v>253.49</v>
      </c>
      <c r="M23" s="44"/>
      <c r="N23" s="47">
        <f>L23-H23</f>
        <v>25.920000000000016</v>
      </c>
      <c r="O23" s="48">
        <f>IF((H23)=0,"",(N23/H23))</f>
        <v>0.11389902008173317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14.89</v>
      </c>
      <c r="G25" s="42">
        <v>1</v>
      </c>
      <c r="H25" s="43">
        <f t="shared" si="0"/>
        <v>14.89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-14.89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80</v>
      </c>
      <c r="E29" s="40"/>
      <c r="F29" s="41">
        <v>2.3332999999999999</v>
      </c>
      <c r="G29" s="42">
        <f t="shared" ref="G29:G38" si="4">$F$18</f>
        <v>100</v>
      </c>
      <c r="H29" s="43">
        <f t="shared" si="0"/>
        <v>233.32999999999998</v>
      </c>
      <c r="I29" s="44"/>
      <c r="J29" s="45">
        <v>2.5556999999999999</v>
      </c>
      <c r="K29" s="42">
        <f>$F$18</f>
        <v>100</v>
      </c>
      <c r="L29" s="43">
        <f t="shared" si="1"/>
        <v>255.57</v>
      </c>
      <c r="M29" s="44"/>
      <c r="N29" s="47">
        <f t="shared" si="2"/>
        <v>22.240000000000009</v>
      </c>
      <c r="O29" s="48">
        <f t="shared" si="3"/>
        <v>9.531564736639099E-2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100</v>
      </c>
      <c r="H30" s="43">
        <f t="shared" si="0"/>
        <v>0</v>
      </c>
      <c r="I30" s="44"/>
      <c r="J30" s="45"/>
      <c r="K30" s="42">
        <f t="shared" ref="K30:K38" si="5">$F$18</f>
        <v>100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100</v>
      </c>
      <c r="H31" s="43">
        <f t="shared" si="0"/>
        <v>0</v>
      </c>
      <c r="I31" s="44"/>
      <c r="J31" s="45"/>
      <c r="K31" s="42">
        <f t="shared" si="5"/>
        <v>100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80</v>
      </c>
      <c r="E32" s="40"/>
      <c r="F32" s="41">
        <v>0.1527</v>
      </c>
      <c r="G32" s="42">
        <f t="shared" si="4"/>
        <v>100</v>
      </c>
      <c r="H32" s="43">
        <f>G32*F32</f>
        <v>15.27</v>
      </c>
      <c r="I32" s="44"/>
      <c r="J32" s="45">
        <v>0.2099</v>
      </c>
      <c r="K32" s="42">
        <f t="shared" si="5"/>
        <v>100</v>
      </c>
      <c r="L32" s="43">
        <f>K32*J32</f>
        <v>20.990000000000002</v>
      </c>
      <c r="M32" s="44"/>
      <c r="N32" s="47">
        <f>L32-H32</f>
        <v>5.7200000000000024</v>
      </c>
      <c r="O32" s="48">
        <f>IF((H32)=0,"",(N32/H32))</f>
        <v>0.37459070072036688</v>
      </c>
    </row>
    <row r="33" spans="2:15">
      <c r="B33" s="52" t="s">
        <v>35</v>
      </c>
      <c r="C33" s="38"/>
      <c r="D33" s="39" t="s">
        <v>80</v>
      </c>
      <c r="E33" s="40"/>
      <c r="F33" s="41">
        <v>-3.4700000000000002E-2</v>
      </c>
      <c r="G33" s="42">
        <f t="shared" si="4"/>
        <v>100</v>
      </c>
      <c r="H33" s="43">
        <f>G33*F33</f>
        <v>-3.47</v>
      </c>
      <c r="I33" s="44"/>
      <c r="J33" s="45"/>
      <c r="K33" s="42">
        <f t="shared" si="5"/>
        <v>100</v>
      </c>
      <c r="L33" s="43">
        <f>K33*J33</f>
        <v>0</v>
      </c>
      <c r="M33" s="44"/>
      <c r="N33" s="47">
        <f>L33-H33</f>
        <v>3.47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100</v>
      </c>
      <c r="H34" s="43">
        <f>G34*F34</f>
        <v>0</v>
      </c>
      <c r="I34" s="44"/>
      <c r="J34" s="45"/>
      <c r="K34" s="42">
        <f t="shared" si="5"/>
        <v>100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100</v>
      </c>
      <c r="H35" s="43">
        <f t="shared" si="0"/>
        <v>0</v>
      </c>
      <c r="I35" s="44"/>
      <c r="J35" s="45"/>
      <c r="K35" s="42">
        <f t="shared" si="5"/>
        <v>100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100</v>
      </c>
      <c r="H36" s="43">
        <f t="shared" si="0"/>
        <v>0</v>
      </c>
      <c r="I36" s="44"/>
      <c r="J36" s="45"/>
      <c r="K36" s="42">
        <f t="shared" si="5"/>
        <v>100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100</v>
      </c>
      <c r="H37" s="43">
        <f t="shared" si="0"/>
        <v>0</v>
      </c>
      <c r="I37" s="44"/>
      <c r="J37" s="45"/>
      <c r="K37" s="42">
        <f t="shared" si="5"/>
        <v>100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100</v>
      </c>
      <c r="H38" s="43">
        <f t="shared" si="0"/>
        <v>0</v>
      </c>
      <c r="I38" s="44"/>
      <c r="J38" s="45"/>
      <c r="K38" s="42">
        <f t="shared" si="5"/>
        <v>100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487.58999999999992</v>
      </c>
      <c r="I39" s="60"/>
      <c r="J39" s="61"/>
      <c r="K39" s="62"/>
      <c r="L39" s="59">
        <f>SUM(L23:L38)</f>
        <v>530.04999999999995</v>
      </c>
      <c r="M39" s="60"/>
      <c r="N39" s="63">
        <f t="shared" si="2"/>
        <v>42.460000000000036</v>
      </c>
      <c r="O39" s="64">
        <f t="shared" si="3"/>
        <v>8.7081359338788827E-2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100</v>
      </c>
      <c r="H40" s="43">
        <f t="shared" ref="H40:H46" si="6">G40*F40</f>
        <v>0</v>
      </c>
      <c r="I40" s="44"/>
      <c r="J40" s="45">
        <v>-0.76119999999999999</v>
      </c>
      <c r="K40" s="42">
        <f>$F$18</f>
        <v>100</v>
      </c>
      <c r="L40" s="43">
        <f t="shared" ref="L40:L46" si="7">K40*J40</f>
        <v>-76.12</v>
      </c>
      <c r="M40" s="44"/>
      <c r="N40" s="47">
        <f t="shared" si="2"/>
        <v>-76.12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100</v>
      </c>
      <c r="H41" s="43">
        <f t="shared" si="6"/>
        <v>0</v>
      </c>
      <c r="I41" s="67"/>
      <c r="J41" s="45">
        <v>-0.55230000000000001</v>
      </c>
      <c r="K41" s="42">
        <f>$F$18</f>
        <v>100</v>
      </c>
      <c r="L41" s="43">
        <f t="shared" si="7"/>
        <v>-55.230000000000004</v>
      </c>
      <c r="M41" s="68"/>
      <c r="N41" s="47">
        <f t="shared" si="2"/>
        <v>-55.230000000000004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80</v>
      </c>
      <c r="E42" s="40"/>
      <c r="F42" s="41"/>
      <c r="G42" s="42">
        <f>$F$18</f>
        <v>100</v>
      </c>
      <c r="H42" s="43">
        <f t="shared" si="6"/>
        <v>0</v>
      </c>
      <c r="I42" s="67"/>
      <c r="J42" s="45">
        <v>0.99270000000000003</v>
      </c>
      <c r="K42" s="42">
        <f>$F$18</f>
        <v>100</v>
      </c>
      <c r="L42" s="43">
        <f t="shared" si="7"/>
        <v>99.27</v>
      </c>
      <c r="M42" s="68"/>
      <c r="N42" s="47">
        <f t="shared" si="2"/>
        <v>99.27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100</v>
      </c>
      <c r="H43" s="43">
        <f t="shared" si="6"/>
        <v>0</v>
      </c>
      <c r="I43" s="67"/>
      <c r="J43" s="45"/>
      <c r="K43" s="42">
        <f>$F$18</f>
        <v>100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80</v>
      </c>
      <c r="E44" s="40"/>
      <c r="F44" s="41">
        <v>6.8900000000000003E-2</v>
      </c>
      <c r="G44" s="42">
        <f>$F$18</f>
        <v>100</v>
      </c>
      <c r="H44" s="43">
        <f t="shared" si="6"/>
        <v>6.8900000000000006</v>
      </c>
      <c r="I44" s="44"/>
      <c r="J44" s="45">
        <v>0.13522000000000001</v>
      </c>
      <c r="K44" s="42">
        <f>$F$18</f>
        <v>100</v>
      </c>
      <c r="L44" s="43">
        <f t="shared" si="7"/>
        <v>13.522</v>
      </c>
      <c r="M44" s="44"/>
      <c r="N44" s="47">
        <f t="shared" si="2"/>
        <v>6.6319999999999997</v>
      </c>
      <c r="O44" s="48">
        <f t="shared" si="3"/>
        <v>0.96255442670536995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202">
        <f>$F$18*(1+$F$74)-$F$18</f>
        <v>1.0307000000000102</v>
      </c>
      <c r="H45" s="43">
        <f t="shared" si="6"/>
        <v>9.0701600000000895E-2</v>
      </c>
      <c r="I45" s="44"/>
      <c r="J45" s="72">
        <f>0.64*$F$55+0.18*$F$56+0.18*$F$57</f>
        <v>8.3919999999999995E-2</v>
      </c>
      <c r="K45" s="202">
        <f>$F$18*(1+$J$74)-$F$18</f>
        <v>1.0290999999999997</v>
      </c>
      <c r="L45" s="43">
        <f t="shared" si="7"/>
        <v>8.636207199999997E-2</v>
      </c>
      <c r="M45" s="44"/>
      <c r="N45" s="47">
        <f t="shared" si="2"/>
        <v>-4.3395280000009251E-3</v>
      </c>
      <c r="O45" s="48">
        <f t="shared" si="3"/>
        <v>-4.7844007161956151E-2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494.57070159999989</v>
      </c>
      <c r="I47" s="60"/>
      <c r="J47" s="76"/>
      <c r="K47" s="78"/>
      <c r="L47" s="77">
        <f>SUM(L40:L46)+L39</f>
        <v>511.57836207199995</v>
      </c>
      <c r="M47" s="60"/>
      <c r="N47" s="63">
        <f t="shared" si="2"/>
        <v>17.007660472000055</v>
      </c>
      <c r="O47" s="64">
        <f t="shared" ref="O47:O65" si="8">IF((H47)=0,"",(N47/H47))</f>
        <v>3.4388734344711652E-2</v>
      </c>
    </row>
    <row r="48" spans="2:15">
      <c r="B48" s="44" t="s">
        <v>44</v>
      </c>
      <c r="C48" s="44"/>
      <c r="D48" s="79" t="s">
        <v>80</v>
      </c>
      <c r="E48" s="80"/>
      <c r="F48" s="45">
        <v>2.6135999999999999</v>
      </c>
      <c r="G48" s="81">
        <f>F18*(1+F74)</f>
        <v>101.03070000000001</v>
      </c>
      <c r="H48" s="43">
        <f>G48*F48</f>
        <v>264.05383752</v>
      </c>
      <c r="I48" s="44"/>
      <c r="J48" s="45">
        <v>2.6551</v>
      </c>
      <c r="K48" s="82">
        <f>F18*(1+J74)</f>
        <v>101.0291</v>
      </c>
      <c r="L48" s="43">
        <f>K48*J48</f>
        <v>268.24236341</v>
      </c>
      <c r="M48" s="44"/>
      <c r="N48" s="47">
        <f t="shared" si="2"/>
        <v>4.188525889999994</v>
      </c>
      <c r="O48" s="48">
        <f t="shared" si="8"/>
        <v>1.5862393553294774E-2</v>
      </c>
    </row>
    <row r="49" spans="2:19" ht="30">
      <c r="B49" s="83" t="s">
        <v>45</v>
      </c>
      <c r="C49" s="44"/>
      <c r="D49" s="79" t="s">
        <v>80</v>
      </c>
      <c r="E49" s="80"/>
      <c r="F49" s="45">
        <v>1.8682000000000001</v>
      </c>
      <c r="G49" s="81">
        <f>G48</f>
        <v>101.03070000000001</v>
      </c>
      <c r="H49" s="43">
        <f>G49*F49</f>
        <v>188.74555374000002</v>
      </c>
      <c r="I49" s="44"/>
      <c r="J49" s="45">
        <v>1.6393</v>
      </c>
      <c r="K49" s="82">
        <f>K48</f>
        <v>101.0291</v>
      </c>
      <c r="L49" s="43">
        <f>K49*J49</f>
        <v>165.61700363</v>
      </c>
      <c r="M49" s="44"/>
      <c r="N49" s="47">
        <f t="shared" si="2"/>
        <v>-23.12855011000002</v>
      </c>
      <c r="O49" s="48">
        <f t="shared" si="8"/>
        <v>-0.12253825137444013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947.37009285999989</v>
      </c>
      <c r="I50" s="85"/>
      <c r="J50" s="86"/>
      <c r="K50" s="87"/>
      <c r="L50" s="77">
        <f>SUM(L47:L49)</f>
        <v>945.43772911199994</v>
      </c>
      <c r="M50" s="85"/>
      <c r="N50" s="63">
        <f t="shared" si="2"/>
        <v>-1.9323637479999434</v>
      </c>
      <c r="O50" s="64">
        <f t="shared" si="8"/>
        <v>-2.0397136901022096E-3</v>
      </c>
    </row>
    <row r="51" spans="2:19" ht="30">
      <c r="B51" s="88" t="s">
        <v>47</v>
      </c>
      <c r="C51" s="38"/>
      <c r="D51" s="39" t="s">
        <v>80</v>
      </c>
      <c r="E51" s="40"/>
      <c r="F51" s="89">
        <v>4.4000000000000003E-3</v>
      </c>
      <c r="G51" s="81">
        <f>G49</f>
        <v>101.03070000000001</v>
      </c>
      <c r="H51" s="90">
        <f t="shared" ref="H51:H57" si="9">G51*F51</f>
        <v>0.44453508000000008</v>
      </c>
      <c r="I51" s="44"/>
      <c r="J51" s="91">
        <v>4.4000000000000003E-3</v>
      </c>
      <c r="K51" s="82">
        <f>K49</f>
        <v>101.0291</v>
      </c>
      <c r="L51" s="90">
        <f t="shared" ref="L51:L57" si="10">K51*J51</f>
        <v>0.44452804000000001</v>
      </c>
      <c r="M51" s="44"/>
      <c r="N51" s="47">
        <f t="shared" si="2"/>
        <v>-7.0400000000692131E-6</v>
      </c>
      <c r="O51" s="92">
        <f t="shared" si="8"/>
        <v>-1.5836770407566513E-5</v>
      </c>
    </row>
    <row r="52" spans="2:19" ht="30">
      <c r="B52" s="88" t="s">
        <v>48</v>
      </c>
      <c r="C52" s="38"/>
      <c r="D52" s="39" t="s">
        <v>80</v>
      </c>
      <c r="E52" s="40"/>
      <c r="F52" s="89">
        <v>1.2999999999999999E-3</v>
      </c>
      <c r="G52" s="81">
        <f>G49</f>
        <v>101.03070000000001</v>
      </c>
      <c r="H52" s="90">
        <f t="shared" si="9"/>
        <v>0.13133991</v>
      </c>
      <c r="I52" s="44"/>
      <c r="J52" s="91">
        <v>1.2999999999999999E-3</v>
      </c>
      <c r="K52" s="82">
        <f>K49</f>
        <v>101.0291</v>
      </c>
      <c r="L52" s="90">
        <f t="shared" si="10"/>
        <v>0.13133782999999999</v>
      </c>
      <c r="M52" s="44"/>
      <c r="N52" s="47">
        <f t="shared" si="2"/>
        <v>-2.0800000000154029E-6</v>
      </c>
      <c r="O52" s="92">
        <f t="shared" si="8"/>
        <v>-1.5836770407528092E-5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v>51100</v>
      </c>
      <c r="H54" s="90">
        <f t="shared" si="9"/>
        <v>357.7</v>
      </c>
      <c r="I54" s="44"/>
      <c r="J54" s="91">
        <v>7.0000000000000001E-3</v>
      </c>
      <c r="K54" s="94">
        <v>51100</v>
      </c>
      <c r="L54" s="90">
        <f t="shared" si="10"/>
        <v>357.7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80</v>
      </c>
      <c r="E55" s="40"/>
      <c r="F55" s="95">
        <v>6.7000000000000004E-2</v>
      </c>
      <c r="G55" s="96">
        <f>0.64*$G$54</f>
        <v>32704</v>
      </c>
      <c r="H55" s="90">
        <f t="shared" si="9"/>
        <v>2191.1680000000001</v>
      </c>
      <c r="I55" s="44"/>
      <c r="J55" s="89">
        <v>6.7000000000000004E-2</v>
      </c>
      <c r="K55" s="96">
        <f>G55</f>
        <v>32704</v>
      </c>
      <c r="L55" s="90">
        <f t="shared" si="10"/>
        <v>2191.1680000000001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80</v>
      </c>
      <c r="E56" s="40"/>
      <c r="F56" s="95">
        <v>0.104</v>
      </c>
      <c r="G56" s="96">
        <f>0.18*$G$54</f>
        <v>9198</v>
      </c>
      <c r="H56" s="90">
        <f t="shared" si="9"/>
        <v>956.59199999999998</v>
      </c>
      <c r="I56" s="44"/>
      <c r="J56" s="89">
        <v>0.104</v>
      </c>
      <c r="K56" s="96">
        <f>G56</f>
        <v>9198</v>
      </c>
      <c r="L56" s="90">
        <f t="shared" si="10"/>
        <v>956.59199999999998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80</v>
      </c>
      <c r="E57" s="40"/>
      <c r="F57" s="95">
        <v>0.124</v>
      </c>
      <c r="G57" s="96">
        <f>0.18*$G$54</f>
        <v>9198</v>
      </c>
      <c r="H57" s="90">
        <f t="shared" si="9"/>
        <v>1140.5519999999999</v>
      </c>
      <c r="I57" s="44"/>
      <c r="J57" s="89">
        <v>0.124</v>
      </c>
      <c r="K57" s="96">
        <f>G57</f>
        <v>9198</v>
      </c>
      <c r="L57" s="90">
        <f t="shared" si="10"/>
        <v>1140.5519999999999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80</v>
      </c>
      <c r="E58" s="101"/>
      <c r="F58" s="95">
        <v>7.4999999999999997E-2</v>
      </c>
      <c r="G58" s="102">
        <v>750</v>
      </c>
      <c r="H58" s="90">
        <f>G58*F58</f>
        <v>56.25</v>
      </c>
      <c r="I58" s="103"/>
      <c r="J58" s="89">
        <v>7.4999999999999997E-2</v>
      </c>
      <c r="K58" s="102">
        <f>G58</f>
        <v>750</v>
      </c>
      <c r="L58" s="90">
        <f>K58*J58</f>
        <v>56.25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80</v>
      </c>
      <c r="E59" s="101"/>
      <c r="F59" s="95">
        <v>8.7999999999999995E-2</v>
      </c>
      <c r="G59" s="102">
        <v>50350</v>
      </c>
      <c r="H59" s="90">
        <f>G59*F59</f>
        <v>4430.8</v>
      </c>
      <c r="I59" s="103"/>
      <c r="J59" s="89">
        <v>8.7999999999999995E-2</v>
      </c>
      <c r="K59" s="102">
        <f>G59</f>
        <v>50350</v>
      </c>
      <c r="L59" s="90">
        <f>K59*J59</f>
        <v>4430.8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5594.2079678500004</v>
      </c>
      <c r="I61" s="120"/>
      <c r="J61" s="121"/>
      <c r="K61" s="121"/>
      <c r="L61" s="119">
        <f>SUM(L51:L57,L50)</f>
        <v>5592.2755949820003</v>
      </c>
      <c r="M61" s="122"/>
      <c r="N61" s="123">
        <f>L61-H61</f>
        <v>-1.9323728680001295</v>
      </c>
      <c r="O61" s="124">
        <f>IF((H61)=0,"",(N61/H61))</f>
        <v>-3.454238525105799E-4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727.24703582050006</v>
      </c>
      <c r="I62" s="129"/>
      <c r="J62" s="130">
        <v>0.13</v>
      </c>
      <c r="K62" s="129"/>
      <c r="L62" s="131">
        <f>L61*J62</f>
        <v>726.99582734766011</v>
      </c>
      <c r="M62" s="132"/>
      <c r="N62" s="133">
        <f t="shared" si="2"/>
        <v>-0.25120847283994863</v>
      </c>
      <c r="O62" s="134">
        <f t="shared" si="8"/>
        <v>-3.4542385251048612E-4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6321.4550036705004</v>
      </c>
      <c r="I63" s="129"/>
      <c r="J63" s="129"/>
      <c r="K63" s="129"/>
      <c r="L63" s="131">
        <f>L61+L62</f>
        <v>6319.2714223296607</v>
      </c>
      <c r="M63" s="132"/>
      <c r="N63" s="133">
        <f t="shared" si="2"/>
        <v>-2.1835813408397371</v>
      </c>
      <c r="O63" s="134">
        <f t="shared" si="8"/>
        <v>-3.4542385251051517E-4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v>0</v>
      </c>
      <c r="I64" s="129"/>
      <c r="J64" s="129"/>
      <c r="K64" s="129"/>
      <c r="L64" s="139"/>
      <c r="M64" s="132"/>
      <c r="N64" s="140">
        <f t="shared" si="2"/>
        <v>0</v>
      </c>
      <c r="O64" s="141" t="str">
        <f t="shared" si="8"/>
        <v/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6321.4550036705004</v>
      </c>
      <c r="I65" s="147"/>
      <c r="J65" s="147"/>
      <c r="K65" s="147"/>
      <c r="L65" s="148">
        <f>L63+L64</f>
        <v>6319.2714223296607</v>
      </c>
      <c r="M65" s="149"/>
      <c r="N65" s="150">
        <f t="shared" si="2"/>
        <v>-2.1835813408397371</v>
      </c>
      <c r="O65" s="151">
        <f t="shared" si="8"/>
        <v>-3.4542385251051517E-4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5792.9459678499998</v>
      </c>
      <c r="I67" s="163"/>
      <c r="J67" s="164"/>
      <c r="K67" s="164"/>
      <c r="L67" s="162">
        <f>SUM(L58:L59,L50,L51:L54)</f>
        <v>5791.0135949819996</v>
      </c>
      <c r="M67" s="165"/>
      <c r="N67" s="166">
        <f>L67-H67</f>
        <v>-1.9323728680001295</v>
      </c>
      <c r="O67" s="124">
        <f>IF((H67)=0,"",(N67/H67))</f>
        <v>-3.3357343201965208E-4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753.0829758205</v>
      </c>
      <c r="I68" s="170"/>
      <c r="J68" s="171">
        <v>0.13</v>
      </c>
      <c r="K68" s="172"/>
      <c r="L68" s="173">
        <f>L67*J68</f>
        <v>752.83176734765993</v>
      </c>
      <c r="M68" s="174"/>
      <c r="N68" s="175">
        <f>L68-H68</f>
        <v>-0.25120847284006231</v>
      </c>
      <c r="O68" s="134">
        <f>IF((H68)=0,"",(N68/H68))</f>
        <v>-3.3357343201971247E-4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6546.0289436704998</v>
      </c>
      <c r="I69" s="170"/>
      <c r="J69" s="170"/>
      <c r="K69" s="170"/>
      <c r="L69" s="173">
        <f>L67+L68</f>
        <v>6543.8453623296591</v>
      </c>
      <c r="M69" s="174"/>
      <c r="N69" s="175">
        <f>L69-H69</f>
        <v>-2.1835813408406466</v>
      </c>
      <c r="O69" s="134">
        <f>IF((H69)=0,"",(N69/H69))</f>
        <v>-3.3357343201972852E-4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v>0</v>
      </c>
      <c r="I70" s="170"/>
      <c r="J70" s="170"/>
      <c r="K70" s="170"/>
      <c r="L70" s="181"/>
      <c r="M70" s="174"/>
      <c r="N70" s="182">
        <f>L70-H70</f>
        <v>0</v>
      </c>
      <c r="O70" s="141" t="str">
        <f>IF((H70)=0,"",(N70/H70))</f>
        <v/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6546.0289436704998</v>
      </c>
      <c r="I71" s="188"/>
      <c r="J71" s="188"/>
      <c r="K71" s="188"/>
      <c r="L71" s="189">
        <f>SUM(L69:L70)</f>
        <v>6543.8453623296591</v>
      </c>
      <c r="M71" s="190"/>
      <c r="N71" s="191">
        <f>L71-H71</f>
        <v>-2.1835813408406466</v>
      </c>
      <c r="O71" s="192">
        <f>IF((H71)=0,"",(N71/H71))</f>
        <v>-3.3357343201972852E-4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3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5000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10883.89</v>
      </c>
      <c r="G23" s="42">
        <v>1</v>
      </c>
      <c r="H23" s="43">
        <f>G23*F23</f>
        <v>10883.89</v>
      </c>
      <c r="I23" s="44"/>
      <c r="J23" s="45">
        <v>11900.62</v>
      </c>
      <c r="K23" s="46">
        <v>1</v>
      </c>
      <c r="L23" s="43">
        <f>K23*J23</f>
        <v>11900.62</v>
      </c>
      <c r="M23" s="44"/>
      <c r="N23" s="47">
        <f>L23-H23</f>
        <v>1016.7300000000014</v>
      </c>
      <c r="O23" s="48">
        <f>IF((H23)=0,"",(N23/H23))</f>
        <v>9.3416048857531769E-2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712.23</v>
      </c>
      <c r="G25" s="42">
        <v>1</v>
      </c>
      <c r="H25" s="43">
        <f t="shared" si="0"/>
        <v>712.23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-712.23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80</v>
      </c>
      <c r="E29" s="40"/>
      <c r="F29" s="41">
        <v>1.01</v>
      </c>
      <c r="G29" s="42">
        <f t="shared" ref="G29:G38" si="4">$F$18</f>
        <v>5000</v>
      </c>
      <c r="H29" s="43">
        <f t="shared" si="0"/>
        <v>5050</v>
      </c>
      <c r="I29" s="44"/>
      <c r="J29" s="45">
        <v>1.0482</v>
      </c>
      <c r="K29" s="42">
        <f>$F$18</f>
        <v>5000</v>
      </c>
      <c r="L29" s="43">
        <f t="shared" si="1"/>
        <v>5241</v>
      </c>
      <c r="M29" s="44"/>
      <c r="N29" s="47">
        <f t="shared" si="2"/>
        <v>191</v>
      </c>
      <c r="O29" s="48">
        <f t="shared" si="3"/>
        <v>3.7821782178217821E-2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5000</v>
      </c>
      <c r="H30" s="43">
        <f t="shared" si="0"/>
        <v>0</v>
      </c>
      <c r="I30" s="44"/>
      <c r="J30" s="45"/>
      <c r="K30" s="42">
        <f t="shared" ref="K30:K38" si="5">$F$18</f>
        <v>5000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5000</v>
      </c>
      <c r="H31" s="43">
        <f t="shared" si="0"/>
        <v>0</v>
      </c>
      <c r="I31" s="44"/>
      <c r="J31" s="45"/>
      <c r="K31" s="42">
        <f t="shared" si="5"/>
        <v>5000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80</v>
      </c>
      <c r="E32" s="40"/>
      <c r="F32" s="41">
        <v>6.6100000000000006E-2</v>
      </c>
      <c r="G32" s="42">
        <f t="shared" si="4"/>
        <v>5000</v>
      </c>
      <c r="H32" s="43">
        <f>G32*F32</f>
        <v>330.50000000000006</v>
      </c>
      <c r="I32" s="44"/>
      <c r="J32" s="45">
        <v>0.35389999999999999</v>
      </c>
      <c r="K32" s="42">
        <f t="shared" si="5"/>
        <v>5000</v>
      </c>
      <c r="L32" s="43">
        <f>K32*J32</f>
        <v>1769.5</v>
      </c>
      <c r="M32" s="44"/>
      <c r="N32" s="47">
        <f>L32-H32</f>
        <v>1439</v>
      </c>
      <c r="O32" s="48">
        <f>IF((H32)=0,"",(N32/H32))</f>
        <v>4.3540090771558235</v>
      </c>
    </row>
    <row r="33" spans="2:15">
      <c r="B33" s="52" t="s">
        <v>35</v>
      </c>
      <c r="C33" s="38"/>
      <c r="D33" s="39" t="s">
        <v>80</v>
      </c>
      <c r="E33" s="40"/>
      <c r="F33" s="41">
        <v>-3.4200000000000001E-2</v>
      </c>
      <c r="G33" s="42">
        <f t="shared" si="4"/>
        <v>5000</v>
      </c>
      <c r="H33" s="43">
        <f>G33*F33</f>
        <v>-171</v>
      </c>
      <c r="I33" s="44"/>
      <c r="J33" s="45"/>
      <c r="K33" s="42">
        <f t="shared" si="5"/>
        <v>5000</v>
      </c>
      <c r="L33" s="43">
        <f>K33*J33</f>
        <v>0</v>
      </c>
      <c r="M33" s="44"/>
      <c r="N33" s="47">
        <f>L33-H33</f>
        <v>171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5000</v>
      </c>
      <c r="H34" s="43">
        <f>G34*F34</f>
        <v>0</v>
      </c>
      <c r="I34" s="44"/>
      <c r="J34" s="45"/>
      <c r="K34" s="42">
        <f t="shared" si="5"/>
        <v>5000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5000</v>
      </c>
      <c r="H35" s="43">
        <f t="shared" si="0"/>
        <v>0</v>
      </c>
      <c r="I35" s="44"/>
      <c r="J35" s="45"/>
      <c r="K35" s="42">
        <f t="shared" si="5"/>
        <v>5000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5000</v>
      </c>
      <c r="H36" s="43">
        <f t="shared" si="0"/>
        <v>0</v>
      </c>
      <c r="I36" s="44"/>
      <c r="J36" s="45"/>
      <c r="K36" s="42">
        <f t="shared" si="5"/>
        <v>5000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5000</v>
      </c>
      <c r="H37" s="43">
        <f t="shared" si="0"/>
        <v>0</v>
      </c>
      <c r="I37" s="44"/>
      <c r="J37" s="45"/>
      <c r="K37" s="42">
        <f t="shared" si="5"/>
        <v>5000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5000</v>
      </c>
      <c r="H38" s="43">
        <f t="shared" si="0"/>
        <v>0</v>
      </c>
      <c r="I38" s="44"/>
      <c r="J38" s="45"/>
      <c r="K38" s="42">
        <f t="shared" si="5"/>
        <v>5000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16805.62</v>
      </c>
      <c r="I39" s="60"/>
      <c r="J39" s="61"/>
      <c r="K39" s="62"/>
      <c r="L39" s="59">
        <f>SUM(L23:L38)</f>
        <v>18911.120000000003</v>
      </c>
      <c r="M39" s="60"/>
      <c r="N39" s="63">
        <f t="shared" si="2"/>
        <v>2105.5000000000036</v>
      </c>
      <c r="O39" s="64">
        <f t="shared" si="3"/>
        <v>0.12528546997968559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5000</v>
      </c>
      <c r="H40" s="43">
        <f t="shared" ref="H40:H46" si="6">G40*F40</f>
        <v>0</v>
      </c>
      <c r="I40" s="44"/>
      <c r="J40" s="45">
        <v>-0.85850000000000004</v>
      </c>
      <c r="K40" s="42">
        <f>$F$18</f>
        <v>5000</v>
      </c>
      <c r="L40" s="43">
        <f t="shared" ref="L40:L46" si="7">K40*J40</f>
        <v>-4292.5</v>
      </c>
      <c r="M40" s="44"/>
      <c r="N40" s="47">
        <f t="shared" si="2"/>
        <v>-4292.5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5000</v>
      </c>
      <c r="H41" s="43">
        <f t="shared" si="6"/>
        <v>0</v>
      </c>
      <c r="I41" s="67"/>
      <c r="J41" s="45">
        <v>-0.93110000000000004</v>
      </c>
      <c r="K41" s="42">
        <f>$F$18</f>
        <v>5000</v>
      </c>
      <c r="L41" s="43">
        <f t="shared" si="7"/>
        <v>-4655.5</v>
      </c>
      <c r="M41" s="68"/>
      <c r="N41" s="47">
        <f t="shared" si="2"/>
        <v>-4655.5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80</v>
      </c>
      <c r="E42" s="40"/>
      <c r="F42" s="41"/>
      <c r="G42" s="42">
        <f>$F$18</f>
        <v>5000</v>
      </c>
      <c r="H42" s="43">
        <f t="shared" si="6"/>
        <v>0</v>
      </c>
      <c r="I42" s="67"/>
      <c r="J42" s="45">
        <v>1.6734</v>
      </c>
      <c r="K42" s="42">
        <f>$F$18</f>
        <v>5000</v>
      </c>
      <c r="L42" s="43">
        <f t="shared" si="7"/>
        <v>8367</v>
      </c>
      <c r="M42" s="68"/>
      <c r="N42" s="47">
        <f t="shared" si="2"/>
        <v>8367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5000</v>
      </c>
      <c r="H43" s="43">
        <f t="shared" si="6"/>
        <v>0</v>
      </c>
      <c r="I43" s="67"/>
      <c r="J43" s="45"/>
      <c r="K43" s="42">
        <f>$F$18</f>
        <v>5000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80</v>
      </c>
      <c r="E44" s="40"/>
      <c r="F44" s="41">
        <v>8.0100000000000005E-2</v>
      </c>
      <c r="G44" s="42">
        <f>$F$18</f>
        <v>5000</v>
      </c>
      <c r="H44" s="43">
        <f t="shared" si="6"/>
        <v>400.5</v>
      </c>
      <c r="I44" s="44"/>
      <c r="J44" s="45">
        <v>0.1578</v>
      </c>
      <c r="K44" s="42">
        <f>$F$18</f>
        <v>5000</v>
      </c>
      <c r="L44" s="43">
        <f t="shared" si="7"/>
        <v>789</v>
      </c>
      <c r="M44" s="44"/>
      <c r="N44" s="47">
        <f t="shared" si="2"/>
        <v>388.5</v>
      </c>
      <c r="O44" s="48">
        <f t="shared" si="3"/>
        <v>0.97003745318352064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202">
        <f>$F$18*(1+$F$74)-$F$18</f>
        <v>50.375</v>
      </c>
      <c r="H45" s="43">
        <f t="shared" si="6"/>
        <v>4.4329999999999998</v>
      </c>
      <c r="I45" s="44"/>
      <c r="J45" s="72">
        <f>0.64*$F$55+0.18*$F$56+0.18*$F$57</f>
        <v>8.3919999999999995E-2</v>
      </c>
      <c r="K45" s="202">
        <f>$F$18*(1+$J$74)-$F$18</f>
        <v>50.375</v>
      </c>
      <c r="L45" s="43">
        <f t="shared" si="7"/>
        <v>4.2274699999999994</v>
      </c>
      <c r="M45" s="44"/>
      <c r="N45" s="47">
        <f t="shared" si="2"/>
        <v>-0.20553000000000043</v>
      </c>
      <c r="O45" s="48">
        <f t="shared" si="3"/>
        <v>-4.6363636363636461E-2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17210.553</v>
      </c>
      <c r="I47" s="60"/>
      <c r="J47" s="76"/>
      <c r="K47" s="78"/>
      <c r="L47" s="77">
        <f>SUM(L40:L46)+L39</f>
        <v>19123.347470000004</v>
      </c>
      <c r="M47" s="60"/>
      <c r="N47" s="63">
        <f t="shared" si="2"/>
        <v>1912.7944700000044</v>
      </c>
      <c r="O47" s="64">
        <f t="shared" ref="O47:O65" si="8">IF((H47)=0,"",(N47/H47))</f>
        <v>0.11114079076947757</v>
      </c>
    </row>
    <row r="48" spans="2:15">
      <c r="B48" s="44" t="s">
        <v>44</v>
      </c>
      <c r="C48" s="44"/>
      <c r="D48" s="79" t="s">
        <v>80</v>
      </c>
      <c r="E48" s="80"/>
      <c r="F48" s="45">
        <v>3.0737999999999999</v>
      </c>
      <c r="G48" s="81">
        <v>5000</v>
      </c>
      <c r="H48" s="43">
        <f>G48*F48</f>
        <v>15369</v>
      </c>
      <c r="I48" s="44"/>
      <c r="J48" s="45">
        <v>3.1225999999999998</v>
      </c>
      <c r="K48" s="82">
        <f>+G48</f>
        <v>5000</v>
      </c>
      <c r="L48" s="43">
        <f>K48*J48</f>
        <v>15613</v>
      </c>
      <c r="M48" s="44"/>
      <c r="N48" s="47">
        <f t="shared" si="2"/>
        <v>244</v>
      </c>
      <c r="O48" s="48">
        <f t="shared" si="8"/>
        <v>1.5876114255969808E-2</v>
      </c>
    </row>
    <row r="49" spans="2:19" ht="30">
      <c r="B49" s="83" t="s">
        <v>45</v>
      </c>
      <c r="C49" s="44"/>
      <c r="D49" s="79" t="s">
        <v>80</v>
      </c>
      <c r="E49" s="80"/>
      <c r="F49" s="45">
        <v>2.3422000000000001</v>
      </c>
      <c r="G49" s="81">
        <f>G48</f>
        <v>5000</v>
      </c>
      <c r="H49" s="43">
        <f>G49*F49</f>
        <v>11711</v>
      </c>
      <c r="I49" s="44"/>
      <c r="J49" s="45">
        <v>2.0552000000000001</v>
      </c>
      <c r="K49" s="82">
        <f>K48</f>
        <v>5000</v>
      </c>
      <c r="L49" s="43">
        <f>K49*J49</f>
        <v>10276</v>
      </c>
      <c r="M49" s="44"/>
      <c r="N49" s="47">
        <f t="shared" si="2"/>
        <v>-1435</v>
      </c>
      <c r="O49" s="48">
        <f t="shared" si="8"/>
        <v>-0.12253436939629408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44290.553</v>
      </c>
      <c r="I50" s="85"/>
      <c r="J50" s="86"/>
      <c r="K50" s="87"/>
      <c r="L50" s="77">
        <f>SUM(L47:L49)</f>
        <v>45012.347470000008</v>
      </c>
      <c r="M50" s="85"/>
      <c r="N50" s="63">
        <f t="shared" si="2"/>
        <v>721.794470000008</v>
      </c>
      <c r="O50" s="64">
        <f t="shared" si="8"/>
        <v>1.6296804196597139E-2</v>
      </c>
    </row>
    <row r="51" spans="2:19" ht="30">
      <c r="B51" s="88" t="s">
        <v>47</v>
      </c>
      <c r="C51" s="38"/>
      <c r="D51" s="39" t="s">
        <v>80</v>
      </c>
      <c r="E51" s="40"/>
      <c r="F51" s="89">
        <v>4.4000000000000003E-3</v>
      </c>
      <c r="G51" s="81">
        <v>2555000</v>
      </c>
      <c r="H51" s="90">
        <f t="shared" ref="H51:H57" si="9">G51*F51</f>
        <v>11242</v>
      </c>
      <c r="I51" s="44"/>
      <c r="J51" s="91">
        <v>4.4000000000000003E-3</v>
      </c>
      <c r="K51" s="82">
        <f>+G51</f>
        <v>2555000</v>
      </c>
      <c r="L51" s="90">
        <f t="shared" ref="L51:L57" si="10">K51*J51</f>
        <v>11242</v>
      </c>
      <c r="M51" s="44"/>
      <c r="N51" s="47">
        <f t="shared" si="2"/>
        <v>0</v>
      </c>
      <c r="O51" s="92">
        <f t="shared" si="8"/>
        <v>0</v>
      </c>
    </row>
    <row r="52" spans="2:19" ht="30">
      <c r="B52" s="88" t="s">
        <v>48</v>
      </c>
      <c r="C52" s="38"/>
      <c r="D52" s="39" t="s">
        <v>80</v>
      </c>
      <c r="E52" s="40"/>
      <c r="F52" s="89">
        <v>1.2999999999999999E-3</v>
      </c>
      <c r="G52" s="81">
        <f>+G51</f>
        <v>2555000</v>
      </c>
      <c r="H52" s="90">
        <f t="shared" si="9"/>
        <v>3321.5</v>
      </c>
      <c r="I52" s="44"/>
      <c r="J52" s="91">
        <v>1.2999999999999999E-3</v>
      </c>
      <c r="K52" s="82">
        <f>+G52</f>
        <v>2555000</v>
      </c>
      <c r="L52" s="90">
        <f t="shared" si="10"/>
        <v>3321.5</v>
      </c>
      <c r="M52" s="44"/>
      <c r="N52" s="47">
        <f t="shared" si="2"/>
        <v>0</v>
      </c>
      <c r="O52" s="92">
        <f t="shared" si="8"/>
        <v>0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f>+G52/1.0075</f>
        <v>2535980.1488833744</v>
      </c>
      <c r="H54" s="90">
        <f t="shared" si="9"/>
        <v>17751.86104218362</v>
      </c>
      <c r="I54" s="44"/>
      <c r="J54" s="91">
        <v>7.0000000000000001E-3</v>
      </c>
      <c r="K54" s="94">
        <f>+K52/1.0075</f>
        <v>2535980.1488833744</v>
      </c>
      <c r="L54" s="90">
        <f t="shared" si="10"/>
        <v>17751.86104218362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80</v>
      </c>
      <c r="E55" s="40"/>
      <c r="F55" s="95">
        <v>6.7000000000000004E-2</v>
      </c>
      <c r="G55" s="96">
        <f>0.64*$G$52</f>
        <v>1635200</v>
      </c>
      <c r="H55" s="90">
        <f t="shared" si="9"/>
        <v>109558.40000000001</v>
      </c>
      <c r="I55" s="44"/>
      <c r="J55" s="89">
        <v>6.7000000000000004E-2</v>
      </c>
      <c r="K55" s="96">
        <f>G55</f>
        <v>1635200</v>
      </c>
      <c r="L55" s="90">
        <f t="shared" si="10"/>
        <v>109558.40000000001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80</v>
      </c>
      <c r="E56" s="40"/>
      <c r="F56" s="95">
        <v>0.104</v>
      </c>
      <c r="G56" s="96">
        <f>0.18*$G$52</f>
        <v>459900</v>
      </c>
      <c r="H56" s="90">
        <f t="shared" si="9"/>
        <v>47829.599999999999</v>
      </c>
      <c r="I56" s="44"/>
      <c r="J56" s="89">
        <v>0.104</v>
      </c>
      <c r="K56" s="96">
        <f>G56</f>
        <v>459900</v>
      </c>
      <c r="L56" s="90">
        <f t="shared" si="10"/>
        <v>47829.599999999999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80</v>
      </c>
      <c r="E57" s="40"/>
      <c r="F57" s="95">
        <v>0.124</v>
      </c>
      <c r="G57" s="96">
        <f>0.18*$G$52</f>
        <v>459900</v>
      </c>
      <c r="H57" s="90">
        <f t="shared" si="9"/>
        <v>57027.6</v>
      </c>
      <c r="I57" s="44"/>
      <c r="J57" s="89">
        <v>0.124</v>
      </c>
      <c r="K57" s="96">
        <f>G57</f>
        <v>459900</v>
      </c>
      <c r="L57" s="90">
        <f t="shared" si="10"/>
        <v>57027.6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80</v>
      </c>
      <c r="E58" s="101"/>
      <c r="F58" s="95">
        <v>7.4999999999999997E-2</v>
      </c>
      <c r="G58" s="102">
        <v>750</v>
      </c>
      <c r="H58" s="90">
        <f>G58*F58</f>
        <v>56.25</v>
      </c>
      <c r="I58" s="103"/>
      <c r="J58" s="89">
        <v>7.4999999999999997E-2</v>
      </c>
      <c r="K58" s="102">
        <f>G58</f>
        <v>750</v>
      </c>
      <c r="L58" s="90">
        <f>K58*J58</f>
        <v>56.25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80</v>
      </c>
      <c r="E59" s="101"/>
      <c r="F59" s="95">
        <v>8.7999999999999995E-2</v>
      </c>
      <c r="G59" s="102">
        <f>+G54-G58</f>
        <v>2535230.1488833744</v>
      </c>
      <c r="H59" s="90">
        <f>G59*F59</f>
        <v>223100.25310173695</v>
      </c>
      <c r="I59" s="103"/>
      <c r="J59" s="89">
        <v>8.7999999999999995E-2</v>
      </c>
      <c r="K59" s="102">
        <f>G59</f>
        <v>2535230.1488833744</v>
      </c>
      <c r="L59" s="90">
        <f>K59*J59</f>
        <v>223100.25310173695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291021.76404218364</v>
      </c>
      <c r="I61" s="120"/>
      <c r="J61" s="121"/>
      <c r="K61" s="121"/>
      <c r="L61" s="119">
        <f>SUM(L51:L57,L50)</f>
        <v>291743.5585121836</v>
      </c>
      <c r="M61" s="122"/>
      <c r="N61" s="123">
        <f>L61-H61</f>
        <v>721.79446999996435</v>
      </c>
      <c r="O61" s="124">
        <f>IF((H61)=0,"",(N61/H61))</f>
        <v>2.4802078716536819E-3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37832.829325483872</v>
      </c>
      <c r="I62" s="129"/>
      <c r="J62" s="130">
        <v>0.13</v>
      </c>
      <c r="K62" s="129"/>
      <c r="L62" s="131">
        <f>L61*J62</f>
        <v>37926.662606583872</v>
      </c>
      <c r="M62" s="132"/>
      <c r="N62" s="133">
        <f t="shared" si="2"/>
        <v>93.833281100000022</v>
      </c>
      <c r="O62" s="134">
        <f t="shared" si="8"/>
        <v>2.4802078716538055E-3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328854.59336766752</v>
      </c>
      <c r="I63" s="129"/>
      <c r="J63" s="129"/>
      <c r="K63" s="129"/>
      <c r="L63" s="131">
        <f>L61+L62</f>
        <v>329670.22111876745</v>
      </c>
      <c r="M63" s="132"/>
      <c r="N63" s="133">
        <f t="shared" si="2"/>
        <v>815.62775109993527</v>
      </c>
      <c r="O63" s="134">
        <f t="shared" si="8"/>
        <v>2.4802078716536077E-3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v>0</v>
      </c>
      <c r="I64" s="129"/>
      <c r="J64" s="129"/>
      <c r="K64" s="129"/>
      <c r="L64" s="139">
        <v>0</v>
      </c>
      <c r="M64" s="132"/>
      <c r="N64" s="140">
        <f t="shared" si="2"/>
        <v>0</v>
      </c>
      <c r="O64" s="141" t="str">
        <f t="shared" si="8"/>
        <v/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328854.59336766752</v>
      </c>
      <c r="I65" s="147"/>
      <c r="J65" s="147"/>
      <c r="K65" s="147"/>
      <c r="L65" s="148">
        <f>L63+L64</f>
        <v>329670.22111876745</v>
      </c>
      <c r="M65" s="149"/>
      <c r="N65" s="150">
        <f t="shared" si="2"/>
        <v>815.62775109993527</v>
      </c>
      <c r="O65" s="151">
        <f t="shared" si="8"/>
        <v>2.4802078716536077E-3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299762.66714392055</v>
      </c>
      <c r="I67" s="163"/>
      <c r="J67" s="164"/>
      <c r="K67" s="164"/>
      <c r="L67" s="162">
        <f>SUM(L58:L59,L50,L51:L54)</f>
        <v>300484.46161392052</v>
      </c>
      <c r="M67" s="165"/>
      <c r="N67" s="166">
        <f>L67-H67</f>
        <v>721.79446999996435</v>
      </c>
      <c r="O67" s="124">
        <f>IF((H67)=0,"",(N67/H67))</f>
        <v>2.4078864685755548E-3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38969.146728709675</v>
      </c>
      <c r="I68" s="170"/>
      <c r="J68" s="171">
        <v>0.13</v>
      </c>
      <c r="K68" s="172"/>
      <c r="L68" s="173">
        <f>L67*J68</f>
        <v>39062.980009809668</v>
      </c>
      <c r="M68" s="174"/>
      <c r="N68" s="175">
        <f>L68-H68</f>
        <v>93.833281099992746</v>
      </c>
      <c r="O68" s="134">
        <f>IF((H68)=0,"",(N68/H68))</f>
        <v>2.4078864685754876E-3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338731.81387263024</v>
      </c>
      <c r="I69" s="170"/>
      <c r="J69" s="170"/>
      <c r="K69" s="170"/>
      <c r="L69" s="173">
        <f>L67+L68</f>
        <v>339547.44162373018</v>
      </c>
      <c r="M69" s="174"/>
      <c r="N69" s="175">
        <f>L69-H69</f>
        <v>815.62775109993527</v>
      </c>
      <c r="O69" s="134">
        <f>IF((H69)=0,"",(N69/H69))</f>
        <v>2.4078864685754824E-3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v>0</v>
      </c>
      <c r="I70" s="170"/>
      <c r="J70" s="170"/>
      <c r="K70" s="170"/>
      <c r="L70" s="181">
        <v>0</v>
      </c>
      <c r="M70" s="174"/>
      <c r="N70" s="182">
        <f>L70-H70</f>
        <v>0</v>
      </c>
      <c r="O70" s="141" t="str">
        <f>IF((H70)=0,"",(N70/H70))</f>
        <v/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338731.81387263024</v>
      </c>
      <c r="I71" s="188"/>
      <c r="J71" s="188"/>
      <c r="K71" s="188"/>
      <c r="L71" s="189">
        <f>SUM(L69:L70)</f>
        <v>339547.44162373018</v>
      </c>
      <c r="M71" s="190"/>
      <c r="N71" s="191">
        <f>L71-H71</f>
        <v>815.62775109993527</v>
      </c>
      <c r="O71" s="192">
        <f>IF((H71)=0,"",(N71/H71))</f>
        <v>2.4078864685754824E-3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1.0075000000000001E-2</v>
      </c>
      <c r="J74" s="199">
        <v>1.0075000000000001E-2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41788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340</v>
      </c>
      <c r="G18" s="20" t="s">
        <v>13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13.04</v>
      </c>
      <c r="G23" s="42">
        <v>1</v>
      </c>
      <c r="H23" s="43">
        <f>G23*F23</f>
        <v>13.04</v>
      </c>
      <c r="I23" s="44"/>
      <c r="J23" s="45">
        <v>8.17</v>
      </c>
      <c r="K23" s="46">
        <v>1</v>
      </c>
      <c r="L23" s="43">
        <f>K23*J23</f>
        <v>8.17</v>
      </c>
      <c r="M23" s="44"/>
      <c r="N23" s="47">
        <f>L23-H23</f>
        <v>-4.8699999999999992</v>
      </c>
      <c r="O23" s="48">
        <f>IF((H23)=0,"",(N23/H23))</f>
        <v>-0.37346625766871161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0.85</v>
      </c>
      <c r="G25" s="42">
        <v>1</v>
      </c>
      <c r="H25" s="43">
        <f t="shared" si="0"/>
        <v>0.85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-0.85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31</v>
      </c>
      <c r="E29" s="40"/>
      <c r="F29" s="41">
        <v>1.29E-2</v>
      </c>
      <c r="G29" s="42">
        <f t="shared" ref="G29:G38" si="4">$F$18</f>
        <v>340</v>
      </c>
      <c r="H29" s="43">
        <f t="shared" si="0"/>
        <v>4.3860000000000001</v>
      </c>
      <c r="I29" s="44"/>
      <c r="J29" s="45">
        <v>8.0999999999999996E-3</v>
      </c>
      <c r="K29" s="42">
        <f>$F$18</f>
        <v>340</v>
      </c>
      <c r="L29" s="43">
        <f t="shared" si="1"/>
        <v>2.754</v>
      </c>
      <c r="M29" s="44"/>
      <c r="N29" s="47">
        <f t="shared" si="2"/>
        <v>-1.6320000000000001</v>
      </c>
      <c r="O29" s="48">
        <f t="shared" si="3"/>
        <v>-0.37209302325581395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340</v>
      </c>
      <c r="H30" s="43">
        <f t="shared" si="0"/>
        <v>0</v>
      </c>
      <c r="I30" s="44"/>
      <c r="J30" s="45"/>
      <c r="K30" s="42">
        <f t="shared" ref="K30:K38" si="5">$F$18</f>
        <v>340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340</v>
      </c>
      <c r="H31" s="43">
        <f t="shared" si="0"/>
        <v>0</v>
      </c>
      <c r="I31" s="44"/>
      <c r="J31" s="45"/>
      <c r="K31" s="42">
        <f t="shared" si="5"/>
        <v>340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31</v>
      </c>
      <c r="E32" s="40"/>
      <c r="F32" s="41">
        <v>8.0000000000000004E-4</v>
      </c>
      <c r="G32" s="42">
        <f t="shared" si="4"/>
        <v>340</v>
      </c>
      <c r="H32" s="43">
        <f>G32*F32</f>
        <v>0.27200000000000002</v>
      </c>
      <c r="I32" s="44"/>
      <c r="J32" s="45">
        <v>5.0000000000000001E-4</v>
      </c>
      <c r="K32" s="42">
        <f t="shared" si="5"/>
        <v>340</v>
      </c>
      <c r="L32" s="43">
        <f>K32*J32</f>
        <v>0.17</v>
      </c>
      <c r="M32" s="44"/>
      <c r="N32" s="47">
        <f>L32-H32</f>
        <v>-0.10200000000000001</v>
      </c>
      <c r="O32" s="48">
        <f>IF((H32)=0,"",(N32/H32))</f>
        <v>-0.375</v>
      </c>
    </row>
    <row r="33" spans="2:15">
      <c r="B33" s="52" t="s">
        <v>35</v>
      </c>
      <c r="C33" s="38"/>
      <c r="D33" s="39" t="s">
        <v>31</v>
      </c>
      <c r="E33" s="40"/>
      <c r="F33" s="41">
        <v>-5.9999999999999995E-4</v>
      </c>
      <c r="G33" s="42">
        <f t="shared" si="4"/>
        <v>340</v>
      </c>
      <c r="H33" s="43">
        <f>G33*F33</f>
        <v>-0.20399999999999999</v>
      </c>
      <c r="I33" s="44"/>
      <c r="J33" s="45"/>
      <c r="K33" s="42">
        <f t="shared" si="5"/>
        <v>340</v>
      </c>
      <c r="L33" s="43">
        <f>K33*J33</f>
        <v>0</v>
      </c>
      <c r="M33" s="44"/>
      <c r="N33" s="47">
        <f>L33-H33</f>
        <v>0.20399999999999999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340</v>
      </c>
      <c r="H34" s="43">
        <f>G34*F34</f>
        <v>0</v>
      </c>
      <c r="I34" s="44"/>
      <c r="J34" s="45"/>
      <c r="K34" s="42">
        <f t="shared" si="5"/>
        <v>340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340</v>
      </c>
      <c r="H35" s="43">
        <f t="shared" si="0"/>
        <v>0</v>
      </c>
      <c r="I35" s="44"/>
      <c r="J35" s="45"/>
      <c r="K35" s="42">
        <f t="shared" si="5"/>
        <v>340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340</v>
      </c>
      <c r="H36" s="43">
        <f t="shared" si="0"/>
        <v>0</v>
      </c>
      <c r="I36" s="44"/>
      <c r="J36" s="45"/>
      <c r="K36" s="42">
        <f t="shared" si="5"/>
        <v>340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340</v>
      </c>
      <c r="H37" s="43">
        <f t="shared" si="0"/>
        <v>0</v>
      </c>
      <c r="I37" s="44"/>
      <c r="J37" s="45"/>
      <c r="K37" s="42">
        <f t="shared" si="5"/>
        <v>340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340</v>
      </c>
      <c r="H38" s="43">
        <f t="shared" si="0"/>
        <v>0</v>
      </c>
      <c r="I38" s="44"/>
      <c r="J38" s="45"/>
      <c r="K38" s="42">
        <f t="shared" si="5"/>
        <v>340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18.343999999999998</v>
      </c>
      <c r="I39" s="60"/>
      <c r="J39" s="61"/>
      <c r="K39" s="62"/>
      <c r="L39" s="59">
        <f>SUM(L23:L38)</f>
        <v>11.093999999999999</v>
      </c>
      <c r="M39" s="60"/>
      <c r="N39" s="63">
        <f t="shared" si="2"/>
        <v>-7.2499999999999982</v>
      </c>
      <c r="O39" s="64">
        <f t="shared" si="3"/>
        <v>-0.39522459659834275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340</v>
      </c>
      <c r="H40" s="43">
        <f t="shared" ref="H40:H46" si="6">G40*F40</f>
        <v>0</v>
      </c>
      <c r="I40" s="44"/>
      <c r="J40" s="45">
        <v>-3.0999999999999999E-3</v>
      </c>
      <c r="K40" s="42">
        <f>$F$18</f>
        <v>340</v>
      </c>
      <c r="L40" s="43">
        <f t="shared" ref="L40:L46" si="7">K40*J40</f>
        <v>-1.054</v>
      </c>
      <c r="M40" s="44"/>
      <c r="N40" s="47">
        <f t="shared" si="2"/>
        <v>-1.054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340</v>
      </c>
      <c r="H41" s="43">
        <f t="shared" si="6"/>
        <v>0</v>
      </c>
      <c r="I41" s="67"/>
      <c r="J41" s="45">
        <v>-1.4E-3</v>
      </c>
      <c r="K41" s="42">
        <f>$F$18</f>
        <v>340</v>
      </c>
      <c r="L41" s="43">
        <f t="shared" si="7"/>
        <v>-0.47599999999999998</v>
      </c>
      <c r="M41" s="68"/>
      <c r="N41" s="47">
        <f t="shared" si="2"/>
        <v>-0.47599999999999998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31</v>
      </c>
      <c r="E42" s="40"/>
      <c r="F42" s="41"/>
      <c r="G42" s="42">
        <f>$F$18</f>
        <v>340</v>
      </c>
      <c r="H42" s="43">
        <f t="shared" si="6"/>
        <v>0</v>
      </c>
      <c r="I42" s="67"/>
      <c r="J42" s="45">
        <v>0</v>
      </c>
      <c r="K42" s="42">
        <f>$F$18</f>
        <v>340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340</v>
      </c>
      <c r="H43" s="43">
        <f t="shared" si="6"/>
        <v>0</v>
      </c>
      <c r="I43" s="67"/>
      <c r="J43" s="45"/>
      <c r="K43" s="42">
        <f>$F$18</f>
        <v>340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31</v>
      </c>
      <c r="E44" s="40"/>
      <c r="F44" s="41">
        <v>2.0000000000000001E-4</v>
      </c>
      <c r="G44" s="42">
        <f>$F$18</f>
        <v>340</v>
      </c>
      <c r="H44" s="43">
        <f t="shared" si="6"/>
        <v>6.8000000000000005E-2</v>
      </c>
      <c r="I44" s="44"/>
      <c r="J44" s="45">
        <v>2.9999999999999997E-4</v>
      </c>
      <c r="K44" s="42">
        <f>$F$18</f>
        <v>340</v>
      </c>
      <c r="L44" s="43">
        <f t="shared" si="7"/>
        <v>0.10199999999999999</v>
      </c>
      <c r="M44" s="44"/>
      <c r="N44" s="47">
        <f t="shared" si="2"/>
        <v>3.3999999999999989E-2</v>
      </c>
      <c r="O44" s="48">
        <f t="shared" si="3"/>
        <v>0.49999999999999978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202">
        <f>$F$18*(1+$F$74)-$F$18</f>
        <v>3.504380000000026</v>
      </c>
      <c r="H45" s="43">
        <f t="shared" si="6"/>
        <v>0.29408756960000215</v>
      </c>
      <c r="I45" s="44"/>
      <c r="J45" s="72">
        <f>0.64*$F$55+0.18*$F$56+0.18*$F$57</f>
        <v>8.3919999999999995E-2</v>
      </c>
      <c r="K45" s="202">
        <f>$F$18*(1+$J$74)-$F$18</f>
        <v>3.4989400000000046</v>
      </c>
      <c r="L45" s="43">
        <f t="shared" si="7"/>
        <v>0.29363104480000035</v>
      </c>
      <c r="M45" s="44"/>
      <c r="N45" s="47">
        <f t="shared" si="2"/>
        <v>-4.5652480000180073E-4</v>
      </c>
      <c r="O45" s="48">
        <f t="shared" si="3"/>
        <v>-1.5523430678240995E-3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18.706087569600001</v>
      </c>
      <c r="I47" s="60"/>
      <c r="J47" s="76"/>
      <c r="K47" s="78"/>
      <c r="L47" s="77">
        <f>SUM(L40:L46)+L39</f>
        <v>9.9596310448000001</v>
      </c>
      <c r="M47" s="60"/>
      <c r="N47" s="63">
        <f t="shared" si="2"/>
        <v>-8.746456524800001</v>
      </c>
      <c r="O47" s="64">
        <f t="shared" ref="O47:O65" si="8">IF((H47)=0,"",(N47/H47))</f>
        <v>-0.46757273493224805</v>
      </c>
    </row>
    <row r="48" spans="2:15">
      <c r="B48" s="44" t="s">
        <v>44</v>
      </c>
      <c r="C48" s="44"/>
      <c r="D48" s="79" t="s">
        <v>31</v>
      </c>
      <c r="E48" s="80"/>
      <c r="F48" s="45">
        <v>6.1999999999999998E-3</v>
      </c>
      <c r="G48" s="81">
        <f>F18*(1+F74)</f>
        <v>343.50438000000003</v>
      </c>
      <c r="H48" s="43">
        <f>G48*F48</f>
        <v>2.129727156</v>
      </c>
      <c r="I48" s="44"/>
      <c r="J48" s="45">
        <v>6.3E-3</v>
      </c>
      <c r="K48" s="82">
        <f>F18*(1+J74)</f>
        <v>343.49894</v>
      </c>
      <c r="L48" s="43">
        <f>K48*J48</f>
        <v>2.1640433219999999</v>
      </c>
      <c r="M48" s="44"/>
      <c r="N48" s="47">
        <f t="shared" si="2"/>
        <v>3.4316165999999981E-2</v>
      </c>
      <c r="O48" s="48">
        <f t="shared" si="8"/>
        <v>1.6112940055876331E-2</v>
      </c>
    </row>
    <row r="49" spans="2:19" ht="30">
      <c r="B49" s="83" t="s">
        <v>45</v>
      </c>
      <c r="C49" s="44"/>
      <c r="D49" s="79" t="s">
        <v>31</v>
      </c>
      <c r="E49" s="80"/>
      <c r="F49" s="45">
        <v>4.7000000000000002E-3</v>
      </c>
      <c r="G49" s="81">
        <f>G48</f>
        <v>343.50438000000003</v>
      </c>
      <c r="H49" s="43">
        <f>G49*F49</f>
        <v>1.6144705860000002</v>
      </c>
      <c r="I49" s="44"/>
      <c r="J49" s="45">
        <v>4.1000000000000003E-3</v>
      </c>
      <c r="K49" s="82">
        <f>K48</f>
        <v>343.49894</v>
      </c>
      <c r="L49" s="43">
        <f>K49*J49</f>
        <v>1.4083456540000001</v>
      </c>
      <c r="M49" s="44"/>
      <c r="N49" s="47">
        <f t="shared" si="2"/>
        <v>-0.20612493200000004</v>
      </c>
      <c r="O49" s="48">
        <f t="shared" si="8"/>
        <v>-0.12767338952312138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22.450285311600002</v>
      </c>
      <c r="I50" s="85"/>
      <c r="J50" s="86"/>
      <c r="K50" s="87"/>
      <c r="L50" s="77">
        <f>SUM(L47:L49)</f>
        <v>13.532020020799999</v>
      </c>
      <c r="M50" s="85"/>
      <c r="N50" s="63">
        <f t="shared" si="2"/>
        <v>-8.9182652908000026</v>
      </c>
      <c r="O50" s="64">
        <f t="shared" si="8"/>
        <v>-0.39724507582057139</v>
      </c>
    </row>
    <row r="51" spans="2:19" ht="30">
      <c r="B51" s="88" t="s">
        <v>47</v>
      </c>
      <c r="C51" s="38"/>
      <c r="D51" s="39" t="s">
        <v>31</v>
      </c>
      <c r="E51" s="40"/>
      <c r="F51" s="89">
        <v>4.4000000000000003E-3</v>
      </c>
      <c r="G51" s="81">
        <f>G49</f>
        <v>343.50438000000003</v>
      </c>
      <c r="H51" s="90">
        <f t="shared" ref="H51:H57" si="9">G51*F51</f>
        <v>1.5114192720000001</v>
      </c>
      <c r="I51" s="44"/>
      <c r="J51" s="91">
        <v>4.4000000000000003E-3</v>
      </c>
      <c r="K51" s="82">
        <f>K49</f>
        <v>343.49894</v>
      </c>
      <c r="L51" s="90">
        <f t="shared" ref="L51:L57" si="10">K51*J51</f>
        <v>1.5113953360000001</v>
      </c>
      <c r="M51" s="44"/>
      <c r="N51" s="47">
        <f t="shared" si="2"/>
        <v>-2.3936000000057689E-5</v>
      </c>
      <c r="O51" s="92">
        <f t="shared" si="8"/>
        <v>-1.5836770407448986E-5</v>
      </c>
    </row>
    <row r="52" spans="2:19" ht="30">
      <c r="B52" s="88" t="s">
        <v>48</v>
      </c>
      <c r="C52" s="38"/>
      <c r="D52" s="39" t="s">
        <v>31</v>
      </c>
      <c r="E52" s="40"/>
      <c r="F52" s="89">
        <v>1.2999999999999999E-3</v>
      </c>
      <c r="G52" s="81">
        <f>G49</f>
        <v>343.50438000000003</v>
      </c>
      <c r="H52" s="90">
        <f t="shared" si="9"/>
        <v>0.446555694</v>
      </c>
      <c r="I52" s="44"/>
      <c r="J52" s="91">
        <v>1.2999999999999999E-3</v>
      </c>
      <c r="K52" s="82">
        <f>K49</f>
        <v>343.49894</v>
      </c>
      <c r="L52" s="90">
        <f t="shared" si="10"/>
        <v>0.44654862200000001</v>
      </c>
      <c r="M52" s="44"/>
      <c r="N52" s="47">
        <f t="shared" si="2"/>
        <v>-7.0719999999968586E-6</v>
      </c>
      <c r="O52" s="92">
        <f t="shared" si="8"/>
        <v>-1.5836770407403781E-5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f>F18</f>
        <v>340</v>
      </c>
      <c r="H54" s="90">
        <f t="shared" si="9"/>
        <v>2.38</v>
      </c>
      <c r="I54" s="44"/>
      <c r="J54" s="91">
        <v>7.0000000000000001E-3</v>
      </c>
      <c r="K54" s="94">
        <f>F18</f>
        <v>340</v>
      </c>
      <c r="L54" s="90">
        <f t="shared" si="10"/>
        <v>2.38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31</v>
      </c>
      <c r="E55" s="40"/>
      <c r="F55" s="95">
        <v>6.7000000000000004E-2</v>
      </c>
      <c r="G55" s="96">
        <f>0.64*$F$18</f>
        <v>217.6</v>
      </c>
      <c r="H55" s="90">
        <f t="shared" si="9"/>
        <v>14.5792</v>
      </c>
      <c r="I55" s="44"/>
      <c r="J55" s="89">
        <v>6.7000000000000004E-2</v>
      </c>
      <c r="K55" s="96">
        <f>G55</f>
        <v>217.6</v>
      </c>
      <c r="L55" s="90">
        <f t="shared" si="10"/>
        <v>14.5792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31</v>
      </c>
      <c r="E56" s="40"/>
      <c r="F56" s="95">
        <v>0.104</v>
      </c>
      <c r="G56" s="96">
        <f>0.18*$F$18</f>
        <v>61.199999999999996</v>
      </c>
      <c r="H56" s="90">
        <f t="shared" si="9"/>
        <v>6.3647999999999989</v>
      </c>
      <c r="I56" s="44"/>
      <c r="J56" s="89">
        <v>0.104</v>
      </c>
      <c r="K56" s="96">
        <f>G56</f>
        <v>61.199999999999996</v>
      </c>
      <c r="L56" s="90">
        <f t="shared" si="10"/>
        <v>6.3647999999999989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31</v>
      </c>
      <c r="E57" s="40"/>
      <c r="F57" s="95">
        <v>0.124</v>
      </c>
      <c r="G57" s="96">
        <f>0.18*$F$18</f>
        <v>61.199999999999996</v>
      </c>
      <c r="H57" s="90">
        <f t="shared" si="9"/>
        <v>7.5887999999999991</v>
      </c>
      <c r="I57" s="44"/>
      <c r="J57" s="89">
        <v>0.124</v>
      </c>
      <c r="K57" s="96">
        <f>G57</f>
        <v>61.199999999999996</v>
      </c>
      <c r="L57" s="90">
        <f t="shared" si="10"/>
        <v>7.5887999999999991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31</v>
      </c>
      <c r="E58" s="101"/>
      <c r="F58" s="95">
        <v>7.4999999999999997E-2</v>
      </c>
      <c r="G58" s="102">
        <f>IF(AND($T$1=1, F18&gt;=600), 600, IF(AND($T$1=1, AND(F18&lt;600, F18&gt;=0)), F18, IF(AND($T$1=2, F18&gt;=1000), 1000, IF(AND($T$1=2, AND(F18&lt;1000, F18&gt;=0)), F18))))</f>
        <v>340</v>
      </c>
      <c r="H58" s="90">
        <f>G58*F58</f>
        <v>25.5</v>
      </c>
      <c r="I58" s="103"/>
      <c r="J58" s="89">
        <v>7.4999999999999997E-2</v>
      </c>
      <c r="K58" s="102">
        <f>G58</f>
        <v>340</v>
      </c>
      <c r="L58" s="90">
        <f>K58*J58</f>
        <v>25.5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31</v>
      </c>
      <c r="E59" s="101"/>
      <c r="F59" s="95">
        <v>8.7999999999999995E-2</v>
      </c>
      <c r="G59" s="102">
        <f>IF(AND($T$1=1, F18&gt;=600), F18-600, IF(AND($T$1=1, AND(F18&lt;600, F18&gt;=0)), 0, IF(AND($T$1=2, F18&gt;=1000), F18-1000, IF(AND($T$1=2, AND(F18&lt;1000, F18&gt;=0)), 0))))</f>
        <v>0</v>
      </c>
      <c r="H59" s="90">
        <f>G59*F59</f>
        <v>0</v>
      </c>
      <c r="I59" s="103"/>
      <c r="J59" s="89">
        <v>8.7999999999999995E-2</v>
      </c>
      <c r="K59" s="102">
        <f>G59</f>
        <v>0</v>
      </c>
      <c r="L59" s="90">
        <f>K59*J59</f>
        <v>0</v>
      </c>
      <c r="M59" s="103"/>
      <c r="N59" s="104">
        <f t="shared" si="2"/>
        <v>0</v>
      </c>
      <c r="O59" s="92" t="str">
        <f t="shared" si="8"/>
        <v/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55.571060277599997</v>
      </c>
      <c r="I61" s="120"/>
      <c r="J61" s="121"/>
      <c r="K61" s="121"/>
      <c r="L61" s="119">
        <f>SUM(L51:L57,L50)</f>
        <v>46.652763978799996</v>
      </c>
      <c r="M61" s="122"/>
      <c r="N61" s="123">
        <f>L61-H61</f>
        <v>-8.9182962988000014</v>
      </c>
      <c r="O61" s="124">
        <f>IF((H61)=0,"",(N61/H61))</f>
        <v>-0.16048454454979791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7.2242378360880002</v>
      </c>
      <c r="I62" s="129"/>
      <c r="J62" s="130">
        <v>0.13</v>
      </c>
      <c r="K62" s="129"/>
      <c r="L62" s="131">
        <f>L61*J62</f>
        <v>6.0648593172439993</v>
      </c>
      <c r="M62" s="132"/>
      <c r="N62" s="133">
        <f t="shared" si="2"/>
        <v>-1.1593785188440009</v>
      </c>
      <c r="O62" s="134">
        <f t="shared" si="8"/>
        <v>-0.16048454454979799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62.795298113687998</v>
      </c>
      <c r="I63" s="129"/>
      <c r="J63" s="129"/>
      <c r="K63" s="129"/>
      <c r="L63" s="131">
        <f>L61+L62</f>
        <v>52.717623296043996</v>
      </c>
      <c r="M63" s="132"/>
      <c r="N63" s="133">
        <f t="shared" si="2"/>
        <v>-10.077674817644002</v>
      </c>
      <c r="O63" s="134">
        <f t="shared" si="8"/>
        <v>-0.16048454454979791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f>ROUND(-H63*10%,2)</f>
        <v>-6.28</v>
      </c>
      <c r="I64" s="129"/>
      <c r="J64" s="129"/>
      <c r="K64" s="129"/>
      <c r="L64" s="139">
        <f>ROUND(-L63*10%,2)</f>
        <v>-5.27</v>
      </c>
      <c r="M64" s="132"/>
      <c r="N64" s="140">
        <f t="shared" si="2"/>
        <v>1.0100000000000007</v>
      </c>
      <c r="O64" s="141">
        <f t="shared" si="8"/>
        <v>-0.16082802547770711</v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56.515298113687997</v>
      </c>
      <c r="I65" s="147"/>
      <c r="J65" s="147"/>
      <c r="K65" s="147"/>
      <c r="L65" s="148">
        <f>L63+L64</f>
        <v>47.447623296044</v>
      </c>
      <c r="M65" s="149"/>
      <c r="N65" s="150">
        <f t="shared" si="2"/>
        <v>-9.0676748176439972</v>
      </c>
      <c r="O65" s="151">
        <f t="shared" si="8"/>
        <v>-0.16044637682708796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52.538260277599996</v>
      </c>
      <c r="I67" s="163"/>
      <c r="J67" s="164"/>
      <c r="K67" s="164"/>
      <c r="L67" s="162">
        <f>SUM(L58:L59,L50,L51:L54)</f>
        <v>43.619963978800001</v>
      </c>
      <c r="M67" s="165"/>
      <c r="N67" s="166">
        <f>L67-H67</f>
        <v>-8.9182962987999943</v>
      </c>
      <c r="O67" s="124">
        <f>IF((H67)=0,"",(N67/H67))</f>
        <v>-0.16974860324033919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6.8299738360879996</v>
      </c>
      <c r="I68" s="170"/>
      <c r="J68" s="171">
        <v>0.13</v>
      </c>
      <c r="K68" s="172"/>
      <c r="L68" s="173">
        <f>L67*J68</f>
        <v>5.6705953172440005</v>
      </c>
      <c r="M68" s="174"/>
      <c r="N68" s="175">
        <f>L68-H68</f>
        <v>-1.1593785188439991</v>
      </c>
      <c r="O68" s="134">
        <f>IF((H68)=0,"",(N68/H68))</f>
        <v>-0.16974860324033916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59.368234113687997</v>
      </c>
      <c r="I69" s="170"/>
      <c r="J69" s="170"/>
      <c r="K69" s="170"/>
      <c r="L69" s="173">
        <f>L67+L68</f>
        <v>49.290559296044002</v>
      </c>
      <c r="M69" s="174"/>
      <c r="N69" s="175">
        <f>L69-H69</f>
        <v>-10.077674817643995</v>
      </c>
      <c r="O69" s="134">
        <f>IF((H69)=0,"",(N69/H69))</f>
        <v>-0.16974860324033922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f>ROUND(-H69*10%,2)</f>
        <v>-5.94</v>
      </c>
      <c r="I70" s="170"/>
      <c r="J70" s="170"/>
      <c r="K70" s="170"/>
      <c r="L70" s="181">
        <f>ROUND(-L69*10%,2)</f>
        <v>-4.93</v>
      </c>
      <c r="M70" s="174"/>
      <c r="N70" s="182">
        <f>L70-H70</f>
        <v>1.0100000000000007</v>
      </c>
      <c r="O70" s="141">
        <f>IF((H70)=0,"",(N70/H70))</f>
        <v>-0.17003367003367015</v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53.428234113687999</v>
      </c>
      <c r="I71" s="188"/>
      <c r="J71" s="188"/>
      <c r="K71" s="188"/>
      <c r="L71" s="189">
        <f>SUM(L69:L70)</f>
        <v>44.360559296044002</v>
      </c>
      <c r="M71" s="190"/>
      <c r="N71" s="191">
        <f>L71-H71</f>
        <v>-9.0676748176439972</v>
      </c>
      <c r="O71" s="192">
        <f>IF((H71)=0,"",(N71/H71))</f>
        <v>-0.16971691032028535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sqref="A1:XFD1048576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>
        <v>239805</v>
      </c>
      <c r="G17" s="17" t="s">
        <v>85</v>
      </c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12</v>
      </c>
      <c r="E18" s="20"/>
      <c r="F18" s="21">
        <v>657</v>
      </c>
      <c r="G18" s="20" t="s">
        <v>86</v>
      </c>
    </row>
    <row r="19" spans="2:15">
      <c r="B19" s="19"/>
    </row>
    <row r="20" spans="2:15">
      <c r="B20" s="19"/>
      <c r="D20" s="22"/>
      <c r="E20" s="22"/>
      <c r="F20" s="23" t="s">
        <v>14</v>
      </c>
      <c r="G20" s="24"/>
      <c r="H20" s="25"/>
      <c r="J20" s="23" t="s">
        <v>15</v>
      </c>
      <c r="K20" s="24"/>
      <c r="L20" s="25"/>
      <c r="N20" s="23" t="s">
        <v>16</v>
      </c>
      <c r="O20" s="25"/>
    </row>
    <row r="21" spans="2:15">
      <c r="B21" s="19"/>
      <c r="D21" s="26" t="s">
        <v>17</v>
      </c>
      <c r="E21" s="27"/>
      <c r="F21" s="28" t="s">
        <v>18</v>
      </c>
      <c r="G21" s="28" t="s">
        <v>19</v>
      </c>
      <c r="H21" s="29" t="s">
        <v>20</v>
      </c>
      <c r="J21" s="28" t="s">
        <v>18</v>
      </c>
      <c r="K21" s="30" t="s">
        <v>19</v>
      </c>
      <c r="L21" s="29" t="s">
        <v>20</v>
      </c>
      <c r="N21" s="31" t="s">
        <v>21</v>
      </c>
      <c r="O21" s="32" t="s">
        <v>22</v>
      </c>
    </row>
    <row r="22" spans="2:15">
      <c r="B22" s="19"/>
      <c r="D22" s="33"/>
      <c r="E22" s="27"/>
      <c r="F22" s="34" t="s">
        <v>23</v>
      </c>
      <c r="G22" s="34"/>
      <c r="H22" s="35" t="s">
        <v>23</v>
      </c>
      <c r="J22" s="34" t="s">
        <v>23</v>
      </c>
      <c r="K22" s="35"/>
      <c r="L22" s="35" t="s">
        <v>23</v>
      </c>
      <c r="N22" s="36"/>
      <c r="O22" s="37"/>
    </row>
    <row r="23" spans="2:15">
      <c r="B23" s="38" t="s">
        <v>24</v>
      </c>
      <c r="C23" s="38"/>
      <c r="D23" s="39" t="s">
        <v>25</v>
      </c>
      <c r="E23" s="40"/>
      <c r="F23" s="41">
        <v>1.1000000000000001</v>
      </c>
      <c r="G23" s="42">
        <v>3000</v>
      </c>
      <c r="H23" s="43">
        <f>G23*F23</f>
        <v>3300.0000000000005</v>
      </c>
      <c r="I23" s="44"/>
      <c r="J23" s="45">
        <v>0.96</v>
      </c>
      <c r="K23" s="46">
        <v>3000</v>
      </c>
      <c r="L23" s="43">
        <f>K23*J23</f>
        <v>2880</v>
      </c>
      <c r="M23" s="44"/>
      <c r="N23" s="47">
        <f>L23-H23</f>
        <v>-420.00000000000045</v>
      </c>
      <c r="O23" s="48">
        <f>IF((H23)=0,"",(N23/H23))</f>
        <v>-0.1272727272727274</v>
      </c>
    </row>
    <row r="24" spans="2:15">
      <c r="B24" s="38" t="s">
        <v>26</v>
      </c>
      <c r="C24" s="38"/>
      <c r="D24" s="39" t="s">
        <v>25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27</v>
      </c>
      <c r="C25" s="38"/>
      <c r="D25" s="39" t="s">
        <v>25</v>
      </c>
      <c r="E25" s="40"/>
      <c r="F25" s="41">
        <v>7.0000000000000007E-2</v>
      </c>
      <c r="G25" s="42">
        <v>3000</v>
      </c>
      <c r="H25" s="43">
        <f t="shared" si="0"/>
        <v>210.00000000000003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-210.00000000000003</v>
      </c>
      <c r="O25" s="48">
        <f t="shared" ref="O25:O45" si="3">IF((H25)=0,"",(N25/H25))</f>
        <v>-1</v>
      </c>
    </row>
    <row r="26" spans="2:15">
      <c r="B26" s="49" t="s">
        <v>28</v>
      </c>
      <c r="C26" s="38"/>
      <c r="D26" s="50" t="s">
        <v>25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29</v>
      </c>
      <c r="C27" s="38"/>
      <c r="D27" s="39" t="s">
        <v>25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30</v>
      </c>
      <c r="C29" s="38"/>
      <c r="D29" s="39" t="s">
        <v>80</v>
      </c>
      <c r="E29" s="40"/>
      <c r="F29" s="41">
        <v>5.0151000000000003</v>
      </c>
      <c r="G29" s="42">
        <f t="shared" ref="G29:G38" si="4">$F$18</f>
        <v>657</v>
      </c>
      <c r="H29" s="43">
        <f t="shared" si="0"/>
        <v>3294.9207000000001</v>
      </c>
      <c r="I29" s="44"/>
      <c r="J29" s="45">
        <v>4.3975</v>
      </c>
      <c r="K29" s="42">
        <f>$F$18</f>
        <v>657</v>
      </c>
      <c r="L29" s="43">
        <f t="shared" si="1"/>
        <v>2889.1574999999998</v>
      </c>
      <c r="M29" s="44"/>
      <c r="N29" s="47">
        <f t="shared" si="2"/>
        <v>-405.76320000000032</v>
      </c>
      <c r="O29" s="48">
        <f t="shared" si="3"/>
        <v>-0.1231480927598653</v>
      </c>
    </row>
    <row r="30" spans="2:15">
      <c r="B30" s="38" t="s">
        <v>32</v>
      </c>
      <c r="C30" s="38"/>
      <c r="D30" s="39"/>
      <c r="E30" s="40"/>
      <c r="F30" s="41"/>
      <c r="G30" s="42">
        <f t="shared" si="4"/>
        <v>657</v>
      </c>
      <c r="H30" s="43">
        <f t="shared" si="0"/>
        <v>0</v>
      </c>
      <c r="I30" s="44"/>
      <c r="J30" s="45"/>
      <c r="K30" s="42">
        <f t="shared" ref="K30:K38" si="5">$F$18</f>
        <v>657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33</v>
      </c>
      <c r="C31" s="38"/>
      <c r="D31" s="39"/>
      <c r="E31" s="40"/>
      <c r="F31" s="41"/>
      <c r="G31" s="42">
        <f t="shared" si="4"/>
        <v>657</v>
      </c>
      <c r="H31" s="43">
        <f t="shared" si="0"/>
        <v>0</v>
      </c>
      <c r="I31" s="44"/>
      <c r="J31" s="45"/>
      <c r="K31" s="42">
        <f t="shared" si="5"/>
        <v>657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34</v>
      </c>
      <c r="C32" s="38"/>
      <c r="D32" s="39" t="s">
        <v>80</v>
      </c>
      <c r="E32" s="40"/>
      <c r="F32" s="41">
        <v>0.32819999999999999</v>
      </c>
      <c r="G32" s="42">
        <f t="shared" si="4"/>
        <v>657</v>
      </c>
      <c r="H32" s="43">
        <f>G32*F32</f>
        <v>215.62739999999999</v>
      </c>
      <c r="I32" s="44"/>
      <c r="J32" s="45">
        <v>0.20830000000000001</v>
      </c>
      <c r="K32" s="42">
        <f t="shared" si="5"/>
        <v>657</v>
      </c>
      <c r="L32" s="43">
        <f>K32*J32</f>
        <v>136.85310000000001</v>
      </c>
      <c r="M32" s="44"/>
      <c r="N32" s="47">
        <f>L32-H32</f>
        <v>-78.774299999999982</v>
      </c>
      <c r="O32" s="48">
        <f>IF((H32)=0,"",(N32/H32))</f>
        <v>-0.36532602071907366</v>
      </c>
    </row>
    <row r="33" spans="2:15">
      <c r="B33" s="52" t="s">
        <v>35</v>
      </c>
      <c r="C33" s="38"/>
      <c r="D33" s="39" t="s">
        <v>80</v>
      </c>
      <c r="E33" s="40"/>
      <c r="F33" s="41">
        <v>-0.1346</v>
      </c>
      <c r="G33" s="42">
        <f t="shared" si="4"/>
        <v>657</v>
      </c>
      <c r="H33" s="43">
        <f>G33*F33</f>
        <v>-88.432199999999995</v>
      </c>
      <c r="I33" s="44"/>
      <c r="J33" s="45"/>
      <c r="K33" s="42">
        <f t="shared" si="5"/>
        <v>657</v>
      </c>
      <c r="L33" s="43">
        <f>K33*J33</f>
        <v>0</v>
      </c>
      <c r="M33" s="44"/>
      <c r="N33" s="47">
        <f>L33-H33</f>
        <v>88.432199999999995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657</v>
      </c>
      <c r="H34" s="43">
        <f>G34*F34</f>
        <v>0</v>
      </c>
      <c r="I34" s="44"/>
      <c r="J34" s="45"/>
      <c r="K34" s="42">
        <f t="shared" si="5"/>
        <v>657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657</v>
      </c>
      <c r="H35" s="43">
        <f t="shared" si="0"/>
        <v>0</v>
      </c>
      <c r="I35" s="44"/>
      <c r="J35" s="45"/>
      <c r="K35" s="42">
        <f t="shared" si="5"/>
        <v>657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657</v>
      </c>
      <c r="H36" s="43">
        <f t="shared" si="0"/>
        <v>0</v>
      </c>
      <c r="I36" s="44"/>
      <c r="J36" s="45"/>
      <c r="K36" s="42">
        <f t="shared" si="5"/>
        <v>657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657</v>
      </c>
      <c r="H37" s="43">
        <f t="shared" si="0"/>
        <v>0</v>
      </c>
      <c r="I37" s="44"/>
      <c r="J37" s="45"/>
      <c r="K37" s="42">
        <f t="shared" si="5"/>
        <v>657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657</v>
      </c>
      <c r="H38" s="43">
        <f t="shared" si="0"/>
        <v>0</v>
      </c>
      <c r="I38" s="44"/>
      <c r="J38" s="45"/>
      <c r="K38" s="42">
        <f t="shared" si="5"/>
        <v>657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36</v>
      </c>
      <c r="C39" s="55"/>
      <c r="D39" s="56"/>
      <c r="E39" s="55"/>
      <c r="F39" s="57"/>
      <c r="G39" s="58"/>
      <c r="H39" s="59">
        <f>SUM(H23:H38)</f>
        <v>6932.1159000000007</v>
      </c>
      <c r="I39" s="60"/>
      <c r="J39" s="61"/>
      <c r="K39" s="62"/>
      <c r="L39" s="59">
        <f>SUM(L23:L38)</f>
        <v>5906.0105999999996</v>
      </c>
      <c r="M39" s="60"/>
      <c r="N39" s="63">
        <f t="shared" si="2"/>
        <v>-1026.1053000000011</v>
      </c>
      <c r="O39" s="64">
        <f t="shared" si="3"/>
        <v>-0.14802194810389724</v>
      </c>
    </row>
    <row r="40" spans="2:15" ht="25.5">
      <c r="B40" s="66" t="s">
        <v>37</v>
      </c>
      <c r="C40" s="38"/>
      <c r="D40" s="39"/>
      <c r="E40" s="40"/>
      <c r="F40" s="41"/>
      <c r="G40" s="42">
        <f>$F$18</f>
        <v>657</v>
      </c>
      <c r="H40" s="43">
        <f t="shared" ref="H40:H46" si="6">G40*F40</f>
        <v>0</v>
      </c>
      <c r="I40" s="44"/>
      <c r="J40" s="45">
        <v>-1.9878</v>
      </c>
      <c r="K40" s="42">
        <f>$F$18</f>
        <v>657</v>
      </c>
      <c r="L40" s="43">
        <f t="shared" ref="L40:L46" si="7">K40*J40</f>
        <v>-1305.9846</v>
      </c>
      <c r="M40" s="44"/>
      <c r="N40" s="47">
        <f t="shared" si="2"/>
        <v>-1305.9846</v>
      </c>
      <c r="O40" s="48" t="str">
        <f t="shared" si="3"/>
        <v/>
      </c>
    </row>
    <row r="41" spans="2:15">
      <c r="B41" s="66" t="s">
        <v>38</v>
      </c>
      <c r="C41" s="38"/>
      <c r="D41" s="39"/>
      <c r="E41" s="40"/>
      <c r="F41" s="41"/>
      <c r="G41" s="42">
        <f>$F$18</f>
        <v>657</v>
      </c>
      <c r="H41" s="43">
        <f t="shared" si="6"/>
        <v>0</v>
      </c>
      <c r="I41" s="67"/>
      <c r="J41" s="45">
        <v>-0.54800000000000004</v>
      </c>
      <c r="K41" s="42">
        <f>$F$18</f>
        <v>657</v>
      </c>
      <c r="L41" s="43">
        <f t="shared" si="7"/>
        <v>-360.036</v>
      </c>
      <c r="M41" s="68"/>
      <c r="N41" s="47">
        <f t="shared" si="2"/>
        <v>-360.036</v>
      </c>
      <c r="O41" s="48" t="str">
        <f t="shared" si="3"/>
        <v/>
      </c>
    </row>
    <row r="42" spans="2:15" ht="25.5">
      <c r="B42" s="66" t="s">
        <v>39</v>
      </c>
      <c r="C42" s="38"/>
      <c r="D42" s="39" t="s">
        <v>80</v>
      </c>
      <c r="E42" s="40"/>
      <c r="F42" s="41"/>
      <c r="G42" s="42">
        <f>$F$18</f>
        <v>657</v>
      </c>
      <c r="H42" s="43">
        <f t="shared" si="6"/>
        <v>0</v>
      </c>
      <c r="I42" s="67"/>
      <c r="J42" s="45">
        <v>0.9849</v>
      </c>
      <c r="K42" s="42">
        <f>$F$18</f>
        <v>657</v>
      </c>
      <c r="L42" s="43">
        <f t="shared" si="7"/>
        <v>647.07929999999999</v>
      </c>
      <c r="M42" s="68"/>
      <c r="N42" s="47">
        <f t="shared" si="2"/>
        <v>647.07929999999999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657</v>
      </c>
      <c r="H43" s="43">
        <f t="shared" si="6"/>
        <v>0</v>
      </c>
      <c r="I43" s="67"/>
      <c r="J43" s="45"/>
      <c r="K43" s="42">
        <f>$F$18</f>
        <v>657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40</v>
      </c>
      <c r="C44" s="38"/>
      <c r="D44" s="39" t="s">
        <v>80</v>
      </c>
      <c r="E44" s="40"/>
      <c r="F44" s="41">
        <v>4.9399999999999999E-2</v>
      </c>
      <c r="G44" s="42">
        <f>$F$18</f>
        <v>657</v>
      </c>
      <c r="H44" s="43">
        <f t="shared" si="6"/>
        <v>32.455799999999996</v>
      </c>
      <c r="I44" s="44"/>
      <c r="J44" s="45">
        <v>9.7299999999999998E-2</v>
      </c>
      <c r="K44" s="42">
        <f>$F$18</f>
        <v>657</v>
      </c>
      <c r="L44" s="43">
        <f t="shared" si="7"/>
        <v>63.926099999999998</v>
      </c>
      <c r="M44" s="44"/>
      <c r="N44" s="47">
        <f t="shared" si="2"/>
        <v>31.470300000000002</v>
      </c>
      <c r="O44" s="48">
        <f t="shared" si="3"/>
        <v>0.96963562753036459</v>
      </c>
    </row>
    <row r="45" spans="2:15">
      <c r="B45" s="69" t="s">
        <v>41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202">
        <f>$F$18*(1+$F$74)-$F$18</f>
        <v>6.7716990000000123</v>
      </c>
      <c r="H45" s="43">
        <f t="shared" si="6"/>
        <v>0.59590951200000108</v>
      </c>
      <c r="I45" s="44"/>
      <c r="J45" s="72">
        <f>0.64*$F$55+0.18*$F$56+0.18*$F$57</f>
        <v>8.3919999999999995E-2</v>
      </c>
      <c r="K45" s="202">
        <f>$F$18*(1+$J$74)-$F$18</f>
        <v>6.7611870000000636</v>
      </c>
      <c r="L45" s="43">
        <f t="shared" si="7"/>
        <v>0.56739881304000528</v>
      </c>
      <c r="M45" s="44"/>
      <c r="N45" s="47">
        <f t="shared" si="2"/>
        <v>-2.8510698959995806E-2</v>
      </c>
      <c r="O45" s="48">
        <f t="shared" si="3"/>
        <v>-4.7844007161939303E-2</v>
      </c>
    </row>
    <row r="46" spans="2:15">
      <c r="B46" s="69" t="s">
        <v>42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43</v>
      </c>
      <c r="C47" s="74"/>
      <c r="D47" s="74"/>
      <c r="E47" s="74"/>
      <c r="F47" s="75"/>
      <c r="G47" s="76"/>
      <c r="H47" s="77">
        <f>SUM(H40:H46)+H39</f>
        <v>6965.167609512001</v>
      </c>
      <c r="I47" s="60"/>
      <c r="J47" s="76"/>
      <c r="K47" s="78"/>
      <c r="L47" s="77">
        <f>SUM(L40:L46)+L39</f>
        <v>4951.56279881304</v>
      </c>
      <c r="M47" s="60"/>
      <c r="N47" s="63">
        <f t="shared" si="2"/>
        <v>-2013.604810698961</v>
      </c>
      <c r="O47" s="64">
        <f t="shared" ref="O47:O65" si="8">IF((H47)=0,"",(N47/H47))</f>
        <v>-0.28909638986276165</v>
      </c>
    </row>
    <row r="48" spans="2:15">
      <c r="B48" s="44" t="s">
        <v>44</v>
      </c>
      <c r="C48" s="44"/>
      <c r="D48" s="79" t="s">
        <v>80</v>
      </c>
      <c r="E48" s="80"/>
      <c r="F48" s="45">
        <v>1.9712000000000001</v>
      </c>
      <c r="G48" s="81">
        <v>657</v>
      </c>
      <c r="H48" s="43">
        <f>G48*F48</f>
        <v>1295.0784000000001</v>
      </c>
      <c r="I48" s="44"/>
      <c r="J48" s="45">
        <v>2.0024999999999999</v>
      </c>
      <c r="K48" s="82">
        <v>657</v>
      </c>
      <c r="L48" s="43">
        <f>K48*J48</f>
        <v>1315.6424999999999</v>
      </c>
      <c r="M48" s="44"/>
      <c r="N48" s="47">
        <f t="shared" si="2"/>
        <v>20.564099999999826</v>
      </c>
      <c r="O48" s="48">
        <f t="shared" si="8"/>
        <v>1.5878652597402461E-2</v>
      </c>
    </row>
    <row r="49" spans="2:19" ht="30">
      <c r="B49" s="83" t="s">
        <v>45</v>
      </c>
      <c r="C49" s="44"/>
      <c r="D49" s="79" t="s">
        <v>80</v>
      </c>
      <c r="E49" s="80"/>
      <c r="F49" s="45">
        <v>1.4443999999999999</v>
      </c>
      <c r="G49" s="81">
        <f>G48</f>
        <v>657</v>
      </c>
      <c r="H49" s="43">
        <f>G49*F49</f>
        <v>948.97079999999994</v>
      </c>
      <c r="I49" s="44"/>
      <c r="J49" s="45">
        <v>1.2674000000000001</v>
      </c>
      <c r="K49" s="82">
        <f>K48</f>
        <v>657</v>
      </c>
      <c r="L49" s="43">
        <f>K49*J49</f>
        <v>832.68180000000007</v>
      </c>
      <c r="M49" s="44"/>
      <c r="N49" s="47">
        <f t="shared" si="2"/>
        <v>-116.28899999999987</v>
      </c>
      <c r="O49" s="48">
        <f t="shared" si="8"/>
        <v>-0.12254223206867891</v>
      </c>
    </row>
    <row r="50" spans="2:19" ht="25.5">
      <c r="B50" s="73" t="s">
        <v>46</v>
      </c>
      <c r="C50" s="55"/>
      <c r="D50" s="55"/>
      <c r="E50" s="55"/>
      <c r="F50" s="84"/>
      <c r="G50" s="76"/>
      <c r="H50" s="77">
        <f>SUM(H47:H49)</f>
        <v>9209.2168095119996</v>
      </c>
      <c r="I50" s="85"/>
      <c r="J50" s="86"/>
      <c r="K50" s="87"/>
      <c r="L50" s="77">
        <f>SUM(L47:L49)</f>
        <v>7099.8870988130402</v>
      </c>
      <c r="M50" s="85"/>
      <c r="N50" s="63">
        <f t="shared" si="2"/>
        <v>-2109.3297106989594</v>
      </c>
      <c r="O50" s="64">
        <f t="shared" si="8"/>
        <v>-0.22904550455585743</v>
      </c>
    </row>
    <row r="51" spans="2:19" ht="30">
      <c r="B51" s="88" t="s">
        <v>47</v>
      </c>
      <c r="C51" s="38"/>
      <c r="D51" s="39" t="s">
        <v>80</v>
      </c>
      <c r="E51" s="40"/>
      <c r="F51" s="89">
        <v>4.4000000000000003E-3</v>
      </c>
      <c r="G51" s="81">
        <f>239805*1.0307</f>
        <v>247167.0135</v>
      </c>
      <c r="H51" s="90">
        <f t="shared" ref="H51:H57" si="9">G51*F51</f>
        <v>1087.5348594</v>
      </c>
      <c r="I51" s="44"/>
      <c r="J51" s="91">
        <v>4.4000000000000003E-3</v>
      </c>
      <c r="K51" s="82">
        <f>239805*1.0291</f>
        <v>246783.32549999998</v>
      </c>
      <c r="L51" s="90">
        <f t="shared" ref="L51:L57" si="10">K51*J51</f>
        <v>1085.8466321999999</v>
      </c>
      <c r="M51" s="44"/>
      <c r="N51" s="47">
        <f t="shared" si="2"/>
        <v>-1.6882272000000285</v>
      </c>
      <c r="O51" s="92">
        <f t="shared" si="8"/>
        <v>-1.5523430678180141E-3</v>
      </c>
    </row>
    <row r="52" spans="2:19" ht="30">
      <c r="B52" s="88" t="s">
        <v>48</v>
      </c>
      <c r="C52" s="38"/>
      <c r="D52" s="39" t="s">
        <v>80</v>
      </c>
      <c r="E52" s="40"/>
      <c r="F52" s="89">
        <v>1.2999999999999999E-3</v>
      </c>
      <c r="G52" s="81">
        <f>+G51</f>
        <v>247167.0135</v>
      </c>
      <c r="H52" s="90">
        <f t="shared" si="9"/>
        <v>321.31711754999998</v>
      </c>
      <c r="I52" s="44"/>
      <c r="J52" s="91">
        <v>1.2999999999999999E-3</v>
      </c>
      <c r="K52" s="82">
        <f>+K51</f>
        <v>246783.32549999998</v>
      </c>
      <c r="L52" s="90">
        <f t="shared" si="10"/>
        <v>320.81832314999997</v>
      </c>
      <c r="M52" s="44"/>
      <c r="N52" s="47">
        <f t="shared" si="2"/>
        <v>-0.49879440000000841</v>
      </c>
      <c r="O52" s="92">
        <f t="shared" si="8"/>
        <v>-1.5523430678180141E-3</v>
      </c>
    </row>
    <row r="53" spans="2:19">
      <c r="B53" s="38" t="s">
        <v>49</v>
      </c>
      <c r="C53" s="38"/>
      <c r="D53" s="39" t="s">
        <v>25</v>
      </c>
      <c r="E53" s="40"/>
      <c r="F53" s="89">
        <v>0.25</v>
      </c>
      <c r="G53" s="42">
        <v>1</v>
      </c>
      <c r="H53" s="90">
        <f t="shared" si="9"/>
        <v>0.25</v>
      </c>
      <c r="I53" s="44"/>
      <c r="J53" s="91">
        <v>0.25</v>
      </c>
      <c r="K53" s="46">
        <v>1</v>
      </c>
      <c r="L53" s="90">
        <f t="shared" si="10"/>
        <v>0.25</v>
      </c>
      <c r="M53" s="44"/>
      <c r="N53" s="47">
        <f t="shared" si="2"/>
        <v>0</v>
      </c>
      <c r="O53" s="92">
        <f t="shared" si="8"/>
        <v>0</v>
      </c>
    </row>
    <row r="54" spans="2:19">
      <c r="B54" s="38" t="s">
        <v>50</v>
      </c>
      <c r="C54" s="38"/>
      <c r="D54" s="39"/>
      <c r="E54" s="40"/>
      <c r="F54" s="89">
        <v>7.0000000000000001E-3</v>
      </c>
      <c r="G54" s="93">
        <v>239805</v>
      </c>
      <c r="H54" s="90">
        <f t="shared" si="9"/>
        <v>1678.635</v>
      </c>
      <c r="I54" s="44"/>
      <c r="J54" s="91">
        <v>7.0000000000000001E-3</v>
      </c>
      <c r="K54" s="94">
        <f>+G54</f>
        <v>239805</v>
      </c>
      <c r="L54" s="90">
        <f t="shared" si="10"/>
        <v>1678.635</v>
      </c>
      <c r="M54" s="44"/>
      <c r="N54" s="47">
        <f t="shared" si="2"/>
        <v>0</v>
      </c>
      <c r="O54" s="92">
        <f t="shared" si="8"/>
        <v>0</v>
      </c>
    </row>
    <row r="55" spans="2:19">
      <c r="B55" s="69" t="s">
        <v>51</v>
      </c>
      <c r="C55" s="38"/>
      <c r="D55" s="39" t="s">
        <v>80</v>
      </c>
      <c r="E55" s="40"/>
      <c r="F55" s="95">
        <v>6.7000000000000004E-2</v>
      </c>
      <c r="G55" s="96">
        <f>0.64*$F$17</f>
        <v>153475.20000000001</v>
      </c>
      <c r="H55" s="90">
        <f t="shared" si="9"/>
        <v>10282.838400000001</v>
      </c>
      <c r="I55" s="44"/>
      <c r="J55" s="89">
        <v>6.7000000000000004E-2</v>
      </c>
      <c r="K55" s="96">
        <f>G55</f>
        <v>153475.20000000001</v>
      </c>
      <c r="L55" s="90">
        <f t="shared" si="10"/>
        <v>10282.838400000001</v>
      </c>
      <c r="M55" s="44"/>
      <c r="N55" s="47">
        <f t="shared" si="2"/>
        <v>0</v>
      </c>
      <c r="O55" s="92">
        <f t="shared" si="8"/>
        <v>0</v>
      </c>
      <c r="S55" s="97"/>
    </row>
    <row r="56" spans="2:19">
      <c r="B56" s="69" t="s">
        <v>52</v>
      </c>
      <c r="C56" s="38"/>
      <c r="D56" s="39" t="s">
        <v>80</v>
      </c>
      <c r="E56" s="40"/>
      <c r="F56" s="95">
        <v>0.104</v>
      </c>
      <c r="G56" s="96">
        <f>0.18*$F$17</f>
        <v>43164.9</v>
      </c>
      <c r="H56" s="90">
        <f t="shared" si="9"/>
        <v>4489.1495999999997</v>
      </c>
      <c r="I56" s="44"/>
      <c r="J56" s="89">
        <v>0.104</v>
      </c>
      <c r="K56" s="96">
        <f>G56</f>
        <v>43164.9</v>
      </c>
      <c r="L56" s="90">
        <f t="shared" si="10"/>
        <v>4489.1495999999997</v>
      </c>
      <c r="M56" s="44"/>
      <c r="N56" s="47">
        <f t="shared" si="2"/>
        <v>0</v>
      </c>
      <c r="O56" s="92">
        <f t="shared" si="8"/>
        <v>0</v>
      </c>
      <c r="S56" s="97"/>
    </row>
    <row r="57" spans="2:19">
      <c r="B57" s="19" t="s">
        <v>53</v>
      </c>
      <c r="C57" s="38"/>
      <c r="D57" s="39" t="s">
        <v>80</v>
      </c>
      <c r="E57" s="40"/>
      <c r="F57" s="95">
        <v>0.124</v>
      </c>
      <c r="G57" s="96">
        <f>0.18*$F$17</f>
        <v>43164.9</v>
      </c>
      <c r="H57" s="90">
        <f t="shared" si="9"/>
        <v>5352.4476000000004</v>
      </c>
      <c r="I57" s="44"/>
      <c r="J57" s="89">
        <v>0.124</v>
      </c>
      <c r="K57" s="96">
        <f>G57</f>
        <v>43164.9</v>
      </c>
      <c r="L57" s="90">
        <f t="shared" si="10"/>
        <v>5352.4476000000004</v>
      </c>
      <c r="M57" s="44"/>
      <c r="N57" s="47">
        <f t="shared" si="2"/>
        <v>0</v>
      </c>
      <c r="O57" s="92">
        <f t="shared" si="8"/>
        <v>0</v>
      </c>
      <c r="S57" s="97"/>
    </row>
    <row r="58" spans="2:19" s="105" customFormat="1" ht="12.75">
      <c r="B58" s="98" t="s">
        <v>54</v>
      </c>
      <c r="C58" s="99"/>
      <c r="D58" s="100" t="s">
        <v>80</v>
      </c>
      <c r="E58" s="101"/>
      <c r="F58" s="95">
        <v>7.4999999999999997E-2</v>
      </c>
      <c r="G58" s="102">
        <v>750</v>
      </c>
      <c r="H58" s="90">
        <f>G58*F58</f>
        <v>56.25</v>
      </c>
      <c r="I58" s="103"/>
      <c r="J58" s="89">
        <v>7.4999999999999997E-2</v>
      </c>
      <c r="K58" s="102">
        <f>G58</f>
        <v>750</v>
      </c>
      <c r="L58" s="90">
        <f>K58*J58</f>
        <v>56.25</v>
      </c>
      <c r="M58" s="103"/>
      <c r="N58" s="104">
        <f t="shared" si="2"/>
        <v>0</v>
      </c>
      <c r="O58" s="92">
        <f t="shared" si="8"/>
        <v>0</v>
      </c>
    </row>
    <row r="59" spans="2:19" s="105" customFormat="1" ht="13.5" thickBot="1">
      <c r="B59" s="98" t="s">
        <v>55</v>
      </c>
      <c r="C59" s="99"/>
      <c r="D59" s="100" t="s">
        <v>80</v>
      </c>
      <c r="E59" s="101"/>
      <c r="F59" s="95">
        <v>8.7999999999999995E-2</v>
      </c>
      <c r="G59" s="102">
        <f>+F17-G58</f>
        <v>239055</v>
      </c>
      <c r="H59" s="90">
        <f>G59*F59</f>
        <v>21036.84</v>
      </c>
      <c r="I59" s="103"/>
      <c r="J59" s="89">
        <v>8.7999999999999995E-2</v>
      </c>
      <c r="K59" s="102">
        <f>G59</f>
        <v>239055</v>
      </c>
      <c r="L59" s="90">
        <f>K59*J59</f>
        <v>21036.84</v>
      </c>
      <c r="M59" s="103"/>
      <c r="N59" s="104">
        <f t="shared" si="2"/>
        <v>0</v>
      </c>
      <c r="O59" s="92">
        <f t="shared" si="8"/>
        <v>0</v>
      </c>
    </row>
    <row r="60" spans="2:19" ht="15.75" thickBot="1">
      <c r="B60" s="106"/>
      <c r="C60" s="107"/>
      <c r="D60" s="108"/>
      <c r="E60" s="107"/>
      <c r="F60" s="109"/>
      <c r="G60" s="110"/>
      <c r="H60" s="111"/>
      <c r="I60" s="112"/>
      <c r="J60" s="109"/>
      <c r="K60" s="113"/>
      <c r="L60" s="111"/>
      <c r="M60" s="112"/>
      <c r="N60" s="114"/>
      <c r="O60" s="115"/>
    </row>
    <row r="61" spans="2:19">
      <c r="B61" s="116" t="s">
        <v>56</v>
      </c>
      <c r="C61" s="38"/>
      <c r="D61" s="38"/>
      <c r="E61" s="38"/>
      <c r="F61" s="117"/>
      <c r="G61" s="118"/>
      <c r="H61" s="119">
        <f>SUM(H51:H57,H50)</f>
        <v>32421.389386462</v>
      </c>
      <c r="I61" s="120"/>
      <c r="J61" s="121"/>
      <c r="K61" s="121"/>
      <c r="L61" s="119">
        <f>SUM(L51:L57,L50)</f>
        <v>30309.872654163039</v>
      </c>
      <c r="M61" s="122"/>
      <c r="N61" s="123">
        <f>L61-H61</f>
        <v>-2111.5167322989619</v>
      </c>
      <c r="O61" s="124">
        <f>IF((H61)=0,"",(N61/H61))</f>
        <v>-6.5127274686773748E-2</v>
      </c>
      <c r="S61" s="97"/>
    </row>
    <row r="62" spans="2:19">
      <c r="B62" s="125" t="s">
        <v>57</v>
      </c>
      <c r="C62" s="38"/>
      <c r="D62" s="38"/>
      <c r="E62" s="38"/>
      <c r="F62" s="126">
        <v>0.13</v>
      </c>
      <c r="G62" s="127"/>
      <c r="H62" s="128">
        <f>H61*F62</f>
        <v>4214.7806202400598</v>
      </c>
      <c r="I62" s="129"/>
      <c r="J62" s="130">
        <v>0.13</v>
      </c>
      <c r="K62" s="129"/>
      <c r="L62" s="131">
        <f>L61*J62</f>
        <v>3940.2834450411951</v>
      </c>
      <c r="M62" s="132"/>
      <c r="N62" s="133">
        <f t="shared" si="2"/>
        <v>-274.49717519886462</v>
      </c>
      <c r="O62" s="134">
        <f t="shared" si="8"/>
        <v>-6.5127274686773665E-2</v>
      </c>
      <c r="S62" s="97"/>
    </row>
    <row r="63" spans="2:19">
      <c r="B63" s="135" t="s">
        <v>58</v>
      </c>
      <c r="C63" s="38"/>
      <c r="D63" s="38"/>
      <c r="E63" s="38"/>
      <c r="F63" s="136"/>
      <c r="G63" s="127"/>
      <c r="H63" s="128">
        <f>H61+H62</f>
        <v>36636.170006702057</v>
      </c>
      <c r="I63" s="129"/>
      <c r="J63" s="129"/>
      <c r="K63" s="129"/>
      <c r="L63" s="131">
        <f>L61+L62</f>
        <v>34250.156099204236</v>
      </c>
      <c r="M63" s="132"/>
      <c r="N63" s="133">
        <f t="shared" si="2"/>
        <v>-2386.0139074978215</v>
      </c>
      <c r="O63" s="134">
        <f t="shared" si="8"/>
        <v>-6.5127274686773609E-2</v>
      </c>
      <c r="S63" s="97"/>
    </row>
    <row r="64" spans="2:19">
      <c r="B64" s="137" t="s">
        <v>59</v>
      </c>
      <c r="C64" s="137"/>
      <c r="D64" s="137"/>
      <c r="E64" s="38"/>
      <c r="F64" s="136"/>
      <c r="G64" s="127"/>
      <c r="H64" s="138">
        <v>0</v>
      </c>
      <c r="I64" s="129"/>
      <c r="J64" s="129"/>
      <c r="K64" s="129"/>
      <c r="L64" s="139">
        <v>0</v>
      </c>
      <c r="M64" s="132"/>
      <c r="N64" s="140">
        <f t="shared" si="2"/>
        <v>0</v>
      </c>
      <c r="O64" s="141" t="str">
        <f t="shared" si="8"/>
        <v/>
      </c>
    </row>
    <row r="65" spans="1:15" ht="15.75" thickBot="1">
      <c r="B65" s="142" t="s">
        <v>60</v>
      </c>
      <c r="C65" s="142"/>
      <c r="D65" s="142"/>
      <c r="E65" s="143"/>
      <c r="F65" s="144"/>
      <c r="G65" s="145"/>
      <c r="H65" s="146">
        <f>H63+H64</f>
        <v>36636.170006702057</v>
      </c>
      <c r="I65" s="147"/>
      <c r="J65" s="147"/>
      <c r="K65" s="147"/>
      <c r="L65" s="148">
        <f>L63+L64</f>
        <v>34250.156099204236</v>
      </c>
      <c r="M65" s="149"/>
      <c r="N65" s="150">
        <f t="shared" si="2"/>
        <v>-2386.0139074978215</v>
      </c>
      <c r="O65" s="151">
        <f t="shared" si="8"/>
        <v>-6.5127274686773609E-2</v>
      </c>
    </row>
    <row r="66" spans="1:15" s="105" customFormat="1" ht="13.5" thickBot="1">
      <c r="B66" s="152"/>
      <c r="C66" s="153"/>
      <c r="D66" s="154"/>
      <c r="E66" s="153"/>
      <c r="F66" s="109"/>
      <c r="G66" s="155"/>
      <c r="H66" s="111"/>
      <c r="I66" s="156"/>
      <c r="J66" s="109"/>
      <c r="K66" s="157"/>
      <c r="L66" s="111"/>
      <c r="M66" s="156"/>
      <c r="N66" s="158"/>
      <c r="O66" s="115"/>
    </row>
    <row r="67" spans="1:15" s="105" customFormat="1" ht="12.75">
      <c r="B67" s="159" t="s">
        <v>61</v>
      </c>
      <c r="C67" s="99"/>
      <c r="D67" s="99"/>
      <c r="E67" s="99"/>
      <c r="F67" s="160"/>
      <c r="G67" s="161"/>
      <c r="H67" s="162">
        <f>SUM(H58:H59,H50,H51:H54)</f>
        <v>33390.043786461996</v>
      </c>
      <c r="I67" s="163"/>
      <c r="J67" s="164"/>
      <c r="K67" s="164"/>
      <c r="L67" s="162">
        <f>SUM(L58:L59,L50,L51:L54)</f>
        <v>31278.527054163038</v>
      </c>
      <c r="M67" s="165"/>
      <c r="N67" s="166">
        <f>L67-H67</f>
        <v>-2111.5167322989582</v>
      </c>
      <c r="O67" s="124">
        <f>IF((H67)=0,"",(N67/H67))</f>
        <v>-6.3237914445475316E-2</v>
      </c>
    </row>
    <row r="68" spans="1:15" s="105" customFormat="1" ht="12.75">
      <c r="B68" s="167" t="s">
        <v>57</v>
      </c>
      <c r="C68" s="99"/>
      <c r="D68" s="99"/>
      <c r="E68" s="99"/>
      <c r="F68" s="168">
        <v>0.13</v>
      </c>
      <c r="G68" s="161"/>
      <c r="H68" s="169">
        <f>H67*F68</f>
        <v>4340.7056922400598</v>
      </c>
      <c r="I68" s="170"/>
      <c r="J68" s="171">
        <v>0.13</v>
      </c>
      <c r="K68" s="172"/>
      <c r="L68" s="173">
        <f>L67*J68</f>
        <v>4066.2085170411951</v>
      </c>
      <c r="M68" s="174"/>
      <c r="N68" s="175">
        <f>L68-H68</f>
        <v>-274.49717519886462</v>
      </c>
      <c r="O68" s="134">
        <f>IF((H68)=0,"",(N68/H68))</f>
        <v>-6.3237914445475316E-2</v>
      </c>
    </row>
    <row r="69" spans="1:15" s="105" customFormat="1" ht="12.75">
      <c r="B69" s="176" t="s">
        <v>58</v>
      </c>
      <c r="C69" s="99"/>
      <c r="D69" s="99"/>
      <c r="E69" s="99"/>
      <c r="F69" s="177"/>
      <c r="G69" s="178"/>
      <c r="H69" s="169">
        <f>H67+H68</f>
        <v>37730.749478702055</v>
      </c>
      <c r="I69" s="170"/>
      <c r="J69" s="170"/>
      <c r="K69" s="170"/>
      <c r="L69" s="173">
        <f>L67+L68</f>
        <v>35344.735571204234</v>
      </c>
      <c r="M69" s="174"/>
      <c r="N69" s="175">
        <f>L69-H69</f>
        <v>-2386.0139074978215</v>
      </c>
      <c r="O69" s="134">
        <f>IF((H69)=0,"",(N69/H69))</f>
        <v>-6.3237914445475274E-2</v>
      </c>
    </row>
    <row r="70" spans="1:15" s="105" customFormat="1" ht="12.75">
      <c r="B70" s="179" t="s">
        <v>59</v>
      </c>
      <c r="C70" s="179"/>
      <c r="D70" s="179"/>
      <c r="E70" s="99"/>
      <c r="F70" s="177"/>
      <c r="G70" s="178"/>
      <c r="H70" s="180">
        <v>0</v>
      </c>
      <c r="I70" s="170"/>
      <c r="J70" s="170"/>
      <c r="K70" s="170"/>
      <c r="L70" s="181">
        <v>0</v>
      </c>
      <c r="M70" s="174"/>
      <c r="N70" s="182">
        <f>L70-H70</f>
        <v>0</v>
      </c>
      <c r="O70" s="141" t="str">
        <f>IF((H70)=0,"",(N70/H70))</f>
        <v/>
      </c>
    </row>
    <row r="71" spans="1:15" s="105" customFormat="1" ht="13.5" thickBot="1">
      <c r="B71" s="183" t="s">
        <v>62</v>
      </c>
      <c r="C71" s="183"/>
      <c r="D71" s="183"/>
      <c r="E71" s="184"/>
      <c r="F71" s="185"/>
      <c r="G71" s="186"/>
      <c r="H71" s="187">
        <f>SUM(H69:H70)</f>
        <v>37730.749478702055</v>
      </c>
      <c r="I71" s="188"/>
      <c r="J71" s="188"/>
      <c r="K71" s="188"/>
      <c r="L71" s="189">
        <f>SUM(L69:L70)</f>
        <v>35344.735571204234</v>
      </c>
      <c r="M71" s="190"/>
      <c r="N71" s="191">
        <f>L71-H71</f>
        <v>-2386.0139074978215</v>
      </c>
      <c r="O71" s="192">
        <f>IF((H71)=0,"",(N71/H71))</f>
        <v>-6.3237914445475274E-2</v>
      </c>
    </row>
    <row r="72" spans="1:15" s="105" customFormat="1" ht="13.5" thickBot="1">
      <c r="B72" s="152"/>
      <c r="C72" s="153"/>
      <c r="D72" s="154"/>
      <c r="E72" s="153"/>
      <c r="F72" s="193"/>
      <c r="G72" s="194"/>
      <c r="H72" s="195"/>
      <c r="I72" s="196"/>
      <c r="J72" s="193"/>
      <c r="K72" s="155"/>
      <c r="L72" s="197"/>
      <c r="M72" s="156"/>
      <c r="N72" s="198"/>
      <c r="O72" s="115"/>
    </row>
    <row r="73" spans="1:15">
      <c r="L73" s="97"/>
    </row>
    <row r="74" spans="1:15">
      <c r="B74" s="20" t="s">
        <v>63</v>
      </c>
      <c r="F74" s="199">
        <v>1.0307E-2</v>
      </c>
      <c r="J74" s="199">
        <v>1.0291E-2</v>
      </c>
    </row>
    <row r="76" spans="1:15">
      <c r="A76" s="200" t="s">
        <v>64</v>
      </c>
    </row>
    <row r="78" spans="1:15">
      <c r="A78" s="12" t="s">
        <v>65</v>
      </c>
    </row>
    <row r="79" spans="1:15">
      <c r="A79" s="12" t="s">
        <v>66</v>
      </c>
    </row>
    <row r="81" spans="1:2">
      <c r="A81" s="19" t="s">
        <v>67</v>
      </c>
    </row>
    <row r="82" spans="1:2">
      <c r="A82" s="19" t="s">
        <v>68</v>
      </c>
    </row>
    <row r="84" spans="1:2">
      <c r="A84" s="12" t="s">
        <v>69</v>
      </c>
    </row>
    <row r="85" spans="1:2">
      <c r="A85" s="12" t="s">
        <v>70</v>
      </c>
    </row>
    <row r="86" spans="1:2">
      <c r="A86" s="12" t="s">
        <v>71</v>
      </c>
    </row>
    <row r="87" spans="1:2">
      <c r="A87" s="12" t="s">
        <v>72</v>
      </c>
    </row>
    <row r="88" spans="1:2">
      <c r="A88" s="12" t="s">
        <v>73</v>
      </c>
    </row>
    <row r="90" spans="1:2">
      <c r="A90" s="201"/>
      <c r="B90" s="12" t="s">
        <v>74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 800</vt:lpstr>
      <vt:lpstr>Res 250</vt:lpstr>
      <vt:lpstr>less 2000</vt:lpstr>
      <vt:lpstr>less 10000</vt:lpstr>
      <vt:lpstr>greater 600</vt:lpstr>
      <vt:lpstr>greater 100</vt:lpstr>
      <vt:lpstr>LU</vt:lpstr>
      <vt:lpstr>USL</vt:lpstr>
      <vt:lpstr>Street</vt:lpstr>
      <vt:lpstr>Sent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Kelly Mccann</cp:lastModifiedBy>
  <dcterms:created xsi:type="dcterms:W3CDTF">2014-06-04T14:41:25Z</dcterms:created>
  <dcterms:modified xsi:type="dcterms:W3CDTF">2014-06-04T15:12:54Z</dcterms:modified>
</cp:coreProperties>
</file>