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0700" windowHeight="11760" activeTab="2"/>
  </bookViews>
  <sheets>
    <sheet name="2010" sheetId="12" r:id="rId1"/>
    <sheet name="2011" sheetId="4" r:id="rId2"/>
    <sheet name="2012" sheetId="1" r:id="rId3"/>
    <sheet name="2013" sheetId="5" r:id="rId4"/>
    <sheet name="2014" sheetId="6" r:id="rId5"/>
    <sheet name="2015" sheetId="7" r:id="rId6"/>
    <sheet name="2016" sheetId="8" r:id="rId7"/>
    <sheet name="2017" sheetId="9" r:id="rId8"/>
    <sheet name="2018" sheetId="10" r:id="rId9"/>
    <sheet name="2019" sheetId="11" r:id="rId10"/>
    <sheet name="Schedule of additions" sheetId="2" r:id="rId11"/>
    <sheet name="Sheet3" sheetId="3" r:id="rId12"/>
  </sheets>
  <externalReferences>
    <externalReference r:id="rId13"/>
  </externalReferences>
  <definedNames>
    <definedName name="_xlnm.Print_Area" localSheetId="0">'2010'!$B$2:$Q$75</definedName>
    <definedName name="_xlnm.Print_Area" localSheetId="1">'2011'!$B$2:$Q$75</definedName>
    <definedName name="_xlnm.Print_Area" localSheetId="2">'2012'!$B$2:$Q$75</definedName>
    <definedName name="_xlnm.Print_Area" localSheetId="3">'2013'!$B$2:$Q$75</definedName>
    <definedName name="_xlnm.Print_Area" localSheetId="4">'2014'!$B$2:$Q$75</definedName>
    <definedName name="_xlnm.Print_Area" localSheetId="5">'2015'!$B$2:$Q$75</definedName>
    <definedName name="_xlnm.Print_Area" localSheetId="6">'2016'!$B$2:$Q$75</definedName>
    <definedName name="_xlnm.Print_Area" localSheetId="7">'2017'!$B$2:$Q$75</definedName>
    <definedName name="_xlnm.Print_Area" localSheetId="8">'2018'!$B$2:$Q$75</definedName>
    <definedName name="_xlnm.Print_Area" localSheetId="9">'2019'!$B$2:$Q$75</definedName>
    <definedName name="_xlnm.Print_Area" localSheetId="10">'Schedule of additions'!$C$1:$S$63</definedName>
  </definedNames>
  <calcPr calcId="145621"/>
</workbook>
</file>

<file path=xl/calcChain.xml><?xml version="1.0" encoding="utf-8"?>
<calcChain xmlns="http://schemas.openxmlformats.org/spreadsheetml/2006/main">
  <c r="R65" i="2" l="1"/>
  <c r="V34" i="2"/>
  <c r="V33" i="2"/>
  <c r="V32" i="2"/>
  <c r="R61" i="2" l="1"/>
  <c r="R59" i="2"/>
  <c r="R54" i="2"/>
  <c r="R53" i="2"/>
  <c r="R52" i="2"/>
  <c r="R51" i="2"/>
  <c r="R50" i="2"/>
  <c r="R49" i="2"/>
  <c r="R48" i="2"/>
  <c r="R44" i="2"/>
  <c r="R43" i="2"/>
  <c r="R42" i="2"/>
  <c r="R38" i="2"/>
  <c r="R37" i="2"/>
  <c r="R36" i="2"/>
  <c r="R29" i="2"/>
  <c r="R28" i="2"/>
  <c r="R27" i="2"/>
  <c r="R26" i="2"/>
  <c r="R25" i="2"/>
  <c r="R24" i="2"/>
  <c r="R20" i="2"/>
  <c r="R19" i="2"/>
  <c r="R21" i="2" s="1"/>
  <c r="R15" i="2"/>
  <c r="R14" i="2"/>
  <c r="R13" i="2"/>
  <c r="R12" i="2"/>
  <c r="R10" i="2"/>
  <c r="R8" i="2"/>
  <c r="O61" i="2"/>
  <c r="O59" i="2"/>
  <c r="S59" i="2" s="1"/>
  <c r="O54" i="2"/>
  <c r="O53" i="2"/>
  <c r="O52" i="2"/>
  <c r="O51" i="2"/>
  <c r="O50" i="2"/>
  <c r="O49" i="2"/>
  <c r="O48" i="2"/>
  <c r="P48" i="2" s="1"/>
  <c r="O44" i="2"/>
  <c r="O43" i="2"/>
  <c r="S43" i="2" s="1"/>
  <c r="O42" i="2"/>
  <c r="O38" i="2"/>
  <c r="O37" i="2"/>
  <c r="O36" i="2"/>
  <c r="O29" i="2"/>
  <c r="O28" i="2"/>
  <c r="O27" i="2"/>
  <c r="O26" i="2"/>
  <c r="O25" i="2"/>
  <c r="O24" i="2"/>
  <c r="O20" i="2"/>
  <c r="O19" i="2"/>
  <c r="O21" i="2" s="1"/>
  <c r="O15" i="2"/>
  <c r="O14" i="2"/>
  <c r="O13" i="2"/>
  <c r="O12" i="2"/>
  <c r="P12" i="2" s="1"/>
  <c r="O10" i="2"/>
  <c r="O8" i="2"/>
  <c r="S53" i="2"/>
  <c r="S28" i="2"/>
  <c r="S14" i="2"/>
  <c r="S3" i="2"/>
  <c r="P3" i="2"/>
  <c r="L61" i="2"/>
  <c r="L59" i="2"/>
  <c r="L54" i="2"/>
  <c r="L53" i="2"/>
  <c r="P53" i="2" s="1"/>
  <c r="L52" i="2"/>
  <c r="L51" i="2"/>
  <c r="L50" i="2"/>
  <c r="L49" i="2"/>
  <c r="L48" i="2"/>
  <c r="L44" i="2"/>
  <c r="L43" i="2"/>
  <c r="L42" i="2"/>
  <c r="L38" i="2"/>
  <c r="L37" i="2"/>
  <c r="L36" i="2"/>
  <c r="L29" i="2"/>
  <c r="L28" i="2"/>
  <c r="L27" i="2"/>
  <c r="L26" i="2"/>
  <c r="L25" i="2"/>
  <c r="M25" i="2" s="1"/>
  <c r="L24" i="2"/>
  <c r="L20" i="2"/>
  <c r="L19" i="2"/>
  <c r="L15" i="2"/>
  <c r="L14" i="2"/>
  <c r="L13" i="2"/>
  <c r="L12" i="2"/>
  <c r="M12" i="2" s="1"/>
  <c r="L10" i="2"/>
  <c r="M10" i="2" s="1"/>
  <c r="L8" i="2"/>
  <c r="M3" i="2"/>
  <c r="I29" i="2"/>
  <c r="J29" i="2" s="1"/>
  <c r="I28" i="2"/>
  <c r="I27" i="2"/>
  <c r="I26" i="2"/>
  <c r="I25" i="2"/>
  <c r="I24" i="2"/>
  <c r="M24" i="2" s="1"/>
  <c r="I20" i="2"/>
  <c r="I19" i="2"/>
  <c r="I15" i="2"/>
  <c r="J15" i="2" s="1"/>
  <c r="I14" i="2"/>
  <c r="I13" i="2"/>
  <c r="I12" i="2"/>
  <c r="I10" i="2"/>
  <c r="I8" i="2"/>
  <c r="J8" i="2" s="1"/>
  <c r="I61" i="2"/>
  <c r="I59" i="2"/>
  <c r="I54" i="2"/>
  <c r="I53" i="2"/>
  <c r="I52" i="2"/>
  <c r="I51" i="2"/>
  <c r="I50" i="2"/>
  <c r="I49" i="2"/>
  <c r="I48" i="2"/>
  <c r="I44" i="2"/>
  <c r="J44" i="2" s="1"/>
  <c r="I43" i="2"/>
  <c r="I42" i="2"/>
  <c r="I45" i="2" s="1"/>
  <c r="I38" i="2"/>
  <c r="I37" i="2"/>
  <c r="I36" i="2"/>
  <c r="F61" i="2"/>
  <c r="F59" i="2"/>
  <c r="G59" i="2" s="1"/>
  <c r="F54" i="2"/>
  <c r="G54" i="2" s="1"/>
  <c r="F53" i="2"/>
  <c r="F52" i="2"/>
  <c r="F51" i="2"/>
  <c r="F50" i="2"/>
  <c r="F49" i="2"/>
  <c r="F48" i="2"/>
  <c r="J48" i="2" s="1"/>
  <c r="F44" i="2"/>
  <c r="F43" i="2"/>
  <c r="G43" i="2" s="1"/>
  <c r="F42" i="2"/>
  <c r="F38" i="2"/>
  <c r="F37" i="2"/>
  <c r="F36" i="2"/>
  <c r="F39" i="2" s="1"/>
  <c r="F29" i="2"/>
  <c r="F28" i="2"/>
  <c r="F27" i="2"/>
  <c r="G27" i="2" s="1"/>
  <c r="F26" i="2"/>
  <c r="G26" i="2" s="1"/>
  <c r="F25" i="2"/>
  <c r="F24" i="2"/>
  <c r="F20" i="2"/>
  <c r="F19" i="2"/>
  <c r="F21" i="2" s="1"/>
  <c r="F15" i="2"/>
  <c r="F14" i="2"/>
  <c r="F13" i="2"/>
  <c r="J13" i="2" s="1"/>
  <c r="F12" i="2"/>
  <c r="G12" i="2" s="1"/>
  <c r="F10" i="2"/>
  <c r="G10" i="2" s="1"/>
  <c r="F8" i="2"/>
  <c r="G8" i="2" s="1"/>
  <c r="E20" i="2"/>
  <c r="E12" i="2"/>
  <c r="Y25" i="2"/>
  <c r="E61" i="2"/>
  <c r="E54" i="2"/>
  <c r="E53" i="2"/>
  <c r="E52" i="2"/>
  <c r="E51" i="2"/>
  <c r="G51" i="2" s="1"/>
  <c r="E50" i="2"/>
  <c r="E49" i="2"/>
  <c r="E48" i="2"/>
  <c r="E44" i="2"/>
  <c r="E43" i="2"/>
  <c r="E42" i="2"/>
  <c r="E38" i="2"/>
  <c r="E37" i="2"/>
  <c r="E36" i="2"/>
  <c r="E26" i="2"/>
  <c r="E29" i="2"/>
  <c r="E28" i="2"/>
  <c r="E27" i="2"/>
  <c r="E25" i="2"/>
  <c r="E24" i="2"/>
  <c r="G24" i="2" s="1"/>
  <c r="E19" i="2"/>
  <c r="E15" i="2"/>
  <c r="E14" i="2"/>
  <c r="E13" i="2"/>
  <c r="D54" i="2"/>
  <c r="D53" i="2"/>
  <c r="D52" i="2"/>
  <c r="D51" i="2"/>
  <c r="D50" i="2"/>
  <c r="D49" i="2"/>
  <c r="D48" i="2"/>
  <c r="C54" i="2"/>
  <c r="C53" i="2"/>
  <c r="C52" i="2"/>
  <c r="C51" i="2"/>
  <c r="C50" i="2"/>
  <c r="C49" i="2"/>
  <c r="C48" i="2"/>
  <c r="D44" i="2"/>
  <c r="D43" i="2"/>
  <c r="D42" i="2"/>
  <c r="C44" i="2"/>
  <c r="C43" i="2"/>
  <c r="C42" i="2"/>
  <c r="D38" i="2"/>
  <c r="C38" i="2"/>
  <c r="D37" i="2"/>
  <c r="C37" i="2"/>
  <c r="D36" i="2"/>
  <c r="C36" i="2"/>
  <c r="D29" i="2"/>
  <c r="C29" i="2"/>
  <c r="D28" i="2"/>
  <c r="C28" i="2"/>
  <c r="D27" i="2"/>
  <c r="C27" i="2"/>
  <c r="D26" i="2"/>
  <c r="C26" i="2"/>
  <c r="D25" i="2"/>
  <c r="C25" i="2"/>
  <c r="D24" i="2"/>
  <c r="C24" i="2"/>
  <c r="J54" i="2" l="1"/>
  <c r="G29" i="2"/>
  <c r="G49" i="2"/>
  <c r="J50" i="2"/>
  <c r="J10" i="2"/>
  <c r="J25" i="2"/>
  <c r="S12" i="2"/>
  <c r="S26" i="2"/>
  <c r="E39" i="2"/>
  <c r="J37" i="2"/>
  <c r="J51" i="2"/>
  <c r="J12" i="2"/>
  <c r="J26" i="2"/>
  <c r="M52" i="2"/>
  <c r="P52" i="2"/>
  <c r="J53" i="2"/>
  <c r="J38" i="2"/>
  <c r="J27" i="2"/>
  <c r="M42" i="2"/>
  <c r="S36" i="2"/>
  <c r="S49" i="2"/>
  <c r="S13" i="2"/>
  <c r="S27" i="2"/>
  <c r="S44" i="2"/>
  <c r="S54" i="2"/>
  <c r="P10" i="2"/>
  <c r="G50" i="2"/>
  <c r="O45" i="2"/>
  <c r="G53" i="2"/>
  <c r="P15" i="2"/>
  <c r="P16" i="2" s="1"/>
  <c r="P61" i="2"/>
  <c r="G14" i="2"/>
  <c r="G44" i="2"/>
  <c r="J59" i="2"/>
  <c r="J19" i="2"/>
  <c r="L39" i="2"/>
  <c r="P36" i="2"/>
  <c r="P49" i="2"/>
  <c r="S20" i="2"/>
  <c r="S37" i="2"/>
  <c r="S50" i="2"/>
  <c r="G37" i="2"/>
  <c r="P29" i="2"/>
  <c r="G15" i="2"/>
  <c r="G28" i="2"/>
  <c r="F55" i="2"/>
  <c r="J61" i="2"/>
  <c r="P20" i="2"/>
  <c r="O39" i="2"/>
  <c r="P50" i="2"/>
  <c r="S24" i="2"/>
  <c r="S38" i="2"/>
  <c r="S51" i="2"/>
  <c r="P42" i="2"/>
  <c r="P45" i="2" s="1"/>
  <c r="G20" i="2"/>
  <c r="O30" i="2"/>
  <c r="F16" i="2"/>
  <c r="G61" i="2"/>
  <c r="J36" i="2"/>
  <c r="J39" i="2" s="1"/>
  <c r="J49" i="2"/>
  <c r="J24" i="2"/>
  <c r="J20" i="2"/>
  <c r="M51" i="2"/>
  <c r="P8" i="2"/>
  <c r="P24" i="2"/>
  <c r="P38" i="2"/>
  <c r="P51" i="2"/>
  <c r="S10" i="2"/>
  <c r="S25" i="2"/>
  <c r="S42" i="2"/>
  <c r="S45" i="2" s="1"/>
  <c r="S52" i="2"/>
  <c r="F30" i="2"/>
  <c r="G38" i="2"/>
  <c r="G36" i="2"/>
  <c r="P13" i="2"/>
  <c r="P27" i="2"/>
  <c r="P44" i="2"/>
  <c r="P54" i="2"/>
  <c r="P25" i="2"/>
  <c r="G25" i="2"/>
  <c r="G30" i="2" s="1"/>
  <c r="G42" i="2"/>
  <c r="J52" i="2"/>
  <c r="J43" i="2"/>
  <c r="J14" i="2"/>
  <c r="J16" i="2" s="1"/>
  <c r="J28" i="2"/>
  <c r="P14" i="2"/>
  <c r="P28" i="2"/>
  <c r="P59" i="2"/>
  <c r="S15" i="2"/>
  <c r="S29" i="2"/>
  <c r="S48" i="2"/>
  <c r="S61" i="2"/>
  <c r="S19" i="2"/>
  <c r="S21" i="2" s="1"/>
  <c r="S8" i="2"/>
  <c r="R30" i="2"/>
  <c r="R45" i="2"/>
  <c r="R39" i="2"/>
  <c r="R16" i="2"/>
  <c r="R55" i="2"/>
  <c r="P19" i="2"/>
  <c r="P21" i="2" s="1"/>
  <c r="P37" i="2"/>
  <c r="P43" i="2"/>
  <c r="P26" i="2"/>
  <c r="O16" i="2"/>
  <c r="O32" i="2" s="1"/>
  <c r="O55" i="2"/>
  <c r="M36" i="2"/>
  <c r="J30" i="2"/>
  <c r="G19" i="2"/>
  <c r="G21" i="2" s="1"/>
  <c r="I55" i="2"/>
  <c r="J42" i="2"/>
  <c r="M19" i="2"/>
  <c r="M49" i="2"/>
  <c r="G52" i="2"/>
  <c r="L21" i="2"/>
  <c r="M37" i="2"/>
  <c r="M50" i="2"/>
  <c r="I39" i="2"/>
  <c r="M26" i="2"/>
  <c r="M43" i="2"/>
  <c r="M53" i="2"/>
  <c r="I21" i="2"/>
  <c r="G13" i="2"/>
  <c r="G16" i="2" s="1"/>
  <c r="G48" i="2"/>
  <c r="M13" i="2"/>
  <c r="M27" i="2"/>
  <c r="L45" i="2"/>
  <c r="M54" i="2"/>
  <c r="M14" i="2"/>
  <c r="M28" i="2"/>
  <c r="M59" i="2"/>
  <c r="F45" i="2"/>
  <c r="F57" i="2" s="1"/>
  <c r="M15" i="2"/>
  <c r="M29" i="2"/>
  <c r="M48" i="2"/>
  <c r="M61" i="2"/>
  <c r="L30" i="2"/>
  <c r="M8" i="2"/>
  <c r="M20" i="2"/>
  <c r="M38" i="2"/>
  <c r="M44" i="2"/>
  <c r="L16" i="2"/>
  <c r="L55" i="2"/>
  <c r="I30" i="2"/>
  <c r="I16" i="2"/>
  <c r="E45" i="2"/>
  <c r="E55" i="2"/>
  <c r="E21" i="2"/>
  <c r="E30" i="2"/>
  <c r="E16" i="2"/>
  <c r="A29" i="2"/>
  <c r="A25" i="2"/>
  <c r="B24" i="2" s="1"/>
  <c r="B25" i="2" s="1"/>
  <c r="A20" i="2"/>
  <c r="B19" i="2" s="1"/>
  <c r="B20" i="2" s="1"/>
  <c r="D20" i="2"/>
  <c r="D19" i="2"/>
  <c r="C20" i="2"/>
  <c r="C19" i="2"/>
  <c r="C13" i="2"/>
  <c r="D13" i="2"/>
  <c r="C14" i="2"/>
  <c r="D14" i="2"/>
  <c r="C15" i="2"/>
  <c r="D15" i="2"/>
  <c r="D12" i="2"/>
  <c r="C12" i="2"/>
  <c r="D10" i="2"/>
  <c r="C10" i="2"/>
  <c r="D8" i="2"/>
  <c r="C8" i="2"/>
  <c r="E57" i="2" l="1"/>
  <c r="Y24" i="2" s="1"/>
  <c r="J45" i="2"/>
  <c r="J57" i="2" s="1"/>
  <c r="M45" i="2"/>
  <c r="O57" i="2"/>
  <c r="J55" i="2"/>
  <c r="G39" i="2"/>
  <c r="J21" i="2"/>
  <c r="J32" i="2" s="1"/>
  <c r="G32" i="2"/>
  <c r="S16" i="2"/>
  <c r="F32" i="2"/>
  <c r="F63" i="2" s="1"/>
  <c r="S39" i="2"/>
  <c r="P55" i="2"/>
  <c r="S55" i="2"/>
  <c r="P30" i="2"/>
  <c r="P32" i="2" s="1"/>
  <c r="G57" i="2"/>
  <c r="G63" i="2" s="1"/>
  <c r="G55" i="2"/>
  <c r="G45" i="2"/>
  <c r="S30" i="2"/>
  <c r="S32" i="2" s="1"/>
  <c r="O63" i="2"/>
  <c r="L32" i="2"/>
  <c r="P39" i="2"/>
  <c r="P57" i="2" s="1"/>
  <c r="R32" i="2"/>
  <c r="R57" i="2"/>
  <c r="M55" i="2"/>
  <c r="M30" i="2"/>
  <c r="M39" i="2"/>
  <c r="M21" i="2"/>
  <c r="L57" i="2"/>
  <c r="M16" i="2"/>
  <c r="M32" i="2" s="1"/>
  <c r="I57" i="2"/>
  <c r="I32" i="2"/>
  <c r="E32" i="2"/>
  <c r="J53" i="7"/>
  <c r="J63" i="2" l="1"/>
  <c r="S57" i="2"/>
  <c r="R63" i="2"/>
  <c r="S63" i="2"/>
  <c r="P63" i="2"/>
  <c r="M57" i="2"/>
  <c r="L63" i="2"/>
  <c r="M63" i="2"/>
  <c r="I63" i="2"/>
  <c r="E63" i="2"/>
  <c r="Y23" i="2"/>
  <c r="G69" i="1"/>
  <c r="J46" i="6" l="1"/>
  <c r="J47" i="6"/>
  <c r="J48" i="6"/>
  <c r="J49" i="6"/>
  <c r="J50" i="6"/>
  <c r="J51" i="6"/>
  <c r="J52" i="6"/>
  <c r="J53" i="6"/>
  <c r="J55" i="6"/>
  <c r="J45" i="6"/>
  <c r="J27" i="6"/>
  <c r="J28" i="6"/>
  <c r="J29" i="6"/>
  <c r="J30" i="6"/>
  <c r="J31" i="6"/>
  <c r="J32" i="6"/>
  <c r="J33" i="6"/>
  <c r="J34" i="6"/>
  <c r="J35" i="6"/>
  <c r="J36" i="6"/>
  <c r="J37" i="6"/>
  <c r="J26" i="6"/>
  <c r="J9" i="6"/>
  <c r="J10" i="6"/>
  <c r="J11" i="6"/>
  <c r="J12" i="6"/>
  <c r="J13" i="6"/>
  <c r="J14" i="6"/>
  <c r="J15" i="6"/>
  <c r="J16" i="6"/>
  <c r="J17" i="6"/>
  <c r="J18" i="6"/>
  <c r="J19" i="6"/>
  <c r="J20" i="6"/>
  <c r="J8" i="6"/>
  <c r="J53" i="11"/>
  <c r="J27" i="11"/>
  <c r="J34" i="11"/>
  <c r="J35" i="11"/>
  <c r="J9" i="11"/>
  <c r="J10" i="11"/>
  <c r="J11" i="11"/>
  <c r="J12" i="11"/>
  <c r="J13" i="11"/>
  <c r="J17" i="11"/>
  <c r="J19" i="11"/>
  <c r="J20" i="11"/>
  <c r="J8" i="11"/>
  <c r="J53" i="10"/>
  <c r="J27" i="10"/>
  <c r="J34" i="10"/>
  <c r="J35" i="10"/>
  <c r="J9" i="10"/>
  <c r="J10" i="10"/>
  <c r="J11" i="10"/>
  <c r="J12" i="10"/>
  <c r="J13" i="10"/>
  <c r="J17" i="10"/>
  <c r="J19" i="10"/>
  <c r="J20" i="10"/>
  <c r="J8" i="10"/>
  <c r="J53" i="9"/>
  <c r="J27" i="9"/>
  <c r="J34" i="9"/>
  <c r="J35" i="9"/>
  <c r="J9" i="9"/>
  <c r="J10" i="9"/>
  <c r="J11" i="9"/>
  <c r="J12" i="9"/>
  <c r="J13" i="9"/>
  <c r="J17" i="9"/>
  <c r="J19" i="9"/>
  <c r="J20" i="9"/>
  <c r="J8" i="9"/>
  <c r="J53" i="8"/>
  <c r="J27" i="8"/>
  <c r="J34" i="8"/>
  <c r="J35" i="8"/>
  <c r="J9" i="8"/>
  <c r="J10" i="8"/>
  <c r="J11" i="8"/>
  <c r="J12" i="8"/>
  <c r="J13" i="8"/>
  <c r="J17" i="8"/>
  <c r="J18" i="8"/>
  <c r="J19" i="8"/>
  <c r="J20" i="8"/>
  <c r="J8" i="8"/>
  <c r="J27" i="7"/>
  <c r="J31" i="7"/>
  <c r="J34" i="7"/>
  <c r="J35" i="7"/>
  <c r="J9" i="7"/>
  <c r="J10" i="7"/>
  <c r="J11" i="7"/>
  <c r="J12" i="7"/>
  <c r="J13" i="7"/>
  <c r="J17" i="7"/>
  <c r="J18" i="7"/>
  <c r="J19" i="7"/>
  <c r="J20" i="7"/>
  <c r="J8" i="7"/>
  <c r="E30" i="8"/>
  <c r="E18" i="11" l="1"/>
  <c r="E18" i="10"/>
  <c r="E18" i="9"/>
  <c r="E18" i="8"/>
  <c r="E18" i="7"/>
  <c r="E18" i="6"/>
  <c r="D53" i="1" l="1"/>
  <c r="E28" i="1"/>
  <c r="E27" i="1"/>
  <c r="C93" i="1" l="1"/>
  <c r="E85" i="4"/>
  <c r="E84" i="4"/>
  <c r="E83" i="4"/>
  <c r="E86" i="4"/>
  <c r="E87" i="4"/>
  <c r="E81" i="4"/>
  <c r="E80" i="4"/>
  <c r="C88" i="4"/>
  <c r="E12" i="12"/>
  <c r="G12" i="12" s="1"/>
  <c r="D12" i="12"/>
  <c r="D79" i="12"/>
  <c r="G75" i="12"/>
  <c r="G74" i="12"/>
  <c r="D20" i="4"/>
  <c r="D8" i="4"/>
  <c r="D9" i="4"/>
  <c r="D10" i="4"/>
  <c r="D11" i="4"/>
  <c r="D13" i="4"/>
  <c r="D14" i="4"/>
  <c r="D15" i="4"/>
  <c r="D16" i="4"/>
  <c r="D17" i="4"/>
  <c r="D18" i="4"/>
  <c r="D19" i="4"/>
  <c r="D7" i="4"/>
  <c r="G10" i="12"/>
  <c r="G11" i="12"/>
  <c r="G13" i="12"/>
  <c r="G14" i="12"/>
  <c r="G15" i="12"/>
  <c r="G16" i="12"/>
  <c r="G17" i="12"/>
  <c r="G18" i="12"/>
  <c r="G19" i="12"/>
  <c r="G20" i="12"/>
  <c r="G9" i="12"/>
  <c r="G8" i="12"/>
  <c r="G7" i="12"/>
  <c r="I68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N32" i="12"/>
  <c r="J36" i="12"/>
  <c r="J35" i="12"/>
  <c r="J34" i="12"/>
  <c r="J29" i="12"/>
  <c r="P29" i="12" s="1"/>
  <c r="J28" i="12"/>
  <c r="J27" i="12"/>
  <c r="J26" i="12"/>
  <c r="L36" i="12"/>
  <c r="L35" i="12"/>
  <c r="L34" i="12"/>
  <c r="L33" i="12"/>
  <c r="J33" i="12" s="1"/>
  <c r="P33" i="12" s="1"/>
  <c r="L32" i="12"/>
  <c r="J32" i="12" s="1"/>
  <c r="P32" i="12" s="1"/>
  <c r="L31" i="12"/>
  <c r="J31" i="12" s="1"/>
  <c r="P31" i="12" s="1"/>
  <c r="L30" i="12"/>
  <c r="J30" i="12" s="1"/>
  <c r="P30" i="12" s="1"/>
  <c r="L29" i="12"/>
  <c r="L28" i="12"/>
  <c r="L27" i="12"/>
  <c r="L26" i="12"/>
  <c r="L25" i="12"/>
  <c r="J25" i="12" s="1"/>
  <c r="P25" i="12" s="1"/>
  <c r="J20" i="12"/>
  <c r="P20" i="12" s="1"/>
  <c r="J19" i="12"/>
  <c r="P19" i="12" s="1"/>
  <c r="J13" i="12"/>
  <c r="P13" i="12" s="1"/>
  <c r="J12" i="12"/>
  <c r="P12" i="12" s="1"/>
  <c r="J11" i="12"/>
  <c r="L20" i="12"/>
  <c r="L19" i="12"/>
  <c r="L18" i="12"/>
  <c r="J18" i="12" s="1"/>
  <c r="P18" i="12" s="1"/>
  <c r="L17" i="12"/>
  <c r="J17" i="12" s="1"/>
  <c r="P17" i="12" s="1"/>
  <c r="L16" i="12"/>
  <c r="J16" i="12" s="1"/>
  <c r="P16" i="12" s="1"/>
  <c r="L15" i="12"/>
  <c r="J15" i="12" s="1"/>
  <c r="P15" i="12" s="1"/>
  <c r="L14" i="12"/>
  <c r="J14" i="12" s="1"/>
  <c r="P14" i="12" s="1"/>
  <c r="L13" i="12"/>
  <c r="L12" i="12"/>
  <c r="L11" i="12"/>
  <c r="L10" i="12"/>
  <c r="J10" i="12" s="1"/>
  <c r="P10" i="12" s="1"/>
  <c r="L9" i="12"/>
  <c r="J9" i="12" s="1"/>
  <c r="P9" i="12" s="1"/>
  <c r="L8" i="12"/>
  <c r="J8" i="12" s="1"/>
  <c r="C68" i="12"/>
  <c r="G55" i="12"/>
  <c r="G54" i="12"/>
  <c r="G53" i="12"/>
  <c r="G52" i="12"/>
  <c r="G51" i="12"/>
  <c r="G50" i="12"/>
  <c r="G49" i="12"/>
  <c r="G48" i="12"/>
  <c r="G47" i="12"/>
  <c r="G46" i="12"/>
  <c r="G45" i="12"/>
  <c r="D20" i="12"/>
  <c r="D19" i="12"/>
  <c r="D17" i="12"/>
  <c r="D16" i="12"/>
  <c r="D15" i="12"/>
  <c r="D14" i="12"/>
  <c r="D13" i="12"/>
  <c r="N13" i="12"/>
  <c r="D11" i="12"/>
  <c r="D10" i="12"/>
  <c r="D9" i="12"/>
  <c r="E29" i="12"/>
  <c r="O29" i="12" s="1"/>
  <c r="E30" i="12"/>
  <c r="O30" i="12" s="1"/>
  <c r="E25" i="12"/>
  <c r="O25" i="12" s="1"/>
  <c r="O8" i="12"/>
  <c r="O9" i="12"/>
  <c r="O17" i="12"/>
  <c r="O18" i="12"/>
  <c r="G37" i="12"/>
  <c r="G36" i="12"/>
  <c r="E36" i="12" s="1"/>
  <c r="O36" i="12" s="1"/>
  <c r="G35" i="12"/>
  <c r="E35" i="12" s="1"/>
  <c r="O35" i="12" s="1"/>
  <c r="G34" i="12"/>
  <c r="E34" i="12" s="1"/>
  <c r="O34" i="12" s="1"/>
  <c r="G33" i="12"/>
  <c r="E33" i="12" s="1"/>
  <c r="O33" i="12" s="1"/>
  <c r="G32" i="12"/>
  <c r="E32" i="12" s="1"/>
  <c r="O32" i="12" s="1"/>
  <c r="G31" i="12"/>
  <c r="E31" i="12" s="1"/>
  <c r="O31" i="12" s="1"/>
  <c r="G30" i="12"/>
  <c r="G29" i="12"/>
  <c r="G28" i="12"/>
  <c r="E28" i="12" s="1"/>
  <c r="O28" i="12" s="1"/>
  <c r="G27" i="12"/>
  <c r="E27" i="12" s="1"/>
  <c r="O27" i="12" s="1"/>
  <c r="G26" i="12"/>
  <c r="G72" i="12" s="1"/>
  <c r="G25" i="12"/>
  <c r="G71" i="12" s="1"/>
  <c r="N34" i="12"/>
  <c r="N30" i="12"/>
  <c r="N28" i="12"/>
  <c r="D39" i="12"/>
  <c r="P62" i="12"/>
  <c r="O62" i="12"/>
  <c r="Q62" i="12" s="1"/>
  <c r="N62" i="12"/>
  <c r="L62" i="12"/>
  <c r="G62" i="12"/>
  <c r="K58" i="12"/>
  <c r="F58" i="12"/>
  <c r="Q56" i="12"/>
  <c r="G56" i="12"/>
  <c r="O55" i="12"/>
  <c r="K39" i="12"/>
  <c r="I39" i="12"/>
  <c r="F39" i="12"/>
  <c r="P38" i="12"/>
  <c r="O38" i="12"/>
  <c r="N38" i="12"/>
  <c r="Q38" i="12" s="1"/>
  <c r="L38" i="12"/>
  <c r="G38" i="12"/>
  <c r="P37" i="12"/>
  <c r="O37" i="12"/>
  <c r="Q37" i="12" s="1"/>
  <c r="N37" i="12"/>
  <c r="L37" i="12"/>
  <c r="P36" i="12"/>
  <c r="P35" i="12"/>
  <c r="N35" i="12"/>
  <c r="P34" i="12"/>
  <c r="N33" i="12"/>
  <c r="N31" i="12"/>
  <c r="N29" i="12"/>
  <c r="P28" i="12"/>
  <c r="P27" i="12"/>
  <c r="N27" i="12"/>
  <c r="N26" i="12"/>
  <c r="K22" i="12"/>
  <c r="K61" i="12" s="1"/>
  <c r="K64" i="12" s="1"/>
  <c r="F22" i="12"/>
  <c r="F61" i="12" s="1"/>
  <c r="F64" i="12" s="1"/>
  <c r="N20" i="12"/>
  <c r="N19" i="12"/>
  <c r="N18" i="12"/>
  <c r="N17" i="12"/>
  <c r="T17" i="12" s="1"/>
  <c r="N16" i="12"/>
  <c r="N15" i="12"/>
  <c r="N11" i="12"/>
  <c r="P11" i="12"/>
  <c r="N9" i="12"/>
  <c r="P7" i="12"/>
  <c r="O7" i="12"/>
  <c r="N7" i="12"/>
  <c r="L7" i="12"/>
  <c r="G77" i="12" l="1"/>
  <c r="Q27" i="12"/>
  <c r="E26" i="12"/>
  <c r="O26" i="12" s="1"/>
  <c r="G76" i="12"/>
  <c r="D12" i="4"/>
  <c r="Q32" i="12"/>
  <c r="O13" i="12"/>
  <c r="Q13" i="12" s="1"/>
  <c r="N10" i="12"/>
  <c r="Q31" i="12"/>
  <c r="Q29" i="12"/>
  <c r="Q33" i="12"/>
  <c r="Q30" i="12"/>
  <c r="Q34" i="12"/>
  <c r="Q18" i="12"/>
  <c r="N36" i="12"/>
  <c r="Q36" i="12" s="1"/>
  <c r="Q28" i="12"/>
  <c r="N25" i="12"/>
  <c r="Q35" i="12"/>
  <c r="Q9" i="12"/>
  <c r="O12" i="12"/>
  <c r="T18" i="12"/>
  <c r="T19" i="12" s="1"/>
  <c r="U17" i="12" s="1"/>
  <c r="G39" i="12"/>
  <c r="L39" i="12"/>
  <c r="L22" i="12"/>
  <c r="Q7" i="12"/>
  <c r="N12" i="12"/>
  <c r="O16" i="12"/>
  <c r="Q16" i="12" s="1"/>
  <c r="Q17" i="12"/>
  <c r="O20" i="12"/>
  <c r="Q20" i="12" s="1"/>
  <c r="O19" i="12"/>
  <c r="Q19" i="12" s="1"/>
  <c r="P26" i="12"/>
  <c r="P39" i="12" s="1"/>
  <c r="O14" i="12"/>
  <c r="O15" i="12"/>
  <c r="Q15" i="12" s="1"/>
  <c r="J39" i="12"/>
  <c r="N14" i="12"/>
  <c r="O11" i="12"/>
  <c r="Q11" i="12" s="1"/>
  <c r="D22" i="12"/>
  <c r="O10" i="12"/>
  <c r="Q10" i="12" s="1"/>
  <c r="E39" i="12" l="1"/>
  <c r="Q26" i="12"/>
  <c r="N39" i="12"/>
  <c r="Q12" i="12"/>
  <c r="Q14" i="12"/>
  <c r="Q25" i="12"/>
  <c r="E22" i="12"/>
  <c r="O39" i="12"/>
  <c r="O22" i="12"/>
  <c r="G58" i="12"/>
  <c r="U18" i="12"/>
  <c r="G73" i="12" l="1"/>
  <c r="G79" i="12" s="1"/>
  <c r="E49" i="12"/>
  <c r="E48" i="12"/>
  <c r="E47" i="12"/>
  <c r="E50" i="12"/>
  <c r="E52" i="12"/>
  <c r="E51" i="12"/>
  <c r="E45" i="12"/>
  <c r="E53" i="12"/>
  <c r="E54" i="12"/>
  <c r="E46" i="12"/>
  <c r="Q39" i="12"/>
  <c r="G22" i="12"/>
  <c r="I44" i="11"/>
  <c r="P62" i="11"/>
  <c r="O62" i="11"/>
  <c r="L62" i="11"/>
  <c r="F61" i="11"/>
  <c r="F64" i="11" s="1"/>
  <c r="K58" i="11"/>
  <c r="F58" i="11"/>
  <c r="E58" i="11"/>
  <c r="Q56" i="11"/>
  <c r="O55" i="11"/>
  <c r="O54" i="11"/>
  <c r="P53" i="11"/>
  <c r="O53" i="11"/>
  <c r="O52" i="11"/>
  <c r="O51" i="11"/>
  <c r="O50" i="11"/>
  <c r="O49" i="11"/>
  <c r="O48" i="11"/>
  <c r="O47" i="11"/>
  <c r="O46" i="11"/>
  <c r="O45" i="11"/>
  <c r="P44" i="11"/>
  <c r="O44" i="11"/>
  <c r="K39" i="11"/>
  <c r="F39" i="11"/>
  <c r="E39" i="11"/>
  <c r="P38" i="11"/>
  <c r="O38" i="11"/>
  <c r="N38" i="11"/>
  <c r="L38" i="11"/>
  <c r="G38" i="11"/>
  <c r="O37" i="11"/>
  <c r="O36" i="11"/>
  <c r="P35" i="11"/>
  <c r="O35" i="11"/>
  <c r="P34" i="11"/>
  <c r="O34" i="11"/>
  <c r="O33" i="11"/>
  <c r="O32" i="11"/>
  <c r="O31" i="11"/>
  <c r="O30" i="11"/>
  <c r="O29" i="11"/>
  <c r="O28" i="11"/>
  <c r="P27" i="11"/>
  <c r="O27" i="11"/>
  <c r="O26" i="11"/>
  <c r="P25" i="11"/>
  <c r="O25" i="11"/>
  <c r="K22" i="11"/>
  <c r="K61" i="11" s="1"/>
  <c r="K64" i="11" s="1"/>
  <c r="F22" i="11"/>
  <c r="E22" i="11"/>
  <c r="P20" i="11"/>
  <c r="O20" i="11"/>
  <c r="P19" i="11"/>
  <c r="O19" i="11"/>
  <c r="O18" i="11"/>
  <c r="P17" i="11"/>
  <c r="O17" i="11"/>
  <c r="O16" i="11"/>
  <c r="O15" i="11"/>
  <c r="O14" i="11"/>
  <c r="P13" i="11"/>
  <c r="O13" i="11"/>
  <c r="P12" i="11"/>
  <c r="O12" i="11"/>
  <c r="P11" i="11"/>
  <c r="O11" i="11"/>
  <c r="P10" i="11"/>
  <c r="O10" i="11"/>
  <c r="P9" i="11"/>
  <c r="O9" i="11"/>
  <c r="P8" i="11"/>
  <c r="O8" i="11"/>
  <c r="P7" i="11"/>
  <c r="O7" i="11"/>
  <c r="I44" i="10"/>
  <c r="P62" i="10"/>
  <c r="O62" i="10"/>
  <c r="L62" i="10"/>
  <c r="K58" i="10"/>
  <c r="F58" i="10"/>
  <c r="E58" i="10"/>
  <c r="Q56" i="10"/>
  <c r="O55" i="10"/>
  <c r="O54" i="10"/>
  <c r="P53" i="10"/>
  <c r="O53" i="10"/>
  <c r="O52" i="10"/>
  <c r="O51" i="10"/>
  <c r="O50" i="10"/>
  <c r="O49" i="10"/>
  <c r="O48" i="10"/>
  <c r="O47" i="10"/>
  <c r="O46" i="10"/>
  <c r="O45" i="10"/>
  <c r="P44" i="10"/>
  <c r="O44" i="10"/>
  <c r="K39" i="10"/>
  <c r="F39" i="10"/>
  <c r="E39" i="10"/>
  <c r="P38" i="10"/>
  <c r="O38" i="10"/>
  <c r="N38" i="10"/>
  <c r="L38" i="10"/>
  <c r="G38" i="10"/>
  <c r="O37" i="10"/>
  <c r="O36" i="10"/>
  <c r="P35" i="10"/>
  <c r="O35" i="10"/>
  <c r="P34" i="10"/>
  <c r="O34" i="10"/>
  <c r="O33" i="10"/>
  <c r="O32" i="10"/>
  <c r="O31" i="10"/>
  <c r="O30" i="10"/>
  <c r="O29" i="10"/>
  <c r="O28" i="10"/>
  <c r="P27" i="10"/>
  <c r="O27" i="10"/>
  <c r="O26" i="10"/>
  <c r="P25" i="10"/>
  <c r="O25" i="10"/>
  <c r="K22" i="10"/>
  <c r="K61" i="10" s="1"/>
  <c r="K64" i="10" s="1"/>
  <c r="F22" i="10"/>
  <c r="F61" i="10" s="1"/>
  <c r="F64" i="10" s="1"/>
  <c r="E22" i="10"/>
  <c r="P20" i="10"/>
  <c r="O20" i="10"/>
  <c r="P19" i="10"/>
  <c r="O19" i="10"/>
  <c r="O18" i="10"/>
  <c r="P17" i="10"/>
  <c r="O17" i="10"/>
  <c r="O16" i="10"/>
  <c r="O15" i="10"/>
  <c r="O14" i="10"/>
  <c r="P13" i="10"/>
  <c r="O13" i="10"/>
  <c r="P12" i="10"/>
  <c r="O12" i="10"/>
  <c r="P11" i="10"/>
  <c r="O11" i="10"/>
  <c r="P10" i="10"/>
  <c r="O10" i="10"/>
  <c r="P9" i="10"/>
  <c r="O9" i="10"/>
  <c r="P8" i="10"/>
  <c r="O8" i="10"/>
  <c r="P7" i="10"/>
  <c r="O7" i="10"/>
  <c r="I44" i="9"/>
  <c r="P62" i="9"/>
  <c r="O62" i="9"/>
  <c r="L62" i="9"/>
  <c r="K58" i="9"/>
  <c r="F58" i="9"/>
  <c r="E58" i="9"/>
  <c r="Q56" i="9"/>
  <c r="O55" i="9"/>
  <c r="O54" i="9"/>
  <c r="P53" i="9"/>
  <c r="O53" i="9"/>
  <c r="O52" i="9"/>
  <c r="O51" i="9"/>
  <c r="O50" i="9"/>
  <c r="O49" i="9"/>
  <c r="O48" i="9"/>
  <c r="O47" i="9"/>
  <c r="O46" i="9"/>
  <c r="O45" i="9"/>
  <c r="P44" i="9"/>
  <c r="O44" i="9"/>
  <c r="K39" i="9"/>
  <c r="F39" i="9"/>
  <c r="E39" i="9"/>
  <c r="P38" i="9"/>
  <c r="O38" i="9"/>
  <c r="N38" i="9"/>
  <c r="L38" i="9"/>
  <c r="G38" i="9"/>
  <c r="O37" i="9"/>
  <c r="O36" i="9"/>
  <c r="P35" i="9"/>
  <c r="O35" i="9"/>
  <c r="P34" i="9"/>
  <c r="O34" i="9"/>
  <c r="O33" i="9"/>
  <c r="O32" i="9"/>
  <c r="O31" i="9"/>
  <c r="O30" i="9"/>
  <c r="O29" i="9"/>
  <c r="O28" i="9"/>
  <c r="P27" i="9"/>
  <c r="O27" i="9"/>
  <c r="O26" i="9"/>
  <c r="P25" i="9"/>
  <c r="O25" i="9"/>
  <c r="K22" i="9"/>
  <c r="K61" i="9" s="1"/>
  <c r="K64" i="9" s="1"/>
  <c r="F22" i="9"/>
  <c r="F61" i="9" s="1"/>
  <c r="F64" i="9" s="1"/>
  <c r="E22" i="9"/>
  <c r="P20" i="9"/>
  <c r="O20" i="9"/>
  <c r="P19" i="9"/>
  <c r="O19" i="9"/>
  <c r="O18" i="9"/>
  <c r="P17" i="9"/>
  <c r="O17" i="9"/>
  <c r="O16" i="9"/>
  <c r="O15" i="9"/>
  <c r="O14" i="9"/>
  <c r="P13" i="9"/>
  <c r="O13" i="9"/>
  <c r="P12" i="9"/>
  <c r="O12" i="9"/>
  <c r="P11" i="9"/>
  <c r="O11" i="9"/>
  <c r="P10" i="9"/>
  <c r="O10" i="9"/>
  <c r="P9" i="9"/>
  <c r="O9" i="9"/>
  <c r="P8" i="9"/>
  <c r="O8" i="9"/>
  <c r="P7" i="9"/>
  <c r="O7" i="9"/>
  <c r="I44" i="8"/>
  <c r="N38" i="8"/>
  <c r="P62" i="8"/>
  <c r="O62" i="8"/>
  <c r="L62" i="8"/>
  <c r="F61" i="8"/>
  <c r="F64" i="8" s="1"/>
  <c r="K58" i="8"/>
  <c r="F58" i="8"/>
  <c r="E58" i="8"/>
  <c r="Q56" i="8"/>
  <c r="O55" i="8"/>
  <c r="O54" i="8"/>
  <c r="P53" i="8"/>
  <c r="O53" i="8"/>
  <c r="O52" i="8"/>
  <c r="O51" i="8"/>
  <c r="O50" i="8"/>
  <c r="O49" i="8"/>
  <c r="O48" i="8"/>
  <c r="O47" i="8"/>
  <c r="O46" i="8"/>
  <c r="O45" i="8"/>
  <c r="P44" i="8"/>
  <c r="O44" i="8"/>
  <c r="K39" i="8"/>
  <c r="F39" i="8"/>
  <c r="E39" i="8"/>
  <c r="P38" i="8"/>
  <c r="O38" i="8"/>
  <c r="L38" i="8"/>
  <c r="O37" i="8"/>
  <c r="O36" i="8"/>
  <c r="P35" i="8"/>
  <c r="O35" i="8"/>
  <c r="P34" i="8"/>
  <c r="O34" i="8"/>
  <c r="O33" i="8"/>
  <c r="O32" i="8"/>
  <c r="O31" i="8"/>
  <c r="O30" i="8"/>
  <c r="O29" i="8"/>
  <c r="O28" i="8"/>
  <c r="P27" i="8"/>
  <c r="O27" i="8"/>
  <c r="O26" i="8"/>
  <c r="P25" i="8"/>
  <c r="O25" i="8"/>
  <c r="K22" i="8"/>
  <c r="K61" i="8" s="1"/>
  <c r="K64" i="8" s="1"/>
  <c r="F22" i="8"/>
  <c r="E22" i="8"/>
  <c r="P20" i="8"/>
  <c r="O20" i="8"/>
  <c r="P19" i="8"/>
  <c r="O19" i="8"/>
  <c r="P18" i="8"/>
  <c r="O18" i="8"/>
  <c r="P17" i="8"/>
  <c r="O17" i="8"/>
  <c r="O16" i="8"/>
  <c r="O15" i="8"/>
  <c r="O14" i="8"/>
  <c r="P13" i="8"/>
  <c r="O13" i="8"/>
  <c r="P12" i="8"/>
  <c r="O12" i="8"/>
  <c r="P11" i="8"/>
  <c r="O11" i="8"/>
  <c r="P10" i="8"/>
  <c r="O10" i="8"/>
  <c r="P9" i="8"/>
  <c r="O9" i="8"/>
  <c r="P8" i="8"/>
  <c r="O8" i="8"/>
  <c r="P7" i="8"/>
  <c r="O7" i="8"/>
  <c r="I44" i="7"/>
  <c r="P62" i="7"/>
  <c r="O62" i="7"/>
  <c r="L62" i="7"/>
  <c r="E58" i="7"/>
  <c r="Q56" i="7"/>
  <c r="O55" i="7"/>
  <c r="O54" i="7"/>
  <c r="O52" i="7"/>
  <c r="O51" i="7"/>
  <c r="O50" i="7"/>
  <c r="O49" i="7"/>
  <c r="O48" i="7"/>
  <c r="O47" i="7"/>
  <c r="O46" i="7"/>
  <c r="O45" i="7"/>
  <c r="P44" i="7"/>
  <c r="O44" i="7"/>
  <c r="K39" i="7"/>
  <c r="F39" i="7"/>
  <c r="E39" i="7"/>
  <c r="P38" i="7"/>
  <c r="O38" i="7"/>
  <c r="N38" i="7"/>
  <c r="L38" i="7"/>
  <c r="G38" i="7"/>
  <c r="O37" i="7"/>
  <c r="O36" i="7"/>
  <c r="P35" i="7"/>
  <c r="O35" i="7"/>
  <c r="P34" i="7"/>
  <c r="O34" i="7"/>
  <c r="O33" i="7"/>
  <c r="O32" i="7"/>
  <c r="P31" i="7"/>
  <c r="O31" i="7"/>
  <c r="O30" i="7"/>
  <c r="O29" i="7"/>
  <c r="O28" i="7"/>
  <c r="P27" i="7"/>
  <c r="O27" i="7"/>
  <c r="O26" i="7"/>
  <c r="P25" i="7"/>
  <c r="O25" i="7"/>
  <c r="E22" i="7"/>
  <c r="P20" i="7"/>
  <c r="O20" i="7"/>
  <c r="P19" i="7"/>
  <c r="O19" i="7"/>
  <c r="P18" i="7"/>
  <c r="O18" i="7"/>
  <c r="O16" i="7"/>
  <c r="O15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P44" i="6"/>
  <c r="O44" i="6"/>
  <c r="I44" i="6"/>
  <c r="P62" i="6"/>
  <c r="L62" i="6"/>
  <c r="K58" i="6"/>
  <c r="F58" i="6"/>
  <c r="E58" i="6"/>
  <c r="Q56" i="6"/>
  <c r="P55" i="6"/>
  <c r="O55" i="6"/>
  <c r="O54" i="6"/>
  <c r="P53" i="6"/>
  <c r="O53" i="6"/>
  <c r="P52" i="6"/>
  <c r="O52" i="6"/>
  <c r="P51" i="6"/>
  <c r="O51" i="6"/>
  <c r="P50" i="6"/>
  <c r="O50" i="6"/>
  <c r="P49" i="6"/>
  <c r="O49" i="6"/>
  <c r="P48" i="6"/>
  <c r="O48" i="6"/>
  <c r="P47" i="6"/>
  <c r="O47" i="6"/>
  <c r="P46" i="6"/>
  <c r="O46" i="6"/>
  <c r="P45" i="6"/>
  <c r="O45" i="6"/>
  <c r="K39" i="6"/>
  <c r="J39" i="6"/>
  <c r="F39" i="6"/>
  <c r="P38" i="6"/>
  <c r="Q38" i="6" s="1"/>
  <c r="O38" i="6"/>
  <c r="N38" i="6"/>
  <c r="L38" i="6"/>
  <c r="G38" i="6"/>
  <c r="P37" i="6"/>
  <c r="O37" i="6"/>
  <c r="P36" i="6"/>
  <c r="O36" i="6"/>
  <c r="P35" i="6"/>
  <c r="O35" i="6"/>
  <c r="P34" i="6"/>
  <c r="O34" i="6"/>
  <c r="P33" i="6"/>
  <c r="O33" i="6"/>
  <c r="P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K22" i="6"/>
  <c r="K61" i="6" s="1"/>
  <c r="K64" i="6" s="1"/>
  <c r="J22" i="6"/>
  <c r="F22" i="6"/>
  <c r="F61" i="6" s="1"/>
  <c r="F64" i="6" s="1"/>
  <c r="E22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P10" i="6"/>
  <c r="O10" i="6"/>
  <c r="P9" i="6"/>
  <c r="O9" i="6"/>
  <c r="P8" i="6"/>
  <c r="O8" i="6"/>
  <c r="P7" i="6"/>
  <c r="O7" i="6"/>
  <c r="G32" i="1"/>
  <c r="D32" i="5" s="1"/>
  <c r="G32" i="5" s="1"/>
  <c r="D32" i="6" s="1"/>
  <c r="P62" i="5"/>
  <c r="O62" i="5"/>
  <c r="L62" i="5"/>
  <c r="K58" i="5"/>
  <c r="J58" i="5"/>
  <c r="F58" i="5"/>
  <c r="Q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E58" i="5"/>
  <c r="P46" i="5"/>
  <c r="O46" i="5"/>
  <c r="P45" i="5"/>
  <c r="O45" i="5"/>
  <c r="K39" i="5"/>
  <c r="J39" i="5"/>
  <c r="F39" i="5"/>
  <c r="P38" i="5"/>
  <c r="O38" i="5"/>
  <c r="N38" i="5"/>
  <c r="Q38" i="5" s="1"/>
  <c r="L38" i="5"/>
  <c r="G38" i="5"/>
  <c r="P37" i="5"/>
  <c r="O37" i="5"/>
  <c r="P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E39" i="5"/>
  <c r="P28" i="5"/>
  <c r="O28" i="5"/>
  <c r="P27" i="5"/>
  <c r="O27" i="5"/>
  <c r="P26" i="5"/>
  <c r="O26" i="5"/>
  <c r="P25" i="5"/>
  <c r="O25" i="5"/>
  <c r="K22" i="5"/>
  <c r="J22" i="5"/>
  <c r="F22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L55" i="4"/>
  <c r="G55" i="4"/>
  <c r="G44" i="1"/>
  <c r="D44" i="5" s="1"/>
  <c r="G44" i="5" s="1"/>
  <c r="D44" i="6" s="1"/>
  <c r="Q38" i="10" l="1"/>
  <c r="O45" i="12"/>
  <c r="D45" i="12"/>
  <c r="E58" i="12"/>
  <c r="E61" i="12" s="1"/>
  <c r="E64" i="12" s="1"/>
  <c r="O51" i="12"/>
  <c r="D51" i="12"/>
  <c r="D52" i="12"/>
  <c r="O52" i="12"/>
  <c r="O50" i="12"/>
  <c r="D50" i="12"/>
  <c r="D47" i="12"/>
  <c r="O47" i="12"/>
  <c r="D46" i="12"/>
  <c r="O46" i="12"/>
  <c r="D48" i="12"/>
  <c r="O48" i="12"/>
  <c r="D54" i="12"/>
  <c r="O54" i="12"/>
  <c r="D49" i="12"/>
  <c r="O49" i="12"/>
  <c r="O53" i="12"/>
  <c r="D53" i="12"/>
  <c r="Q38" i="7"/>
  <c r="Q38" i="9"/>
  <c r="Q38" i="11"/>
  <c r="O22" i="11"/>
  <c r="E61" i="8"/>
  <c r="E64" i="8" s="1"/>
  <c r="O58" i="10"/>
  <c r="K61" i="5"/>
  <c r="K64" i="5" s="1"/>
  <c r="J61" i="5"/>
  <c r="J64" i="5" s="1"/>
  <c r="F61" i="5"/>
  <c r="F64" i="5" s="1"/>
  <c r="E61" i="11"/>
  <c r="E64" i="11" s="1"/>
  <c r="O58" i="11"/>
  <c r="O39" i="11"/>
  <c r="E61" i="10"/>
  <c r="E64" i="10" s="1"/>
  <c r="O39" i="10"/>
  <c r="O39" i="9"/>
  <c r="E61" i="9"/>
  <c r="E64" i="9" s="1"/>
  <c r="O22" i="8"/>
  <c r="O58" i="9"/>
  <c r="O58" i="8"/>
  <c r="O22" i="10"/>
  <c r="O22" i="9"/>
  <c r="O39" i="8"/>
  <c r="Q38" i="8"/>
  <c r="O39" i="7"/>
  <c r="E61" i="7"/>
  <c r="E64" i="7" s="1"/>
  <c r="P39" i="6"/>
  <c r="P22" i="6"/>
  <c r="O58" i="6"/>
  <c r="O22" i="6"/>
  <c r="G44" i="6"/>
  <c r="D44" i="7" s="1"/>
  <c r="N44" i="7" s="1"/>
  <c r="N44" i="6"/>
  <c r="Q44" i="6" s="1"/>
  <c r="G38" i="8"/>
  <c r="P58" i="5"/>
  <c r="O36" i="5"/>
  <c r="P22" i="5"/>
  <c r="O58" i="5"/>
  <c r="P39" i="5"/>
  <c r="E22" i="5"/>
  <c r="E61" i="5" s="1"/>
  <c r="E64" i="5" s="1"/>
  <c r="O14" i="5"/>
  <c r="O22" i="5" s="1"/>
  <c r="O29" i="5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J36" i="4"/>
  <c r="P36" i="4" s="1"/>
  <c r="J26" i="4"/>
  <c r="J20" i="4"/>
  <c r="P20" i="4" s="1"/>
  <c r="J19" i="4"/>
  <c r="P19" i="4" s="1"/>
  <c r="J17" i="4"/>
  <c r="P17" i="4" s="1"/>
  <c r="J16" i="4"/>
  <c r="J15" i="4"/>
  <c r="L15" i="4" s="1"/>
  <c r="J14" i="4"/>
  <c r="P14" i="4" s="1"/>
  <c r="J13" i="4"/>
  <c r="P13" i="4" s="1"/>
  <c r="J12" i="4"/>
  <c r="P12" i="4" s="1"/>
  <c r="J11" i="4"/>
  <c r="P11" i="4" s="1"/>
  <c r="J10" i="4"/>
  <c r="P10" i="4" s="1"/>
  <c r="J9" i="4"/>
  <c r="J8" i="4"/>
  <c r="P8" i="4" s="1"/>
  <c r="E26" i="4"/>
  <c r="O26" i="4" s="1"/>
  <c r="D18" i="1"/>
  <c r="D11" i="1"/>
  <c r="E17" i="4"/>
  <c r="O17" i="4" s="1"/>
  <c r="N16" i="4"/>
  <c r="E14" i="4"/>
  <c r="O14" i="4" s="1"/>
  <c r="N13" i="4"/>
  <c r="E20" i="4"/>
  <c r="O20" i="4" s="1"/>
  <c r="E19" i="4"/>
  <c r="E16" i="4"/>
  <c r="O16" i="4" s="1"/>
  <c r="E15" i="4"/>
  <c r="O15" i="4" s="1"/>
  <c r="E13" i="4"/>
  <c r="O13" i="4" s="1"/>
  <c r="E12" i="4"/>
  <c r="G12" i="4" s="1"/>
  <c r="D12" i="1" s="1"/>
  <c r="E11" i="4"/>
  <c r="O11" i="4" s="1"/>
  <c r="E10" i="4"/>
  <c r="O10" i="4" s="1"/>
  <c r="E9" i="4"/>
  <c r="O9" i="4" s="1"/>
  <c r="D8" i="1"/>
  <c r="P62" i="4"/>
  <c r="O62" i="4"/>
  <c r="N62" i="4"/>
  <c r="L62" i="4"/>
  <c r="G62" i="4"/>
  <c r="K58" i="4"/>
  <c r="F58" i="4"/>
  <c r="Q56" i="4"/>
  <c r="G56" i="4"/>
  <c r="P55" i="4"/>
  <c r="O55" i="4"/>
  <c r="N55" i="4"/>
  <c r="K39" i="4"/>
  <c r="I39" i="4"/>
  <c r="F39" i="4"/>
  <c r="E39" i="4"/>
  <c r="D39" i="4"/>
  <c r="P38" i="4"/>
  <c r="O38" i="4"/>
  <c r="N38" i="4"/>
  <c r="Q38" i="4" s="1"/>
  <c r="L38" i="4"/>
  <c r="G38" i="4"/>
  <c r="P37" i="4"/>
  <c r="O37" i="4"/>
  <c r="Q37" i="4" s="1"/>
  <c r="N37" i="4"/>
  <c r="L37" i="4"/>
  <c r="G37" i="4"/>
  <c r="O36" i="4"/>
  <c r="N36" i="4"/>
  <c r="L36" i="4"/>
  <c r="G36" i="4"/>
  <c r="P35" i="4"/>
  <c r="O35" i="4"/>
  <c r="N35" i="4"/>
  <c r="Q35" i="4" s="1"/>
  <c r="L35" i="4"/>
  <c r="G35" i="4"/>
  <c r="P34" i="4"/>
  <c r="O34" i="4"/>
  <c r="N34" i="4"/>
  <c r="Q34" i="4" s="1"/>
  <c r="L34" i="4"/>
  <c r="G34" i="4"/>
  <c r="P33" i="4"/>
  <c r="O33" i="4"/>
  <c r="N33" i="4"/>
  <c r="L33" i="4"/>
  <c r="G33" i="4"/>
  <c r="P32" i="4"/>
  <c r="Q32" i="4" s="1"/>
  <c r="O32" i="4"/>
  <c r="L32" i="4"/>
  <c r="P31" i="4"/>
  <c r="O31" i="4"/>
  <c r="N31" i="4"/>
  <c r="L31" i="4"/>
  <c r="G31" i="4"/>
  <c r="P30" i="4"/>
  <c r="N30" i="4"/>
  <c r="L30" i="4"/>
  <c r="G30" i="4"/>
  <c r="O30" i="4"/>
  <c r="P29" i="4"/>
  <c r="N29" i="4"/>
  <c r="L29" i="4"/>
  <c r="O29" i="4"/>
  <c r="P28" i="4"/>
  <c r="Q28" i="4" s="1"/>
  <c r="O28" i="4"/>
  <c r="N28" i="4"/>
  <c r="L28" i="4"/>
  <c r="G28" i="4"/>
  <c r="P27" i="4"/>
  <c r="O27" i="4"/>
  <c r="N27" i="4"/>
  <c r="Q27" i="4" s="1"/>
  <c r="L27" i="4"/>
  <c r="G27" i="4"/>
  <c r="P26" i="4"/>
  <c r="N26" i="4"/>
  <c r="G26" i="4"/>
  <c r="P25" i="4"/>
  <c r="O25" i="4"/>
  <c r="N25" i="4"/>
  <c r="N39" i="4" s="1"/>
  <c r="L25" i="4"/>
  <c r="G25" i="4"/>
  <c r="K22" i="4"/>
  <c r="I22" i="4"/>
  <c r="F22" i="4"/>
  <c r="F61" i="4" s="1"/>
  <c r="F64" i="4" s="1"/>
  <c r="N20" i="4"/>
  <c r="L20" i="4"/>
  <c r="O19" i="4"/>
  <c r="N19" i="4"/>
  <c r="G19" i="4"/>
  <c r="D19" i="1" s="1"/>
  <c r="P18" i="4"/>
  <c r="O18" i="4"/>
  <c r="N18" i="4"/>
  <c r="L18" i="4"/>
  <c r="G18" i="4"/>
  <c r="L17" i="4"/>
  <c r="N17" i="4"/>
  <c r="P16" i="4"/>
  <c r="L16" i="4"/>
  <c r="N15" i="4"/>
  <c r="L13" i="4"/>
  <c r="N12" i="4"/>
  <c r="L12" i="4"/>
  <c r="N11" i="4"/>
  <c r="G11" i="4"/>
  <c r="N10" i="4"/>
  <c r="G10" i="4"/>
  <c r="D10" i="1" s="1"/>
  <c r="P9" i="4"/>
  <c r="L9" i="4"/>
  <c r="O8" i="4"/>
  <c r="N8" i="4"/>
  <c r="G8" i="4"/>
  <c r="P7" i="4"/>
  <c r="O7" i="4"/>
  <c r="N7" i="4"/>
  <c r="L7" i="4"/>
  <c r="G7" i="4"/>
  <c r="D7" i="1" s="1"/>
  <c r="O58" i="12" l="1"/>
  <c r="O61" i="12" s="1"/>
  <c r="O64" i="12" s="1"/>
  <c r="D58" i="12"/>
  <c r="D61" i="12" s="1"/>
  <c r="Q55" i="4"/>
  <c r="O61" i="10"/>
  <c r="O64" i="10" s="1"/>
  <c r="O61" i="11"/>
  <c r="O64" i="11" s="1"/>
  <c r="O61" i="9"/>
  <c r="O64" i="9" s="1"/>
  <c r="O61" i="8"/>
  <c r="O64" i="8" s="1"/>
  <c r="Q18" i="4"/>
  <c r="L58" i="12"/>
  <c r="G44" i="7"/>
  <c r="D44" i="8" s="1"/>
  <c r="Q44" i="7"/>
  <c r="P61" i="5"/>
  <c r="P64" i="5" s="1"/>
  <c r="O39" i="5"/>
  <c r="O61" i="5" s="1"/>
  <c r="O64" i="5" s="1"/>
  <c r="Q62" i="4"/>
  <c r="K61" i="4"/>
  <c r="K64" i="4" s="1"/>
  <c r="Q36" i="4"/>
  <c r="J39" i="4"/>
  <c r="Q33" i="4"/>
  <c r="P39" i="4"/>
  <c r="L26" i="4"/>
  <c r="L39" i="4"/>
  <c r="Q19" i="4"/>
  <c r="L19" i="4"/>
  <c r="T18" i="4"/>
  <c r="P15" i="4"/>
  <c r="L14" i="4"/>
  <c r="L10" i="4"/>
  <c r="Q16" i="4"/>
  <c r="L11" i="4"/>
  <c r="J22" i="4"/>
  <c r="Q8" i="4"/>
  <c r="L8" i="4"/>
  <c r="Q10" i="4"/>
  <c r="P22" i="4"/>
  <c r="Q31" i="4"/>
  <c r="Q26" i="4"/>
  <c r="N14" i="4"/>
  <c r="Q14" i="4" s="1"/>
  <c r="G13" i="4"/>
  <c r="D13" i="1" s="1"/>
  <c r="D22" i="4"/>
  <c r="G20" i="4"/>
  <c r="D20" i="1" s="1"/>
  <c r="Q20" i="4"/>
  <c r="E22" i="4"/>
  <c r="O12" i="4"/>
  <c r="Q12" i="4" s="1"/>
  <c r="Q13" i="4"/>
  <c r="Q15" i="4"/>
  <c r="Q11" i="4"/>
  <c r="Q17" i="4"/>
  <c r="T17" i="4"/>
  <c r="Q30" i="4"/>
  <c r="G39" i="4"/>
  <c r="Q29" i="4"/>
  <c r="O39" i="4"/>
  <c r="Q7" i="4"/>
  <c r="G9" i="4"/>
  <c r="D9" i="1" s="1"/>
  <c r="D58" i="4"/>
  <c r="G29" i="4"/>
  <c r="G15" i="4"/>
  <c r="D15" i="1" s="1"/>
  <c r="G16" i="4"/>
  <c r="D16" i="1" s="1"/>
  <c r="N9" i="4"/>
  <c r="Q9" i="4" s="1"/>
  <c r="G17" i="4"/>
  <c r="D17" i="1" s="1"/>
  <c r="G14" i="4"/>
  <c r="D14" i="1" s="1"/>
  <c r="Q25" i="4"/>
  <c r="E52" i="1"/>
  <c r="E49" i="1"/>
  <c r="E48" i="1"/>
  <c r="E47" i="1"/>
  <c r="J46" i="12" l="1"/>
  <c r="J51" i="12"/>
  <c r="J45" i="12"/>
  <c r="J54" i="12"/>
  <c r="J53" i="12"/>
  <c r="J55" i="12"/>
  <c r="J50" i="12"/>
  <c r="J49" i="12"/>
  <c r="J52" i="12"/>
  <c r="J48" i="12"/>
  <c r="J47" i="12"/>
  <c r="D64" i="12"/>
  <c r="G61" i="12"/>
  <c r="G64" i="12" s="1"/>
  <c r="G67" i="12" s="1"/>
  <c r="O22" i="4"/>
  <c r="G44" i="8"/>
  <c r="N44" i="8"/>
  <c r="L22" i="4"/>
  <c r="E68" i="4"/>
  <c r="E71" i="4" s="1"/>
  <c r="G22" i="4"/>
  <c r="D61" i="4"/>
  <c r="T19" i="4"/>
  <c r="U18" i="4" s="1"/>
  <c r="U17" i="4"/>
  <c r="N22" i="4"/>
  <c r="Q39" i="4"/>
  <c r="Q22" i="4"/>
  <c r="P32" i="1"/>
  <c r="O32" i="1"/>
  <c r="L32" i="1"/>
  <c r="I32" i="5" s="1"/>
  <c r="E51" i="1"/>
  <c r="O54" i="1"/>
  <c r="P54" i="1"/>
  <c r="N55" i="1"/>
  <c r="O55" i="1"/>
  <c r="P55" i="1"/>
  <c r="E16" i="1"/>
  <c r="E14" i="1"/>
  <c r="P55" i="12" l="1"/>
  <c r="I55" i="12"/>
  <c r="N55" i="12" s="1"/>
  <c r="I50" i="12"/>
  <c r="N50" i="12" s="1"/>
  <c r="P50" i="12"/>
  <c r="Q50" i="12" s="1"/>
  <c r="I47" i="12"/>
  <c r="N47" i="12" s="1"/>
  <c r="P47" i="12"/>
  <c r="I49" i="12"/>
  <c r="N49" i="12" s="1"/>
  <c r="P49" i="12"/>
  <c r="Q49" i="12" s="1"/>
  <c r="I53" i="12"/>
  <c r="N53" i="12" s="1"/>
  <c r="V17" i="12" s="1"/>
  <c r="P53" i="12"/>
  <c r="I54" i="12"/>
  <c r="N54" i="12" s="1"/>
  <c r="P54" i="12"/>
  <c r="Q54" i="12" s="1"/>
  <c r="I48" i="12"/>
  <c r="N48" i="12" s="1"/>
  <c r="P48" i="12"/>
  <c r="Q48" i="12" s="1"/>
  <c r="I51" i="12"/>
  <c r="N51" i="12" s="1"/>
  <c r="P51" i="12"/>
  <c r="Q51" i="12" s="1"/>
  <c r="I52" i="12"/>
  <c r="N52" i="12" s="1"/>
  <c r="P52" i="12"/>
  <c r="I46" i="12"/>
  <c r="N46" i="12" s="1"/>
  <c r="P46" i="12"/>
  <c r="Q46" i="12" s="1"/>
  <c r="L32" i="5"/>
  <c r="I32" i="6" s="1"/>
  <c r="N32" i="5"/>
  <c r="Q32" i="5" s="1"/>
  <c r="Q44" i="8"/>
  <c r="D44" i="9"/>
  <c r="Q55" i="1"/>
  <c r="N51" i="4"/>
  <c r="N47" i="4"/>
  <c r="N49" i="4"/>
  <c r="N50" i="4"/>
  <c r="N54" i="4"/>
  <c r="N52" i="4"/>
  <c r="N46" i="4"/>
  <c r="D64" i="4"/>
  <c r="N48" i="4"/>
  <c r="N53" i="4"/>
  <c r="N45" i="4"/>
  <c r="I58" i="4"/>
  <c r="I61" i="4" s="1"/>
  <c r="Q32" i="1"/>
  <c r="P36" i="1"/>
  <c r="N36" i="1"/>
  <c r="L36" i="1"/>
  <c r="I36" i="5" s="1"/>
  <c r="E36" i="1"/>
  <c r="G36" i="1" s="1"/>
  <c r="E30" i="1"/>
  <c r="E29" i="1"/>
  <c r="Q47" i="12" l="1"/>
  <c r="Q52" i="12"/>
  <c r="Q53" i="12"/>
  <c r="Q55" i="12"/>
  <c r="V18" i="12"/>
  <c r="V20" i="12"/>
  <c r="E91" i="1"/>
  <c r="D36" i="5"/>
  <c r="G36" i="5" s="1"/>
  <c r="D36" i="6" s="1"/>
  <c r="G36" i="6" s="1"/>
  <c r="D36" i="7" s="1"/>
  <c r="G36" i="7" s="1"/>
  <c r="D36" i="8" s="1"/>
  <c r="G36" i="8" s="1"/>
  <c r="D36" i="9" s="1"/>
  <c r="G36" i="9" s="1"/>
  <c r="D36" i="10" s="1"/>
  <c r="G36" i="10" s="1"/>
  <c r="D36" i="11" s="1"/>
  <c r="G36" i="11" s="1"/>
  <c r="L36" i="5"/>
  <c r="I36" i="6" s="1"/>
  <c r="L32" i="6"/>
  <c r="I32" i="7" s="1"/>
  <c r="N32" i="6"/>
  <c r="N44" i="9"/>
  <c r="G44" i="9"/>
  <c r="N58" i="4"/>
  <c r="N61" i="4" s="1"/>
  <c r="I64" i="4"/>
  <c r="V17" i="4"/>
  <c r="V18" i="4" s="1"/>
  <c r="O36" i="1"/>
  <c r="Q36" i="1" s="1"/>
  <c r="E18" i="1"/>
  <c r="N36" i="5" l="1"/>
  <c r="Q36" i="5" s="1"/>
  <c r="L36" i="6"/>
  <c r="I36" i="7" s="1"/>
  <c r="N36" i="6"/>
  <c r="Q36" i="6" s="1"/>
  <c r="Q44" i="9"/>
  <c r="D44" i="10"/>
  <c r="V20" i="4"/>
  <c r="N64" i="4"/>
  <c r="N36" i="7" l="1"/>
  <c r="G44" i="10"/>
  <c r="N44" i="10"/>
  <c r="P62" i="1"/>
  <c r="O62" i="1"/>
  <c r="N62" i="1"/>
  <c r="L62" i="1"/>
  <c r="G62" i="1"/>
  <c r="Q56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E92" i="1" l="1"/>
  <c r="D62" i="5"/>
  <c r="Q44" i="10"/>
  <c r="D44" i="11"/>
  <c r="O58" i="1"/>
  <c r="P58" i="1"/>
  <c r="Q62" i="1"/>
  <c r="G62" i="5" l="1"/>
  <c r="D62" i="6" s="1"/>
  <c r="N62" i="5"/>
  <c r="Q62" i="5" s="1"/>
  <c r="E66" i="5"/>
  <c r="N44" i="11"/>
  <c r="G44" i="11"/>
  <c r="K58" i="1"/>
  <c r="J58" i="1"/>
  <c r="L56" i="1"/>
  <c r="I56" i="5" s="1"/>
  <c r="L56" i="5" s="1"/>
  <c r="I56" i="6" s="1"/>
  <c r="L56" i="6" s="1"/>
  <c r="I56" i="7" s="1"/>
  <c r="L56" i="7" s="1"/>
  <c r="I56" i="8" s="1"/>
  <c r="L56" i="8" s="1"/>
  <c r="I56" i="9" s="1"/>
  <c r="L56" i="9" s="1"/>
  <c r="I56" i="10" s="1"/>
  <c r="L56" i="10" s="1"/>
  <c r="I56" i="11" s="1"/>
  <c r="L56" i="11" s="1"/>
  <c r="L55" i="1"/>
  <c r="I55" i="5" s="1"/>
  <c r="L55" i="5" s="1"/>
  <c r="I55" i="6" s="1"/>
  <c r="L55" i="6" s="1"/>
  <c r="I55" i="7" s="1"/>
  <c r="F58" i="1"/>
  <c r="E58" i="1"/>
  <c r="D58" i="1"/>
  <c r="E62" i="6" l="1"/>
  <c r="O62" i="6" s="1"/>
  <c r="E32" i="6"/>
  <c r="N62" i="6"/>
  <c r="Q62" i="6" s="1"/>
  <c r="Q44" i="11"/>
  <c r="E50" i="4"/>
  <c r="E46" i="4"/>
  <c r="E53" i="4"/>
  <c r="E45" i="4"/>
  <c r="E54" i="4"/>
  <c r="E47" i="4"/>
  <c r="E52" i="4"/>
  <c r="E49" i="4"/>
  <c r="E48" i="4"/>
  <c r="E51" i="4"/>
  <c r="I53" i="1"/>
  <c r="N53" i="1" s="1"/>
  <c r="I54" i="1"/>
  <c r="I45" i="1"/>
  <c r="I50" i="1"/>
  <c r="I46" i="1"/>
  <c r="I49" i="1"/>
  <c r="I52" i="1"/>
  <c r="I48" i="1"/>
  <c r="I51" i="1"/>
  <c r="I47" i="1"/>
  <c r="O32" i="6" l="1"/>
  <c r="G32" i="6"/>
  <c r="D32" i="7" s="1"/>
  <c r="E39" i="6"/>
  <c r="E61" i="6" s="1"/>
  <c r="E64" i="6" s="1"/>
  <c r="G62" i="6"/>
  <c r="D62" i="7" s="1"/>
  <c r="G53" i="4"/>
  <c r="O53" i="4"/>
  <c r="G51" i="4"/>
  <c r="O51" i="4"/>
  <c r="G46" i="4"/>
  <c r="O46" i="4"/>
  <c r="G48" i="4"/>
  <c r="O48" i="4"/>
  <c r="G50" i="4"/>
  <c r="O50" i="4"/>
  <c r="G49" i="4"/>
  <c r="O49" i="4"/>
  <c r="E58" i="4"/>
  <c r="E61" i="4" s="1"/>
  <c r="G52" i="4"/>
  <c r="O52" i="4"/>
  <c r="G47" i="4"/>
  <c r="O47" i="4"/>
  <c r="G54" i="4"/>
  <c r="O54" i="4"/>
  <c r="G45" i="4"/>
  <c r="O45" i="4"/>
  <c r="N54" i="1"/>
  <c r="Q54" i="1" s="1"/>
  <c r="L54" i="1"/>
  <c r="I54" i="5" s="1"/>
  <c r="L54" i="5" s="1"/>
  <c r="I54" i="6" s="1"/>
  <c r="N51" i="1"/>
  <c r="Q51" i="1" s="1"/>
  <c r="L51" i="1"/>
  <c r="I51" i="5" s="1"/>
  <c r="N49" i="1"/>
  <c r="Q49" i="1" s="1"/>
  <c r="L49" i="1"/>
  <c r="I49" i="5" s="1"/>
  <c r="N48" i="1"/>
  <c r="Q48" i="1" s="1"/>
  <c r="L48" i="1"/>
  <c r="I48" i="5" s="1"/>
  <c r="L53" i="1"/>
  <c r="I53" i="5" s="1"/>
  <c r="N52" i="1"/>
  <c r="Q52" i="1" s="1"/>
  <c r="L52" i="1"/>
  <c r="I52" i="5" s="1"/>
  <c r="N46" i="1"/>
  <c r="Q46" i="1" s="1"/>
  <c r="L46" i="1"/>
  <c r="I46" i="5" s="1"/>
  <c r="N47" i="1"/>
  <c r="Q47" i="1" s="1"/>
  <c r="L47" i="1"/>
  <c r="I47" i="5" s="1"/>
  <c r="N45" i="1"/>
  <c r="I58" i="1"/>
  <c r="L45" i="1"/>
  <c r="I45" i="5" s="1"/>
  <c r="N50" i="1"/>
  <c r="Q50" i="1" s="1"/>
  <c r="L50" i="1"/>
  <c r="I50" i="5" s="1"/>
  <c r="K39" i="1"/>
  <c r="J39" i="1"/>
  <c r="I39" i="1"/>
  <c r="F39" i="1"/>
  <c r="E39" i="1"/>
  <c r="D39" i="1"/>
  <c r="E22" i="1"/>
  <c r="K22" i="1"/>
  <c r="J22" i="1"/>
  <c r="I22" i="1"/>
  <c r="F22" i="1"/>
  <c r="N18" i="1"/>
  <c r="N26" i="1"/>
  <c r="N25" i="1"/>
  <c r="N37" i="1"/>
  <c r="N7" i="1"/>
  <c r="P25" i="1"/>
  <c r="O25" i="1"/>
  <c r="L25" i="1"/>
  <c r="I25" i="5" s="1"/>
  <c r="G25" i="1"/>
  <c r="D25" i="5" s="1"/>
  <c r="G25" i="5" s="1"/>
  <c r="D25" i="6" s="1"/>
  <c r="G25" i="6" s="1"/>
  <c r="D25" i="7" s="1"/>
  <c r="G25" i="7" s="1"/>
  <c r="D25" i="8" s="1"/>
  <c r="G25" i="8" s="1"/>
  <c r="D25" i="9" s="1"/>
  <c r="G25" i="9" s="1"/>
  <c r="D25" i="10" s="1"/>
  <c r="G25" i="10" s="1"/>
  <c r="D25" i="11" s="1"/>
  <c r="G25" i="11" s="1"/>
  <c r="G20" i="1"/>
  <c r="D20" i="5" s="1"/>
  <c r="N19" i="1"/>
  <c r="T18" i="1" s="1"/>
  <c r="N17" i="1"/>
  <c r="T17" i="1" s="1"/>
  <c r="N16" i="1"/>
  <c r="N15" i="1"/>
  <c r="N14" i="1"/>
  <c r="N13" i="1"/>
  <c r="N12" i="1"/>
  <c r="N11" i="1"/>
  <c r="N10" i="1"/>
  <c r="P18" i="1"/>
  <c r="O18" i="1"/>
  <c r="L18" i="1"/>
  <c r="I18" i="5" s="1"/>
  <c r="L18" i="5" s="1"/>
  <c r="I18" i="6" s="1"/>
  <c r="L18" i="6" s="1"/>
  <c r="I18" i="7" s="1"/>
  <c r="L18" i="7" s="1"/>
  <c r="I18" i="8" s="1"/>
  <c r="L18" i="8" s="1"/>
  <c r="I18" i="9" s="1"/>
  <c r="G56" i="1"/>
  <c r="D56" i="5" s="1"/>
  <c r="G56" i="5" s="1"/>
  <c r="D56" i="6" s="1"/>
  <c r="G56" i="6" s="1"/>
  <c r="D56" i="7" s="1"/>
  <c r="G56" i="7" s="1"/>
  <c r="D56" i="8" s="1"/>
  <c r="G56" i="8" s="1"/>
  <c r="D56" i="9" s="1"/>
  <c r="G56" i="9" s="1"/>
  <c r="D56" i="10" s="1"/>
  <c r="G56" i="10" s="1"/>
  <c r="D56" i="11" s="1"/>
  <c r="G56" i="11" s="1"/>
  <c r="G18" i="1"/>
  <c r="D18" i="5" s="1"/>
  <c r="G47" i="1"/>
  <c r="D47" i="5" s="1"/>
  <c r="G47" i="5" s="1"/>
  <c r="D47" i="6" s="1"/>
  <c r="G47" i="6" s="1"/>
  <c r="D47" i="7" s="1"/>
  <c r="G47" i="7" s="1"/>
  <c r="D47" i="8" s="1"/>
  <c r="G47" i="8" s="1"/>
  <c r="D47" i="9" s="1"/>
  <c r="G47" i="9" s="1"/>
  <c r="D47" i="10" s="1"/>
  <c r="G47" i="10" s="1"/>
  <c r="L9" i="1"/>
  <c r="I9" i="5" s="1"/>
  <c r="L9" i="5" s="1"/>
  <c r="I9" i="6" s="1"/>
  <c r="L9" i="6" s="1"/>
  <c r="I9" i="7" s="1"/>
  <c r="L9" i="7" s="1"/>
  <c r="I9" i="8" s="1"/>
  <c r="L9" i="8" s="1"/>
  <c r="I9" i="9" s="1"/>
  <c r="L9" i="9" s="1"/>
  <c r="I9" i="10" s="1"/>
  <c r="L9" i="10" s="1"/>
  <c r="I9" i="11" s="1"/>
  <c r="L9" i="11" s="1"/>
  <c r="O9" i="1"/>
  <c r="P9" i="1"/>
  <c r="G48" i="1"/>
  <c r="D48" i="5" s="1"/>
  <c r="G48" i="5" s="1"/>
  <c r="D48" i="6" s="1"/>
  <c r="G48" i="6" s="1"/>
  <c r="D48" i="7" s="1"/>
  <c r="G48" i="7" s="1"/>
  <c r="D48" i="8" s="1"/>
  <c r="G48" i="8" s="1"/>
  <c r="D48" i="9" s="1"/>
  <c r="G48" i="9" s="1"/>
  <c r="D48" i="10" s="1"/>
  <c r="G48" i="10" s="1"/>
  <c r="D48" i="11" s="1"/>
  <c r="G48" i="11" s="1"/>
  <c r="L10" i="1"/>
  <c r="I10" i="5" s="1"/>
  <c r="L10" i="5" s="1"/>
  <c r="I10" i="6" s="1"/>
  <c r="L10" i="6" s="1"/>
  <c r="I10" i="7" s="1"/>
  <c r="L10" i="7" s="1"/>
  <c r="I10" i="8" s="1"/>
  <c r="L10" i="8" s="1"/>
  <c r="I10" i="9" s="1"/>
  <c r="L10" i="9" s="1"/>
  <c r="I10" i="10" s="1"/>
  <c r="L10" i="10" s="1"/>
  <c r="I10" i="11" s="1"/>
  <c r="L10" i="11" s="1"/>
  <c r="O10" i="1"/>
  <c r="P10" i="1"/>
  <c r="G11" i="1"/>
  <c r="D11" i="5" s="1"/>
  <c r="G49" i="1"/>
  <c r="D49" i="5" s="1"/>
  <c r="G49" i="5" s="1"/>
  <c r="D49" i="6" s="1"/>
  <c r="G49" i="6" s="1"/>
  <c r="D49" i="7" s="1"/>
  <c r="G49" i="7" s="1"/>
  <c r="D49" i="8" s="1"/>
  <c r="G49" i="8" s="1"/>
  <c r="D49" i="9" s="1"/>
  <c r="G49" i="9" s="1"/>
  <c r="D49" i="10" s="1"/>
  <c r="G49" i="10" s="1"/>
  <c r="D49" i="11" s="1"/>
  <c r="G49" i="11" s="1"/>
  <c r="L11" i="1"/>
  <c r="I11" i="5" s="1"/>
  <c r="L11" i="5" s="1"/>
  <c r="I11" i="6" s="1"/>
  <c r="L11" i="6" s="1"/>
  <c r="I11" i="7" s="1"/>
  <c r="L11" i="7" s="1"/>
  <c r="I11" i="8" s="1"/>
  <c r="L11" i="8" s="1"/>
  <c r="I11" i="9" s="1"/>
  <c r="L11" i="9" s="1"/>
  <c r="I11" i="10" s="1"/>
  <c r="L11" i="10" s="1"/>
  <c r="I11" i="11" s="1"/>
  <c r="L11" i="11" s="1"/>
  <c r="O11" i="1"/>
  <c r="P11" i="1"/>
  <c r="G12" i="1"/>
  <c r="D12" i="5" s="1"/>
  <c r="G50" i="1"/>
  <c r="D50" i="5" s="1"/>
  <c r="G50" i="5" s="1"/>
  <c r="D50" i="6" s="1"/>
  <c r="G50" i="6" s="1"/>
  <c r="D50" i="7" s="1"/>
  <c r="G50" i="7" s="1"/>
  <c r="D50" i="8" s="1"/>
  <c r="G50" i="8" s="1"/>
  <c r="D50" i="9" s="1"/>
  <c r="G50" i="9" s="1"/>
  <c r="D50" i="10" s="1"/>
  <c r="G50" i="10" s="1"/>
  <c r="D50" i="11" s="1"/>
  <c r="G50" i="11" s="1"/>
  <c r="L12" i="1"/>
  <c r="I12" i="5" s="1"/>
  <c r="L12" i="5" s="1"/>
  <c r="I12" i="6" s="1"/>
  <c r="L12" i="6" s="1"/>
  <c r="I12" i="7" s="1"/>
  <c r="L12" i="7" s="1"/>
  <c r="I12" i="8" s="1"/>
  <c r="L12" i="8" s="1"/>
  <c r="I12" i="9" s="1"/>
  <c r="L12" i="9" s="1"/>
  <c r="I12" i="10" s="1"/>
  <c r="L12" i="10" s="1"/>
  <c r="I12" i="11" s="1"/>
  <c r="L12" i="11" s="1"/>
  <c r="O12" i="1"/>
  <c r="P12" i="1"/>
  <c r="G51" i="1"/>
  <c r="D51" i="5" s="1"/>
  <c r="G51" i="5" s="1"/>
  <c r="D51" i="6" s="1"/>
  <c r="G51" i="6" s="1"/>
  <c r="D51" i="7" s="1"/>
  <c r="G51" i="7" s="1"/>
  <c r="D51" i="8" s="1"/>
  <c r="G51" i="8" s="1"/>
  <c r="D51" i="9" s="1"/>
  <c r="G51" i="9" s="1"/>
  <c r="D51" i="10" s="1"/>
  <c r="G51" i="10" s="1"/>
  <c r="D51" i="11" s="1"/>
  <c r="G51" i="11" s="1"/>
  <c r="L13" i="1"/>
  <c r="I13" i="5" s="1"/>
  <c r="L13" i="5" s="1"/>
  <c r="I13" i="6" s="1"/>
  <c r="L13" i="6" s="1"/>
  <c r="I13" i="7" s="1"/>
  <c r="L13" i="7" s="1"/>
  <c r="I13" i="8" s="1"/>
  <c r="L13" i="8" s="1"/>
  <c r="I13" i="9" s="1"/>
  <c r="L13" i="9" s="1"/>
  <c r="I13" i="10" s="1"/>
  <c r="L13" i="10" s="1"/>
  <c r="I13" i="11" s="1"/>
  <c r="L13" i="11" s="1"/>
  <c r="O13" i="1"/>
  <c r="P13" i="1"/>
  <c r="G14" i="1"/>
  <c r="D14" i="5" s="1"/>
  <c r="G52" i="1"/>
  <c r="D52" i="5" s="1"/>
  <c r="G52" i="5" s="1"/>
  <c r="D52" i="6" s="1"/>
  <c r="G52" i="6" s="1"/>
  <c r="D52" i="7" s="1"/>
  <c r="G52" i="7" s="1"/>
  <c r="D52" i="8" s="1"/>
  <c r="G52" i="8" s="1"/>
  <c r="D52" i="9" s="1"/>
  <c r="G52" i="9" s="1"/>
  <c r="D52" i="10" s="1"/>
  <c r="G52" i="10" s="1"/>
  <c r="D52" i="11" s="1"/>
  <c r="G52" i="11" s="1"/>
  <c r="L14" i="1"/>
  <c r="I14" i="5" s="1"/>
  <c r="L14" i="5" s="1"/>
  <c r="I14" i="6" s="1"/>
  <c r="L14" i="6" s="1"/>
  <c r="I14" i="7" s="1"/>
  <c r="O14" i="1"/>
  <c r="P14" i="1"/>
  <c r="G15" i="1"/>
  <c r="D15" i="5" s="1"/>
  <c r="G53" i="1"/>
  <c r="D53" i="5" s="1"/>
  <c r="G53" i="5" s="1"/>
  <c r="D53" i="6" s="1"/>
  <c r="G53" i="6" s="1"/>
  <c r="D53" i="7" s="1"/>
  <c r="L15" i="1"/>
  <c r="I15" i="5" s="1"/>
  <c r="L15" i="5" s="1"/>
  <c r="I15" i="6" s="1"/>
  <c r="L15" i="6" s="1"/>
  <c r="I15" i="7" s="1"/>
  <c r="O15" i="1"/>
  <c r="P15" i="1"/>
  <c r="G54" i="1"/>
  <c r="L16" i="1"/>
  <c r="I16" i="5" s="1"/>
  <c r="L16" i="5" s="1"/>
  <c r="I16" i="6" s="1"/>
  <c r="L16" i="6" s="1"/>
  <c r="I16" i="7" s="1"/>
  <c r="O16" i="1"/>
  <c r="P16" i="1"/>
  <c r="G55" i="1"/>
  <c r="L17" i="1"/>
  <c r="I17" i="5" s="1"/>
  <c r="L17" i="5" s="1"/>
  <c r="I17" i="6" s="1"/>
  <c r="L17" i="6" s="1"/>
  <c r="I17" i="7" s="1"/>
  <c r="O17" i="1"/>
  <c r="P17" i="1"/>
  <c r="G19" i="1"/>
  <c r="D19" i="5" s="1"/>
  <c r="L19" i="1"/>
  <c r="I19" i="5" s="1"/>
  <c r="L19" i="5" s="1"/>
  <c r="I19" i="6" s="1"/>
  <c r="L19" i="6" s="1"/>
  <c r="I19" i="7" s="1"/>
  <c r="L19" i="7" s="1"/>
  <c r="I19" i="8" s="1"/>
  <c r="L19" i="8" s="1"/>
  <c r="I19" i="9" s="1"/>
  <c r="L19" i="9" s="1"/>
  <c r="I19" i="10" s="1"/>
  <c r="L19" i="10" s="1"/>
  <c r="I19" i="11" s="1"/>
  <c r="L19" i="11" s="1"/>
  <c r="O19" i="1"/>
  <c r="P19" i="1"/>
  <c r="L20" i="1"/>
  <c r="I20" i="5" s="1"/>
  <c r="L20" i="5" s="1"/>
  <c r="I20" i="6" s="1"/>
  <c r="L20" i="6" s="1"/>
  <c r="I20" i="7" s="1"/>
  <c r="L20" i="7" s="1"/>
  <c r="I20" i="8" s="1"/>
  <c r="L20" i="8" s="1"/>
  <c r="I20" i="9" s="1"/>
  <c r="L20" i="9" s="1"/>
  <c r="I20" i="10" s="1"/>
  <c r="L20" i="10" s="1"/>
  <c r="I20" i="11" s="1"/>
  <c r="L20" i="11" s="1"/>
  <c r="O20" i="1"/>
  <c r="P20" i="1"/>
  <c r="G26" i="1"/>
  <c r="L26" i="1"/>
  <c r="I26" i="5" s="1"/>
  <c r="O26" i="1"/>
  <c r="P26" i="1"/>
  <c r="G27" i="1"/>
  <c r="D27" i="5" s="1"/>
  <c r="L27" i="1"/>
  <c r="I27" i="5" s="1"/>
  <c r="N27" i="1"/>
  <c r="O27" i="1"/>
  <c r="P27" i="1"/>
  <c r="G28" i="1"/>
  <c r="D28" i="5" s="1"/>
  <c r="G28" i="5" s="1"/>
  <c r="D28" i="6" s="1"/>
  <c r="G28" i="6" s="1"/>
  <c r="D28" i="7" s="1"/>
  <c r="G28" i="7" s="1"/>
  <c r="D28" i="8" s="1"/>
  <c r="G28" i="8" s="1"/>
  <c r="D28" i="9" s="1"/>
  <c r="G28" i="9" s="1"/>
  <c r="D28" i="10" s="1"/>
  <c r="G28" i="10" s="1"/>
  <c r="D28" i="11" s="1"/>
  <c r="G28" i="11" s="1"/>
  <c r="L28" i="1"/>
  <c r="I28" i="5" s="1"/>
  <c r="N28" i="1"/>
  <c r="O28" i="1"/>
  <c r="P28" i="1"/>
  <c r="G29" i="1"/>
  <c r="D29" i="5" s="1"/>
  <c r="G29" i="5" s="1"/>
  <c r="D29" i="6" s="1"/>
  <c r="G29" i="6" s="1"/>
  <c r="D29" i="7" s="1"/>
  <c r="G29" i="7" s="1"/>
  <c r="D29" i="8" s="1"/>
  <c r="G29" i="8" s="1"/>
  <c r="D29" i="9" s="1"/>
  <c r="G29" i="9" s="1"/>
  <c r="D29" i="10" s="1"/>
  <c r="G29" i="10" s="1"/>
  <c r="D29" i="11" s="1"/>
  <c r="G29" i="11" s="1"/>
  <c r="L29" i="1"/>
  <c r="I29" i="5" s="1"/>
  <c r="N29" i="1"/>
  <c r="O29" i="1"/>
  <c r="P29" i="1"/>
  <c r="G30" i="1"/>
  <c r="D30" i="5" s="1"/>
  <c r="G30" i="5" s="1"/>
  <c r="D30" i="6" s="1"/>
  <c r="G30" i="6" s="1"/>
  <c r="D30" i="7" s="1"/>
  <c r="G30" i="7" s="1"/>
  <c r="D30" i="8" s="1"/>
  <c r="G30" i="8" s="1"/>
  <c r="D30" i="9" s="1"/>
  <c r="G30" i="9" s="1"/>
  <c r="D30" i="10" s="1"/>
  <c r="G30" i="10" s="1"/>
  <c r="D30" i="11" s="1"/>
  <c r="G30" i="11" s="1"/>
  <c r="L30" i="1"/>
  <c r="I30" i="5" s="1"/>
  <c r="N30" i="1"/>
  <c r="O30" i="1"/>
  <c r="P30" i="1"/>
  <c r="G31" i="1"/>
  <c r="D31" i="5" s="1"/>
  <c r="G31" i="5" s="1"/>
  <c r="D31" i="6" s="1"/>
  <c r="G31" i="6" s="1"/>
  <c r="D31" i="7" s="1"/>
  <c r="G31" i="7" s="1"/>
  <c r="D31" i="8" s="1"/>
  <c r="G31" i="8" s="1"/>
  <c r="D31" i="9" s="1"/>
  <c r="G31" i="9" s="1"/>
  <c r="D31" i="10" s="1"/>
  <c r="G31" i="10" s="1"/>
  <c r="D31" i="11" s="1"/>
  <c r="G31" i="11" s="1"/>
  <c r="L31" i="1"/>
  <c r="I31" i="5" s="1"/>
  <c r="N31" i="1"/>
  <c r="O31" i="1"/>
  <c r="P31" i="1"/>
  <c r="G33" i="1"/>
  <c r="D33" i="5" s="1"/>
  <c r="G33" i="5" s="1"/>
  <c r="D33" i="6" s="1"/>
  <c r="G33" i="6" s="1"/>
  <c r="D33" i="7" s="1"/>
  <c r="G33" i="7" s="1"/>
  <c r="D33" i="8" s="1"/>
  <c r="G33" i="8" s="1"/>
  <c r="D33" i="9" s="1"/>
  <c r="G33" i="9" s="1"/>
  <c r="D33" i="10" s="1"/>
  <c r="G33" i="10" s="1"/>
  <c r="D33" i="11" s="1"/>
  <c r="G33" i="11" s="1"/>
  <c r="L33" i="1"/>
  <c r="I33" i="5" s="1"/>
  <c r="N33" i="1"/>
  <c r="O33" i="1"/>
  <c r="P33" i="1"/>
  <c r="G34" i="1"/>
  <c r="D34" i="5" s="1"/>
  <c r="G34" i="5" s="1"/>
  <c r="D34" i="6" s="1"/>
  <c r="G34" i="6" s="1"/>
  <c r="D34" i="7" s="1"/>
  <c r="G34" i="7" s="1"/>
  <c r="D34" i="8" s="1"/>
  <c r="G34" i="8" s="1"/>
  <c r="D34" i="9" s="1"/>
  <c r="G34" i="9" s="1"/>
  <c r="D34" i="10" s="1"/>
  <c r="G34" i="10" s="1"/>
  <c r="D34" i="11" s="1"/>
  <c r="G34" i="11" s="1"/>
  <c r="L34" i="1"/>
  <c r="I34" i="5" s="1"/>
  <c r="N34" i="1"/>
  <c r="O34" i="1"/>
  <c r="P34" i="1"/>
  <c r="G35" i="1"/>
  <c r="D35" i="5" s="1"/>
  <c r="G35" i="5" s="1"/>
  <c r="D35" i="6" s="1"/>
  <c r="G35" i="6" s="1"/>
  <c r="D35" i="7" s="1"/>
  <c r="G35" i="7" s="1"/>
  <c r="D35" i="8" s="1"/>
  <c r="G35" i="8" s="1"/>
  <c r="D35" i="9" s="1"/>
  <c r="G35" i="9" s="1"/>
  <c r="D35" i="10" s="1"/>
  <c r="G35" i="10" s="1"/>
  <c r="D35" i="11" s="1"/>
  <c r="G35" i="11" s="1"/>
  <c r="L35" i="1"/>
  <c r="I35" i="5" s="1"/>
  <c r="N35" i="1"/>
  <c r="O35" i="1"/>
  <c r="P35" i="1"/>
  <c r="G37" i="1"/>
  <c r="D37" i="5" s="1"/>
  <c r="G37" i="5" s="1"/>
  <c r="D37" i="6" s="1"/>
  <c r="G37" i="6" s="1"/>
  <c r="D37" i="7" s="1"/>
  <c r="G37" i="7" s="1"/>
  <c r="D37" i="8" s="1"/>
  <c r="G37" i="8" s="1"/>
  <c r="D37" i="9" s="1"/>
  <c r="G37" i="9" s="1"/>
  <c r="D37" i="10" s="1"/>
  <c r="G37" i="10" s="1"/>
  <c r="D37" i="11" s="1"/>
  <c r="G37" i="11" s="1"/>
  <c r="L37" i="1"/>
  <c r="I37" i="5" s="1"/>
  <c r="O37" i="1"/>
  <c r="P37" i="1"/>
  <c r="G38" i="1"/>
  <c r="L38" i="1"/>
  <c r="N38" i="1"/>
  <c r="O38" i="1"/>
  <c r="P38" i="1"/>
  <c r="P8" i="1"/>
  <c r="O8" i="1"/>
  <c r="N8" i="1"/>
  <c r="P7" i="1"/>
  <c r="O7" i="1"/>
  <c r="L8" i="1"/>
  <c r="I8" i="5" s="1"/>
  <c r="G46" i="1"/>
  <c r="D46" i="5" s="1"/>
  <c r="G46" i="5" s="1"/>
  <c r="D46" i="6" s="1"/>
  <c r="G46" i="6" s="1"/>
  <c r="D46" i="7" s="1"/>
  <c r="G46" i="7" s="1"/>
  <c r="D46" i="8" s="1"/>
  <c r="G46" i="8" s="1"/>
  <c r="D46" i="9" s="1"/>
  <c r="G46" i="9" s="1"/>
  <c r="D46" i="10" s="1"/>
  <c r="G46" i="10" s="1"/>
  <c r="D46" i="11" s="1"/>
  <c r="G46" i="11" s="1"/>
  <c r="G8" i="1"/>
  <c r="L7" i="1"/>
  <c r="I7" i="5" s="1"/>
  <c r="L7" i="5" s="1"/>
  <c r="I7" i="6" s="1"/>
  <c r="L7" i="6" s="1"/>
  <c r="I7" i="7" s="1"/>
  <c r="L7" i="7" s="1"/>
  <c r="I7" i="8" s="1"/>
  <c r="L7" i="8" s="1"/>
  <c r="I7" i="9" s="1"/>
  <c r="L7" i="9" s="1"/>
  <c r="I7" i="10" s="1"/>
  <c r="L7" i="10" s="1"/>
  <c r="I7" i="11" s="1"/>
  <c r="L7" i="11" s="1"/>
  <c r="G45" i="1"/>
  <c r="D45" i="5" s="1"/>
  <c r="G45" i="5" s="1"/>
  <c r="D45" i="6" s="1"/>
  <c r="G45" i="6" s="1"/>
  <c r="D45" i="7" s="1"/>
  <c r="G45" i="7" s="1"/>
  <c r="D45" i="8" s="1"/>
  <c r="G45" i="8" s="1"/>
  <c r="D45" i="9" s="1"/>
  <c r="G45" i="9" s="1"/>
  <c r="D45" i="10" s="1"/>
  <c r="G45" i="10" s="1"/>
  <c r="D45" i="11" s="1"/>
  <c r="G45" i="11" s="1"/>
  <c r="E68" i="1" l="1"/>
  <c r="E85" i="1"/>
  <c r="G62" i="7"/>
  <c r="D62" i="8" s="1"/>
  <c r="N62" i="7"/>
  <c r="Q62" i="7" s="1"/>
  <c r="E81" i="1"/>
  <c r="D26" i="5"/>
  <c r="G26" i="5" s="1"/>
  <c r="D26" i="6" s="1"/>
  <c r="G26" i="6" s="1"/>
  <c r="D26" i="7" s="1"/>
  <c r="G26" i="7" s="1"/>
  <c r="D26" i="8" s="1"/>
  <c r="G26" i="8" s="1"/>
  <c r="D26" i="9" s="1"/>
  <c r="G26" i="9" s="1"/>
  <c r="D26" i="10" s="1"/>
  <c r="G26" i="10" s="1"/>
  <c r="D26" i="11" s="1"/>
  <c r="G26" i="11" s="1"/>
  <c r="G32" i="7"/>
  <c r="D32" i="8" s="1"/>
  <c r="N32" i="7"/>
  <c r="O39" i="6"/>
  <c r="O61" i="6" s="1"/>
  <c r="O64" i="6" s="1"/>
  <c r="Q32" i="6"/>
  <c r="F53" i="7"/>
  <c r="N46" i="5"/>
  <c r="Q46" i="5" s="1"/>
  <c r="L46" i="5"/>
  <c r="I46" i="6" s="1"/>
  <c r="N50" i="5"/>
  <c r="Q50" i="5" s="1"/>
  <c r="L50" i="5"/>
  <c r="I50" i="6" s="1"/>
  <c r="N51" i="5"/>
  <c r="Q51" i="5" s="1"/>
  <c r="L51" i="5"/>
  <c r="I51" i="6" s="1"/>
  <c r="N52" i="5"/>
  <c r="Q52" i="5" s="1"/>
  <c r="L52" i="5"/>
  <c r="I52" i="6" s="1"/>
  <c r="N48" i="5"/>
  <c r="Q48" i="5" s="1"/>
  <c r="L48" i="5"/>
  <c r="I48" i="6" s="1"/>
  <c r="N53" i="5"/>
  <c r="Q53" i="5" s="1"/>
  <c r="L53" i="5"/>
  <c r="I53" i="6" s="1"/>
  <c r="N47" i="5"/>
  <c r="Q47" i="5" s="1"/>
  <c r="L47" i="5"/>
  <c r="I47" i="6" s="1"/>
  <c r="N45" i="5"/>
  <c r="Q45" i="5" s="1"/>
  <c r="L45" i="5"/>
  <c r="I58" i="5"/>
  <c r="L49" i="5"/>
  <c r="I49" i="6" s="1"/>
  <c r="N49" i="5"/>
  <c r="Q49" i="5" s="1"/>
  <c r="D54" i="5"/>
  <c r="D55" i="5"/>
  <c r="G58" i="1"/>
  <c r="G27" i="5"/>
  <c r="D39" i="5"/>
  <c r="K17" i="7"/>
  <c r="L17" i="7" s="1"/>
  <c r="I17" i="8" s="1"/>
  <c r="L17" i="8" s="1"/>
  <c r="I17" i="9" s="1"/>
  <c r="L17" i="9" s="1"/>
  <c r="I17" i="10" s="1"/>
  <c r="L17" i="10" s="1"/>
  <c r="I17" i="11" s="1"/>
  <c r="L17" i="11" s="1"/>
  <c r="N33" i="5"/>
  <c r="Q33" i="5" s="1"/>
  <c r="L33" i="5"/>
  <c r="I33" i="6" s="1"/>
  <c r="N37" i="5"/>
  <c r="Q37" i="5" s="1"/>
  <c r="L37" i="5"/>
  <c r="I37" i="6" s="1"/>
  <c r="N27" i="5"/>
  <c r="Q27" i="5" s="1"/>
  <c r="L27" i="5"/>
  <c r="I27" i="6" s="1"/>
  <c r="N34" i="5"/>
  <c r="Q34" i="5" s="1"/>
  <c r="L34" i="5"/>
  <c r="I34" i="6" s="1"/>
  <c r="D8" i="5"/>
  <c r="N8" i="5" s="1"/>
  <c r="Q8" i="5" s="1"/>
  <c r="L8" i="5"/>
  <c r="I22" i="5"/>
  <c r="L28" i="5"/>
  <c r="I28" i="6" s="1"/>
  <c r="N28" i="5"/>
  <c r="Q28" i="5" s="1"/>
  <c r="L25" i="5"/>
  <c r="I39" i="5"/>
  <c r="N25" i="5"/>
  <c r="N30" i="5"/>
  <c r="Q30" i="5" s="1"/>
  <c r="L30" i="5"/>
  <c r="I30" i="6" s="1"/>
  <c r="N31" i="5"/>
  <c r="Q31" i="5" s="1"/>
  <c r="L31" i="5"/>
  <c r="I31" i="6" s="1"/>
  <c r="N26" i="5"/>
  <c r="Q26" i="5" s="1"/>
  <c r="L26" i="5"/>
  <c r="I26" i="6" s="1"/>
  <c r="L35" i="5"/>
  <c r="I35" i="6" s="1"/>
  <c r="N35" i="5"/>
  <c r="Q35" i="5" s="1"/>
  <c r="L29" i="5"/>
  <c r="I29" i="6" s="1"/>
  <c r="N29" i="5"/>
  <c r="Q29" i="5" s="1"/>
  <c r="N20" i="5"/>
  <c r="Q20" i="5" s="1"/>
  <c r="G20" i="5"/>
  <c r="D20" i="6" s="1"/>
  <c r="G20" i="6" s="1"/>
  <c r="D20" i="7" s="1"/>
  <c r="G12" i="5"/>
  <c r="D12" i="6" s="1"/>
  <c r="N12" i="5"/>
  <c r="Q12" i="5" s="1"/>
  <c r="N18" i="5"/>
  <c r="Q18" i="5" s="1"/>
  <c r="G18" i="5"/>
  <c r="D18" i="6" s="1"/>
  <c r="G8" i="5"/>
  <c r="D8" i="6" s="1"/>
  <c r="N14" i="5"/>
  <c r="Q14" i="5" s="1"/>
  <c r="G14" i="5"/>
  <c r="D14" i="6" s="1"/>
  <c r="G15" i="5"/>
  <c r="D15" i="6" s="1"/>
  <c r="N15" i="5"/>
  <c r="Q15" i="5" s="1"/>
  <c r="G19" i="5"/>
  <c r="D19" i="6" s="1"/>
  <c r="N19" i="5"/>
  <c r="G11" i="5"/>
  <c r="D11" i="6" s="1"/>
  <c r="N11" i="5"/>
  <c r="Q11" i="5" s="1"/>
  <c r="D47" i="11"/>
  <c r="O58" i="4"/>
  <c r="O61" i="4" s="1"/>
  <c r="G61" i="4"/>
  <c r="G64" i="4" s="1"/>
  <c r="E64" i="4"/>
  <c r="G58" i="4"/>
  <c r="J47" i="4" s="1"/>
  <c r="N20" i="1"/>
  <c r="Q20" i="1" s="1"/>
  <c r="D22" i="1"/>
  <c r="D61" i="1" s="1"/>
  <c r="T19" i="1"/>
  <c r="U18" i="1" s="1"/>
  <c r="G16" i="1"/>
  <c r="D16" i="5" s="1"/>
  <c r="F61" i="1"/>
  <c r="F64" i="1" s="1"/>
  <c r="G10" i="1"/>
  <c r="D10" i="5" s="1"/>
  <c r="Q25" i="1"/>
  <c r="Q53" i="1"/>
  <c r="J61" i="1"/>
  <c r="J64" i="1" s="1"/>
  <c r="O22" i="1"/>
  <c r="K61" i="1"/>
  <c r="K64" i="1" s="1"/>
  <c r="Q45" i="1"/>
  <c r="N58" i="1"/>
  <c r="N39" i="1"/>
  <c r="E61" i="1"/>
  <c r="E64" i="1" s="1"/>
  <c r="I61" i="1"/>
  <c r="I64" i="1" s="1"/>
  <c r="L58" i="1"/>
  <c r="G17" i="1"/>
  <c r="E84" i="1" s="1"/>
  <c r="G13" i="1"/>
  <c r="E83" i="1" s="1"/>
  <c r="P22" i="1"/>
  <c r="G9" i="1"/>
  <c r="N9" i="1"/>
  <c r="L22" i="1"/>
  <c r="P39" i="1"/>
  <c r="L39" i="1"/>
  <c r="G39" i="1"/>
  <c r="O39" i="1"/>
  <c r="Q33" i="1"/>
  <c r="Q19" i="1"/>
  <c r="Q16" i="1"/>
  <c r="Q35" i="1"/>
  <c r="Q29" i="1"/>
  <c r="Q18" i="1"/>
  <c r="Q15" i="1"/>
  <c r="Q13" i="1"/>
  <c r="Q30" i="1"/>
  <c r="Q26" i="1"/>
  <c r="Q12" i="1"/>
  <c r="Q37" i="1"/>
  <c r="Q38" i="1"/>
  <c r="Q31" i="1"/>
  <c r="Q14" i="1"/>
  <c r="Q11" i="1"/>
  <c r="Q27" i="1"/>
  <c r="Q34" i="1"/>
  <c r="Q28" i="1"/>
  <c r="Q17" i="1"/>
  <c r="Q10" i="1"/>
  <c r="Q8" i="1"/>
  <c r="G7" i="1"/>
  <c r="E80" i="1" s="1"/>
  <c r="G32" i="8" l="1"/>
  <c r="D32" i="9" s="1"/>
  <c r="J45" i="4"/>
  <c r="L45" i="4" s="1"/>
  <c r="E82" i="1"/>
  <c r="E93" i="1" s="1"/>
  <c r="G62" i="8"/>
  <c r="D62" i="9" s="1"/>
  <c r="N62" i="8"/>
  <c r="Q62" i="8" s="1"/>
  <c r="J51" i="4"/>
  <c r="O53" i="7"/>
  <c r="O58" i="7" s="1"/>
  <c r="F58" i="7"/>
  <c r="G53" i="7"/>
  <c r="D53" i="8" s="1"/>
  <c r="G53" i="8" s="1"/>
  <c r="D53" i="9" s="1"/>
  <c r="G53" i="9" s="1"/>
  <c r="D53" i="10" s="1"/>
  <c r="G53" i="10" s="1"/>
  <c r="D53" i="11" s="1"/>
  <c r="G53" i="11" s="1"/>
  <c r="N52" i="6"/>
  <c r="Q52" i="6" s="1"/>
  <c r="L52" i="6"/>
  <c r="I52" i="7" s="1"/>
  <c r="L47" i="6"/>
  <c r="I47" i="7" s="1"/>
  <c r="N47" i="6"/>
  <c r="Q47" i="6" s="1"/>
  <c r="L51" i="6"/>
  <c r="I51" i="7" s="1"/>
  <c r="N51" i="6"/>
  <c r="Q51" i="6" s="1"/>
  <c r="N53" i="6"/>
  <c r="Q53" i="6" s="1"/>
  <c r="L53" i="6"/>
  <c r="I53" i="7" s="1"/>
  <c r="K53" i="7" s="1"/>
  <c r="L50" i="6"/>
  <c r="I50" i="7" s="1"/>
  <c r="N50" i="6"/>
  <c r="Q50" i="6" s="1"/>
  <c r="L49" i="6"/>
  <c r="I49" i="7" s="1"/>
  <c r="N49" i="6"/>
  <c r="Q49" i="6" s="1"/>
  <c r="L48" i="6"/>
  <c r="I48" i="7" s="1"/>
  <c r="N48" i="6"/>
  <c r="Q48" i="6" s="1"/>
  <c r="L46" i="6"/>
  <c r="I46" i="7" s="1"/>
  <c r="N46" i="6"/>
  <c r="Q46" i="6" s="1"/>
  <c r="I45" i="6"/>
  <c r="L58" i="5"/>
  <c r="J52" i="4"/>
  <c r="L52" i="4" s="1"/>
  <c r="G54" i="5"/>
  <c r="D54" i="6" s="1"/>
  <c r="N54" i="5"/>
  <c r="Q54" i="5" s="1"/>
  <c r="J50" i="4"/>
  <c r="P50" i="4" s="1"/>
  <c r="Q50" i="4" s="1"/>
  <c r="N55" i="5"/>
  <c r="G55" i="5"/>
  <c r="D58" i="5"/>
  <c r="D27" i="6"/>
  <c r="N27" i="6" s="1"/>
  <c r="Q27" i="6" s="1"/>
  <c r="G39" i="5"/>
  <c r="K22" i="7"/>
  <c r="P17" i="7"/>
  <c r="G20" i="7"/>
  <c r="D20" i="8" s="1"/>
  <c r="G20" i="8" s="1"/>
  <c r="D20" i="9" s="1"/>
  <c r="G20" i="9" s="1"/>
  <c r="D20" i="10" s="1"/>
  <c r="G20" i="10" s="1"/>
  <c r="D20" i="11" s="1"/>
  <c r="G20" i="11" s="1"/>
  <c r="N20" i="7"/>
  <c r="Q20" i="7" s="1"/>
  <c r="D17" i="5"/>
  <c r="G17" i="5" s="1"/>
  <c r="D17" i="6" s="1"/>
  <c r="L26" i="6"/>
  <c r="I26" i="7" s="1"/>
  <c r="N26" i="6"/>
  <c r="Q26" i="6" s="1"/>
  <c r="I25" i="6"/>
  <c r="L39" i="5"/>
  <c r="D13" i="5"/>
  <c r="G13" i="5" s="1"/>
  <c r="D13" i="6" s="1"/>
  <c r="L34" i="6"/>
  <c r="I34" i="7" s="1"/>
  <c r="N34" i="6"/>
  <c r="Q34" i="6" s="1"/>
  <c r="L31" i="6"/>
  <c r="I31" i="7" s="1"/>
  <c r="N31" i="6"/>
  <c r="Q31" i="6" s="1"/>
  <c r="L28" i="6"/>
  <c r="I28" i="7" s="1"/>
  <c r="N28" i="6"/>
  <c r="Q28" i="6" s="1"/>
  <c r="I61" i="5"/>
  <c r="L37" i="6"/>
  <c r="I37" i="7" s="1"/>
  <c r="N37" i="6"/>
  <c r="Q37" i="6" s="1"/>
  <c r="L27" i="6"/>
  <c r="I27" i="7" s="1"/>
  <c r="L30" i="6"/>
  <c r="I30" i="7" s="1"/>
  <c r="N30" i="6"/>
  <c r="Q30" i="6" s="1"/>
  <c r="I8" i="6"/>
  <c r="N8" i="6" s="1"/>
  <c r="Q8" i="6" s="1"/>
  <c r="L22" i="5"/>
  <c r="L35" i="6"/>
  <c r="I35" i="7" s="1"/>
  <c r="N35" i="6"/>
  <c r="Q35" i="6" s="1"/>
  <c r="D9" i="5"/>
  <c r="G9" i="5" s="1"/>
  <c r="D9" i="6" s="1"/>
  <c r="L29" i="6"/>
  <c r="I29" i="7" s="1"/>
  <c r="N29" i="6"/>
  <c r="Q29" i="6" s="1"/>
  <c r="L33" i="6"/>
  <c r="I33" i="7" s="1"/>
  <c r="N33" i="6"/>
  <c r="Q33" i="6" s="1"/>
  <c r="J46" i="4"/>
  <c r="P46" i="4" s="1"/>
  <c r="Q46" i="4" s="1"/>
  <c r="E82" i="4"/>
  <c r="E88" i="4" s="1"/>
  <c r="Q25" i="5"/>
  <c r="Q39" i="5" s="1"/>
  <c r="N39" i="5"/>
  <c r="N20" i="10"/>
  <c r="Q20" i="10" s="1"/>
  <c r="N20" i="11"/>
  <c r="Q20" i="11" s="1"/>
  <c r="N20" i="9"/>
  <c r="Q20" i="9" s="1"/>
  <c r="N20" i="8"/>
  <c r="Q20" i="8" s="1"/>
  <c r="N20" i="6"/>
  <c r="Q20" i="6" s="1"/>
  <c r="G8" i="6"/>
  <c r="D8" i="7" s="1"/>
  <c r="N10" i="5"/>
  <c r="Q10" i="5" s="1"/>
  <c r="G10" i="5"/>
  <c r="D10" i="6" s="1"/>
  <c r="N18" i="6"/>
  <c r="Q18" i="6" s="1"/>
  <c r="G18" i="6"/>
  <c r="D18" i="7" s="1"/>
  <c r="G11" i="6"/>
  <c r="D11" i="7" s="1"/>
  <c r="N11" i="6"/>
  <c r="Q11" i="6" s="1"/>
  <c r="G14" i="6"/>
  <c r="D14" i="7" s="1"/>
  <c r="N14" i="6"/>
  <c r="Q14" i="6" s="1"/>
  <c r="N9" i="5"/>
  <c r="Q9" i="5" s="1"/>
  <c r="N16" i="5"/>
  <c r="Q16" i="5" s="1"/>
  <c r="G16" i="5"/>
  <c r="D16" i="6" s="1"/>
  <c r="T18" i="5"/>
  <c r="Q19" i="5"/>
  <c r="G19" i="6"/>
  <c r="D19" i="7" s="1"/>
  <c r="N19" i="7" s="1"/>
  <c r="N19" i="6"/>
  <c r="G15" i="6"/>
  <c r="D15" i="7" s="1"/>
  <c r="N15" i="6"/>
  <c r="Q15" i="6" s="1"/>
  <c r="N12" i="6"/>
  <c r="Q12" i="6" s="1"/>
  <c r="G12" i="6"/>
  <c r="D12" i="7" s="1"/>
  <c r="Q7" i="1"/>
  <c r="D7" i="5"/>
  <c r="D64" i="1"/>
  <c r="G61" i="1"/>
  <c r="G47" i="11"/>
  <c r="P52" i="4"/>
  <c r="Q52" i="4" s="1"/>
  <c r="P51" i="4"/>
  <c r="Q51" i="4" s="1"/>
  <c r="L51" i="4"/>
  <c r="E66" i="4"/>
  <c r="E73" i="4"/>
  <c r="N22" i="1"/>
  <c r="N61" i="1" s="1"/>
  <c r="N64" i="1" s="1"/>
  <c r="J53" i="4"/>
  <c r="J49" i="4"/>
  <c r="O64" i="4"/>
  <c r="J48" i="4"/>
  <c r="J54" i="4"/>
  <c r="P47" i="4"/>
  <c r="Q47" i="4" s="1"/>
  <c r="L47" i="4"/>
  <c r="U17" i="1"/>
  <c r="V17" i="1" s="1"/>
  <c r="V18" i="1" s="1"/>
  <c r="V20" i="1" s="1"/>
  <c r="Q58" i="1"/>
  <c r="O61" i="1"/>
  <c r="O64" i="1" s="1"/>
  <c r="L61" i="1"/>
  <c r="L64" i="1" s="1"/>
  <c r="P61" i="1"/>
  <c r="P64" i="1" s="1"/>
  <c r="Q9" i="1"/>
  <c r="Q22" i="1" s="1"/>
  <c r="G22" i="1"/>
  <c r="Q39" i="1"/>
  <c r="K61" i="7" l="1"/>
  <c r="K64" i="7" s="1"/>
  <c r="P53" i="7"/>
  <c r="K58" i="7"/>
  <c r="N62" i="9"/>
  <c r="Q62" i="9" s="1"/>
  <c r="G62" i="9"/>
  <c r="D62" i="10" s="1"/>
  <c r="P45" i="4"/>
  <c r="G32" i="9"/>
  <c r="D32" i="10" s="1"/>
  <c r="L46" i="4"/>
  <c r="N17" i="5"/>
  <c r="Q17" i="5" s="1"/>
  <c r="G64" i="1"/>
  <c r="G74" i="1" s="1"/>
  <c r="N46" i="7"/>
  <c r="N48" i="7"/>
  <c r="N51" i="7"/>
  <c r="N49" i="7"/>
  <c r="N47" i="7"/>
  <c r="N53" i="7"/>
  <c r="Q53" i="7" s="1"/>
  <c r="L53" i="7"/>
  <c r="I53" i="8" s="1"/>
  <c r="N52" i="7"/>
  <c r="L45" i="6"/>
  <c r="N45" i="6"/>
  <c r="Q45" i="6" s="1"/>
  <c r="I58" i="6"/>
  <c r="N50" i="7"/>
  <c r="G54" i="6"/>
  <c r="D54" i="7" s="1"/>
  <c r="N54" i="6"/>
  <c r="D55" i="6"/>
  <c r="G58" i="5"/>
  <c r="Q55" i="5"/>
  <c r="Q58" i="5" s="1"/>
  <c r="N58" i="5"/>
  <c r="L50" i="4"/>
  <c r="G27" i="6"/>
  <c r="D39" i="6"/>
  <c r="L61" i="5"/>
  <c r="L64" i="5" s="1"/>
  <c r="I64" i="5"/>
  <c r="N33" i="7"/>
  <c r="L8" i="6"/>
  <c r="I22" i="6"/>
  <c r="N28" i="7"/>
  <c r="N29" i="7"/>
  <c r="N30" i="7"/>
  <c r="N31" i="7"/>
  <c r="Q31" i="7" s="1"/>
  <c r="L31" i="7"/>
  <c r="I31" i="8" s="1"/>
  <c r="N26" i="7"/>
  <c r="N13" i="5"/>
  <c r="Q13" i="5" s="1"/>
  <c r="L27" i="7"/>
  <c r="I27" i="8" s="1"/>
  <c r="N34" i="7"/>
  <c r="Q34" i="7" s="1"/>
  <c r="L34" i="7"/>
  <c r="I34" i="8" s="1"/>
  <c r="L25" i="6"/>
  <c r="N25" i="6"/>
  <c r="I39" i="6"/>
  <c r="L35" i="7"/>
  <c r="I35" i="8" s="1"/>
  <c r="N35" i="7"/>
  <c r="Q35" i="7" s="1"/>
  <c r="N37" i="7"/>
  <c r="G15" i="7"/>
  <c r="D15" i="8" s="1"/>
  <c r="N15" i="7"/>
  <c r="Q19" i="6"/>
  <c r="T18" i="6"/>
  <c r="G16" i="6"/>
  <c r="D16" i="7" s="1"/>
  <c r="N16" i="6"/>
  <c r="Q16" i="6" s="1"/>
  <c r="G18" i="7"/>
  <c r="D18" i="8" s="1"/>
  <c r="N18" i="7"/>
  <c r="Q18" i="7" s="1"/>
  <c r="G10" i="6"/>
  <c r="D10" i="7" s="1"/>
  <c r="N10" i="6"/>
  <c r="Q10" i="6" s="1"/>
  <c r="G11" i="7"/>
  <c r="D11" i="8" s="1"/>
  <c r="N11" i="7"/>
  <c r="Q11" i="7" s="1"/>
  <c r="N13" i="6"/>
  <c r="Q13" i="6" s="1"/>
  <c r="G13" i="6"/>
  <c r="D13" i="7" s="1"/>
  <c r="G19" i="7"/>
  <c r="D19" i="8" s="1"/>
  <c r="G9" i="6"/>
  <c r="D9" i="7" s="1"/>
  <c r="N9" i="6"/>
  <c r="Q9" i="6" s="1"/>
  <c r="N12" i="7"/>
  <c r="Q12" i="7" s="1"/>
  <c r="G12" i="7"/>
  <c r="D12" i="8" s="1"/>
  <c r="G17" i="6"/>
  <c r="D17" i="7" s="1"/>
  <c r="F17" i="7" s="1"/>
  <c r="D68" i="7" s="1"/>
  <c r="N17" i="6"/>
  <c r="G14" i="7"/>
  <c r="D14" i="8" s="1"/>
  <c r="N14" i="7"/>
  <c r="G8" i="7"/>
  <c r="D8" i="8" s="1"/>
  <c r="G7" i="5"/>
  <c r="N7" i="5"/>
  <c r="D22" i="5"/>
  <c r="D61" i="5" s="1"/>
  <c r="P48" i="4"/>
  <c r="Q48" i="4" s="1"/>
  <c r="L48" i="4"/>
  <c r="P49" i="4"/>
  <c r="Q49" i="4" s="1"/>
  <c r="L49" i="4"/>
  <c r="P54" i="4"/>
  <c r="Q54" i="4" s="1"/>
  <c r="L54" i="4"/>
  <c r="P53" i="4"/>
  <c r="Q53" i="4" s="1"/>
  <c r="L53" i="4"/>
  <c r="J58" i="4"/>
  <c r="J61" i="4" s="1"/>
  <c r="Q45" i="4"/>
  <c r="Q61" i="1"/>
  <c r="T17" i="5" l="1"/>
  <c r="T19" i="5" s="1"/>
  <c r="G32" i="10"/>
  <c r="D32" i="11" s="1"/>
  <c r="N62" i="10"/>
  <c r="Q62" i="10" s="1"/>
  <c r="G62" i="10"/>
  <c r="D62" i="11" s="1"/>
  <c r="L53" i="8"/>
  <c r="I53" i="9" s="1"/>
  <c r="N53" i="8"/>
  <c r="Q53" i="8" s="1"/>
  <c r="I45" i="7"/>
  <c r="G54" i="7"/>
  <c r="D54" i="8" s="1"/>
  <c r="G55" i="6"/>
  <c r="N55" i="6"/>
  <c r="D58" i="6"/>
  <c r="D27" i="7"/>
  <c r="G39" i="6"/>
  <c r="F22" i="7"/>
  <c r="F61" i="7" s="1"/>
  <c r="F64" i="7" s="1"/>
  <c r="O17" i="7"/>
  <c r="O22" i="7" s="1"/>
  <c r="O61" i="7" s="1"/>
  <c r="O64" i="7" s="1"/>
  <c r="L58" i="4"/>
  <c r="Q25" i="6"/>
  <c r="Q39" i="6" s="1"/>
  <c r="N39" i="6"/>
  <c r="I25" i="7"/>
  <c r="L39" i="6"/>
  <c r="N34" i="8"/>
  <c r="Q34" i="8" s="1"/>
  <c r="L34" i="8"/>
  <c r="I34" i="9" s="1"/>
  <c r="N31" i="8"/>
  <c r="I61" i="6"/>
  <c r="I8" i="7"/>
  <c r="L22" i="6"/>
  <c r="L27" i="8"/>
  <c r="I27" i="9" s="1"/>
  <c r="L35" i="8"/>
  <c r="I35" i="9" s="1"/>
  <c r="N35" i="8"/>
  <c r="Q35" i="8" s="1"/>
  <c r="U17" i="5"/>
  <c r="V17" i="5" s="1"/>
  <c r="V18" i="5" s="1"/>
  <c r="V20" i="5" s="1"/>
  <c r="U18" i="5"/>
  <c r="N12" i="8"/>
  <c r="Q12" i="8" s="1"/>
  <c r="G12" i="8"/>
  <c r="D12" i="9" s="1"/>
  <c r="G13" i="7"/>
  <c r="D13" i="8" s="1"/>
  <c r="N13" i="7"/>
  <c r="Q13" i="7" s="1"/>
  <c r="Q19" i="7"/>
  <c r="T18" i="7"/>
  <c r="G19" i="8"/>
  <c r="D19" i="9" s="1"/>
  <c r="N19" i="8"/>
  <c r="G14" i="8"/>
  <c r="D14" i="9" s="1"/>
  <c r="G11" i="8"/>
  <c r="D11" i="9" s="1"/>
  <c r="N11" i="8"/>
  <c r="Q11" i="8" s="1"/>
  <c r="N18" i="8"/>
  <c r="Q18" i="8" s="1"/>
  <c r="G18" i="8"/>
  <c r="D18" i="9" s="1"/>
  <c r="G8" i="8"/>
  <c r="D8" i="9" s="1"/>
  <c r="G16" i="7"/>
  <c r="D16" i="8" s="1"/>
  <c r="N16" i="7"/>
  <c r="T17" i="6"/>
  <c r="Q17" i="6"/>
  <c r="G17" i="7"/>
  <c r="D17" i="8" s="1"/>
  <c r="N17" i="7"/>
  <c r="T53" i="7" s="1"/>
  <c r="G9" i="7"/>
  <c r="D9" i="8" s="1"/>
  <c r="N9" i="7"/>
  <c r="Q9" i="7" s="1"/>
  <c r="G10" i="7"/>
  <c r="D10" i="8" s="1"/>
  <c r="N10" i="7"/>
  <c r="Q10" i="7" s="1"/>
  <c r="G15" i="8"/>
  <c r="D15" i="9" s="1"/>
  <c r="Q7" i="5"/>
  <c r="Q22" i="5" s="1"/>
  <c r="N22" i="5"/>
  <c r="N61" i="5" s="1"/>
  <c r="G61" i="5"/>
  <c r="G64" i="5" s="1"/>
  <c r="D64" i="5"/>
  <c r="D7" i="6"/>
  <c r="G22" i="5"/>
  <c r="Q58" i="4"/>
  <c r="P58" i="4"/>
  <c r="P61" i="4" s="1"/>
  <c r="J64" i="4"/>
  <c r="L61" i="4"/>
  <c r="L64" i="4" s="1"/>
  <c r="Q64" i="1"/>
  <c r="Q67" i="1" s="1"/>
  <c r="G62" i="11" l="1"/>
  <c r="N62" i="11"/>
  <c r="Q62" i="11" s="1"/>
  <c r="G32" i="11"/>
  <c r="N45" i="7"/>
  <c r="L53" i="9"/>
  <c r="I53" i="10" s="1"/>
  <c r="N53" i="9"/>
  <c r="Q53" i="9" s="1"/>
  <c r="G54" i="8"/>
  <c r="D54" i="9" s="1"/>
  <c r="Q55" i="6"/>
  <c r="N58" i="6"/>
  <c r="D55" i="7"/>
  <c r="G58" i="6"/>
  <c r="G27" i="7"/>
  <c r="D39" i="7"/>
  <c r="N27" i="7"/>
  <c r="Q27" i="7" s="1"/>
  <c r="L25" i="7"/>
  <c r="N25" i="7"/>
  <c r="I39" i="7"/>
  <c r="L27" i="9"/>
  <c r="I27" i="10" s="1"/>
  <c r="L34" i="9"/>
  <c r="I34" i="10" s="1"/>
  <c r="N34" i="9"/>
  <c r="Q34" i="9" s="1"/>
  <c r="I64" i="6"/>
  <c r="L35" i="9"/>
  <c r="I35" i="10" s="1"/>
  <c r="N35" i="9"/>
  <c r="Q35" i="9" s="1"/>
  <c r="L8" i="7"/>
  <c r="I22" i="7"/>
  <c r="N8" i="7"/>
  <c r="Q8" i="7" s="1"/>
  <c r="N18" i="9"/>
  <c r="G18" i="9"/>
  <c r="D18" i="10" s="1"/>
  <c r="N12" i="9"/>
  <c r="Q12" i="9" s="1"/>
  <c r="G12" i="9"/>
  <c r="D12" i="10" s="1"/>
  <c r="G17" i="8"/>
  <c r="D17" i="9" s="1"/>
  <c r="N17" i="8"/>
  <c r="G15" i="9"/>
  <c r="D15" i="10" s="1"/>
  <c r="G10" i="8"/>
  <c r="D10" i="9" s="1"/>
  <c r="N10" i="8"/>
  <c r="Q10" i="8" s="1"/>
  <c r="T17" i="7"/>
  <c r="Q17" i="7"/>
  <c r="G11" i="9"/>
  <c r="D11" i="10" s="1"/>
  <c r="N11" i="9"/>
  <c r="Q11" i="9" s="1"/>
  <c r="T18" i="8"/>
  <c r="Q19" i="8"/>
  <c r="T19" i="6"/>
  <c r="U18" i="6" s="1"/>
  <c r="N13" i="8"/>
  <c r="Q13" i="8" s="1"/>
  <c r="G13" i="8"/>
  <c r="D13" i="9" s="1"/>
  <c r="G14" i="9"/>
  <c r="D14" i="10" s="1"/>
  <c r="G16" i="8"/>
  <c r="D16" i="9" s="1"/>
  <c r="N9" i="8"/>
  <c r="Q9" i="8" s="1"/>
  <c r="G9" i="8"/>
  <c r="D9" i="9" s="1"/>
  <c r="G8" i="9"/>
  <c r="D8" i="10" s="1"/>
  <c r="G19" i="9"/>
  <c r="D19" i="10" s="1"/>
  <c r="N19" i="9"/>
  <c r="G7" i="6"/>
  <c r="N7" i="6"/>
  <c r="D22" i="6"/>
  <c r="D61" i="6" s="1"/>
  <c r="Q61" i="5"/>
  <c r="Q64" i="5" s="1"/>
  <c r="N64" i="5"/>
  <c r="N68" i="5" s="1"/>
  <c r="P64" i="4"/>
  <c r="Q61" i="4"/>
  <c r="Q64" i="4" s="1"/>
  <c r="Q67" i="4" s="1"/>
  <c r="L53" i="10" l="1"/>
  <c r="I53" i="11" s="1"/>
  <c r="N53" i="10"/>
  <c r="Q53" i="10" s="1"/>
  <c r="G54" i="9"/>
  <c r="D54" i="10" s="1"/>
  <c r="G55" i="7"/>
  <c r="N55" i="7"/>
  <c r="D58" i="7"/>
  <c r="D27" i="8"/>
  <c r="G39" i="7"/>
  <c r="U17" i="6"/>
  <c r="V17" i="6" s="1"/>
  <c r="V18" i="6" s="1"/>
  <c r="V20" i="6" s="1"/>
  <c r="Q25" i="7"/>
  <c r="N39" i="7"/>
  <c r="L27" i="10"/>
  <c r="I27" i="11" s="1"/>
  <c r="I25" i="8"/>
  <c r="L34" i="10"/>
  <c r="I34" i="11" s="1"/>
  <c r="N34" i="10"/>
  <c r="Q34" i="10" s="1"/>
  <c r="I8" i="8"/>
  <c r="L35" i="10"/>
  <c r="I35" i="11" s="1"/>
  <c r="N35" i="10"/>
  <c r="Q35" i="10" s="1"/>
  <c r="G16" i="9"/>
  <c r="D16" i="10" s="1"/>
  <c r="Q17" i="8"/>
  <c r="T17" i="8"/>
  <c r="T18" i="9"/>
  <c r="Q19" i="9"/>
  <c r="G14" i="10"/>
  <c r="D14" i="11" s="1"/>
  <c r="G8" i="10"/>
  <c r="D8" i="11" s="1"/>
  <c r="G12" i="10"/>
  <c r="D12" i="11" s="1"/>
  <c r="N12" i="10"/>
  <c r="Q12" i="10" s="1"/>
  <c r="G13" i="9"/>
  <c r="D13" i="10" s="1"/>
  <c r="N13" i="9"/>
  <c r="Q13" i="9" s="1"/>
  <c r="G17" i="9"/>
  <c r="D17" i="10" s="1"/>
  <c r="N17" i="9"/>
  <c r="G18" i="10"/>
  <c r="D18" i="11" s="1"/>
  <c r="G15" i="10"/>
  <c r="D15" i="11" s="1"/>
  <c r="G19" i="10"/>
  <c r="D19" i="11" s="1"/>
  <c r="N19" i="10"/>
  <c r="N11" i="10"/>
  <c r="Q11" i="10" s="1"/>
  <c r="G11" i="10"/>
  <c r="D11" i="11" s="1"/>
  <c r="N9" i="9"/>
  <c r="Q9" i="9" s="1"/>
  <c r="G9" i="9"/>
  <c r="D9" i="10" s="1"/>
  <c r="T19" i="7"/>
  <c r="U18" i="7" s="1"/>
  <c r="G10" i="9"/>
  <c r="D10" i="10" s="1"/>
  <c r="N10" i="9"/>
  <c r="Q10" i="9" s="1"/>
  <c r="D7" i="7"/>
  <c r="G22" i="6"/>
  <c r="D64" i="6"/>
  <c r="G61" i="6"/>
  <c r="G64" i="6" s="1"/>
  <c r="Q7" i="6"/>
  <c r="Q22" i="6" s="1"/>
  <c r="N22" i="6"/>
  <c r="N61" i="6" s="1"/>
  <c r="U17" i="7" l="1"/>
  <c r="V17" i="7" s="1"/>
  <c r="V18" i="7" s="1"/>
  <c r="V20" i="7" s="1"/>
  <c r="L53" i="11"/>
  <c r="N53" i="11"/>
  <c r="Q53" i="11" s="1"/>
  <c r="G54" i="10"/>
  <c r="D54" i="11" s="1"/>
  <c r="D55" i="8"/>
  <c r="G58" i="7"/>
  <c r="G27" i="8"/>
  <c r="D39" i="8"/>
  <c r="N27" i="8"/>
  <c r="Q27" i="8" s="1"/>
  <c r="L27" i="11"/>
  <c r="N34" i="11"/>
  <c r="Q34" i="11" s="1"/>
  <c r="L34" i="11"/>
  <c r="L35" i="11"/>
  <c r="N35" i="11"/>
  <c r="Q35" i="11" s="1"/>
  <c r="N25" i="8"/>
  <c r="L25" i="8"/>
  <c r="L8" i="8"/>
  <c r="N8" i="8"/>
  <c r="Q8" i="8" s="1"/>
  <c r="G19" i="11"/>
  <c r="N19" i="11"/>
  <c r="G13" i="10"/>
  <c r="D13" i="11" s="1"/>
  <c r="N13" i="10"/>
  <c r="Q13" i="10" s="1"/>
  <c r="G14" i="11"/>
  <c r="G15" i="11"/>
  <c r="T19" i="8"/>
  <c r="U18" i="8" s="1"/>
  <c r="G17" i="10"/>
  <c r="D17" i="11" s="1"/>
  <c r="N17" i="10"/>
  <c r="N12" i="11"/>
  <c r="Q12" i="11" s="1"/>
  <c r="G12" i="11"/>
  <c r="T18" i="10"/>
  <c r="Q19" i="10"/>
  <c r="G18" i="11"/>
  <c r="N10" i="10"/>
  <c r="Q10" i="10" s="1"/>
  <c r="G10" i="10"/>
  <c r="D10" i="11" s="1"/>
  <c r="G9" i="10"/>
  <c r="D9" i="11" s="1"/>
  <c r="N9" i="10"/>
  <c r="Q9" i="10" s="1"/>
  <c r="N11" i="11"/>
  <c r="Q11" i="11" s="1"/>
  <c r="G11" i="11"/>
  <c r="Q17" i="9"/>
  <c r="T17" i="9"/>
  <c r="G8" i="11"/>
  <c r="G16" i="10"/>
  <c r="D16" i="11" s="1"/>
  <c r="N64" i="6"/>
  <c r="G7" i="7"/>
  <c r="N7" i="7"/>
  <c r="D22" i="7"/>
  <c r="D61" i="7" s="1"/>
  <c r="G54" i="11" l="1"/>
  <c r="G55" i="8"/>
  <c r="D58" i="8"/>
  <c r="D27" i="9"/>
  <c r="G39" i="8"/>
  <c r="I25" i="9"/>
  <c r="U17" i="8"/>
  <c r="V17" i="8" s="1"/>
  <c r="V18" i="8" s="1"/>
  <c r="V20" i="8" s="1"/>
  <c r="Q25" i="8"/>
  <c r="I8" i="9"/>
  <c r="N10" i="11"/>
  <c r="Q10" i="11" s="1"/>
  <c r="G10" i="11"/>
  <c r="G16" i="11"/>
  <c r="G17" i="11"/>
  <c r="N17" i="11"/>
  <c r="G9" i="11"/>
  <c r="N9" i="11"/>
  <c r="Q9" i="11" s="1"/>
  <c r="Q19" i="11"/>
  <c r="T18" i="11"/>
  <c r="T17" i="10"/>
  <c r="Q17" i="10"/>
  <c r="N13" i="11"/>
  <c r="Q13" i="11" s="1"/>
  <c r="G13" i="11"/>
  <c r="T19" i="9"/>
  <c r="U18" i="9" s="1"/>
  <c r="D64" i="7"/>
  <c r="G61" i="7"/>
  <c r="G64" i="7" s="1"/>
  <c r="Q7" i="7"/>
  <c r="N22" i="7"/>
  <c r="D7" i="8"/>
  <c r="G22" i="7"/>
  <c r="D55" i="9" l="1"/>
  <c r="G58" i="8"/>
  <c r="G27" i="9"/>
  <c r="D39" i="9"/>
  <c r="N27" i="9"/>
  <c r="Q27" i="9" s="1"/>
  <c r="U17" i="9"/>
  <c r="V17" i="9" s="1"/>
  <c r="V18" i="9" s="1"/>
  <c r="V20" i="9" s="1"/>
  <c r="L8" i="9"/>
  <c r="N8" i="9"/>
  <c r="Q8" i="9" s="1"/>
  <c r="L25" i="9"/>
  <c r="N25" i="9"/>
  <c r="Q17" i="11"/>
  <c r="T17" i="11"/>
  <c r="T19" i="11" s="1"/>
  <c r="U17" i="11" s="1"/>
  <c r="V17" i="11" s="1"/>
  <c r="V18" i="11" s="1"/>
  <c r="V20" i="11" s="1"/>
  <c r="T19" i="10"/>
  <c r="U18" i="10" s="1"/>
  <c r="G7" i="8"/>
  <c r="N7" i="8"/>
  <c r="D22" i="8"/>
  <c r="D61" i="8" s="1"/>
  <c r="U18" i="11" l="1"/>
  <c r="G55" i="9"/>
  <c r="D58" i="9"/>
  <c r="D27" i="10"/>
  <c r="G39" i="9"/>
  <c r="U17" i="10"/>
  <c r="V17" i="10" s="1"/>
  <c r="V18" i="10" s="1"/>
  <c r="V20" i="10" s="1"/>
  <c r="Q25" i="9"/>
  <c r="I25" i="10"/>
  <c r="I8" i="10"/>
  <c r="D64" i="8"/>
  <c r="G61" i="8"/>
  <c r="G64" i="8" s="1"/>
  <c r="Q7" i="8"/>
  <c r="D7" i="9"/>
  <c r="G22" i="8"/>
  <c r="D55" i="10" l="1"/>
  <c r="G58" i="9"/>
  <c r="G27" i="10"/>
  <c r="D39" i="10"/>
  <c r="N27" i="10"/>
  <c r="Q27" i="10" s="1"/>
  <c r="L8" i="10"/>
  <c r="N8" i="10"/>
  <c r="Q8" i="10" s="1"/>
  <c r="L25" i="10"/>
  <c r="N25" i="10"/>
  <c r="N7" i="9"/>
  <c r="G7" i="9"/>
  <c r="D22" i="9"/>
  <c r="D61" i="9" s="1"/>
  <c r="G55" i="10" l="1"/>
  <c r="D58" i="10"/>
  <c r="D27" i="11"/>
  <c r="G39" i="10"/>
  <c r="Q25" i="10"/>
  <c r="I25" i="11"/>
  <c r="I8" i="11"/>
  <c r="D7" i="10"/>
  <c r="G22" i="9"/>
  <c r="Q7" i="9"/>
  <c r="G61" i="9"/>
  <c r="G64" i="9" s="1"/>
  <c r="D64" i="9"/>
  <c r="D55" i="11" l="1"/>
  <c r="G58" i="10"/>
  <c r="G27" i="11"/>
  <c r="G39" i="11" s="1"/>
  <c r="D39" i="11"/>
  <c r="N27" i="11"/>
  <c r="Q27" i="11" s="1"/>
  <c r="L25" i="11"/>
  <c r="N25" i="11"/>
  <c r="L8" i="11"/>
  <c r="N8" i="11"/>
  <c r="Q8" i="11" s="1"/>
  <c r="N7" i="10"/>
  <c r="G7" i="10"/>
  <c r="D22" i="10"/>
  <c r="D61" i="10" s="1"/>
  <c r="G55" i="11" l="1"/>
  <c r="G58" i="11" s="1"/>
  <c r="D58" i="11"/>
  <c r="Q25" i="11"/>
  <c r="D64" i="10"/>
  <c r="G61" i="10"/>
  <c r="G64" i="10" s="1"/>
  <c r="D7" i="11"/>
  <c r="G22" i="10"/>
  <c r="Q7" i="10"/>
  <c r="G7" i="11" l="1"/>
  <c r="G22" i="11" s="1"/>
  <c r="N7" i="11"/>
  <c r="D22" i="11"/>
  <c r="D61" i="11" s="1"/>
  <c r="Q7" i="11" l="1"/>
  <c r="G61" i="11"/>
  <c r="G64" i="11" s="1"/>
  <c r="D64" i="11"/>
  <c r="I22" i="12" l="1"/>
  <c r="P8" i="12"/>
  <c r="P22" i="12" s="1"/>
  <c r="J22" i="12"/>
  <c r="N8" i="12"/>
  <c r="N22" i="12"/>
  <c r="Q8" i="12" l="1"/>
  <c r="Q22" i="12" s="1"/>
  <c r="J58" i="12"/>
  <c r="J61" i="12" s="1"/>
  <c r="J64" i="12" s="1"/>
  <c r="P45" i="12"/>
  <c r="P58" i="12" s="1"/>
  <c r="P61" i="12" s="1"/>
  <c r="P64" i="12" s="1"/>
  <c r="I45" i="12"/>
  <c r="N45" i="12" s="1"/>
  <c r="I58" i="12"/>
  <c r="I61" i="12" s="1"/>
  <c r="N58" i="12" l="1"/>
  <c r="N61" i="12" s="1"/>
  <c r="Q45" i="12"/>
  <c r="Q58" i="12" s="1"/>
  <c r="I64" i="12"/>
  <c r="L61" i="12"/>
  <c r="L64" i="12" s="1"/>
  <c r="N64" i="12" l="1"/>
  <c r="Q61" i="12"/>
  <c r="Q64" i="12" s="1"/>
  <c r="Q67" i="12" s="1"/>
  <c r="J14" i="8" l="1"/>
  <c r="J14" i="11"/>
  <c r="J14" i="7"/>
  <c r="J14" i="10"/>
  <c r="J14" i="9"/>
  <c r="P14" i="9" l="1"/>
  <c r="P14" i="7"/>
  <c r="L14" i="7"/>
  <c r="P14" i="8"/>
  <c r="P14" i="10"/>
  <c r="P14" i="11"/>
  <c r="I14" i="8" l="1"/>
  <c r="Q14" i="7"/>
  <c r="L14" i="8" l="1"/>
  <c r="N14" i="8"/>
  <c r="Q14" i="8" l="1"/>
  <c r="I14" i="9"/>
  <c r="L14" i="9" l="1"/>
  <c r="N14" i="9"/>
  <c r="Q14" i="9" l="1"/>
  <c r="I14" i="10"/>
  <c r="L14" i="10" l="1"/>
  <c r="N14" i="10"/>
  <c r="Q14" i="10" l="1"/>
  <c r="I14" i="11"/>
  <c r="L14" i="11" l="1"/>
  <c r="N14" i="11"/>
  <c r="Q14" i="11" l="1"/>
  <c r="J54" i="9" l="1"/>
  <c r="P54" i="9" s="1"/>
  <c r="J54" i="8"/>
  <c r="P54" i="8" s="1"/>
  <c r="J54" i="7"/>
  <c r="J54" i="11"/>
  <c r="P54" i="11" s="1"/>
  <c r="J54" i="6"/>
  <c r="J54" i="10"/>
  <c r="P54" i="10" s="1"/>
  <c r="J58" i="6" l="1"/>
  <c r="J61" i="6" s="1"/>
  <c r="P54" i="6"/>
  <c r="L54" i="6"/>
  <c r="P54" i="7"/>
  <c r="I54" i="7" l="1"/>
  <c r="L58" i="6"/>
  <c r="P58" i="6"/>
  <c r="P61" i="6" s="1"/>
  <c r="Q54" i="6"/>
  <c r="Q58" i="6" s="1"/>
  <c r="J64" i="6"/>
  <c r="L61" i="6"/>
  <c r="L64" i="6" s="1"/>
  <c r="P64" i="6" l="1"/>
  <c r="Q61" i="6"/>
  <c r="Q64" i="6" s="1"/>
  <c r="N54" i="7"/>
  <c r="I58" i="7"/>
  <c r="I61" i="7" s="1"/>
  <c r="I64" i="7" s="1"/>
  <c r="L54" i="7"/>
  <c r="I54" i="8" s="1"/>
  <c r="N54" i="8" l="1"/>
  <c r="Q54" i="8" s="1"/>
  <c r="L54" i="8"/>
  <c r="I54" i="9" s="1"/>
  <c r="N58" i="7"/>
  <c r="N61" i="7" s="1"/>
  <c r="N64" i="7" s="1"/>
  <c r="Q54" i="7"/>
  <c r="L54" i="9" l="1"/>
  <c r="I54" i="10" s="1"/>
  <c r="N54" i="9"/>
  <c r="Q54" i="9" s="1"/>
  <c r="L54" i="10" l="1"/>
  <c r="I54" i="11" s="1"/>
  <c r="N54" i="10"/>
  <c r="Q54" i="10" s="1"/>
  <c r="L54" i="11" l="1"/>
  <c r="N54" i="11"/>
  <c r="Q54" i="11" s="1"/>
  <c r="J55" i="7" l="1"/>
  <c r="J55" i="9"/>
  <c r="P55" i="9" s="1"/>
  <c r="J55" i="8"/>
  <c r="P55" i="8" s="1"/>
  <c r="J55" i="11"/>
  <c r="P55" i="11" s="1"/>
  <c r="J55" i="10"/>
  <c r="P55" i="10" s="1"/>
  <c r="P55" i="7" l="1"/>
  <c r="Q55" i="7" s="1"/>
  <c r="L55" i="7"/>
  <c r="I55" i="8" s="1"/>
  <c r="L55" i="8" l="1"/>
  <c r="I55" i="9" s="1"/>
  <c r="N55" i="8"/>
  <c r="Q55" i="8" s="1"/>
  <c r="L55" i="9" l="1"/>
  <c r="I55" i="10" s="1"/>
  <c r="N55" i="9"/>
  <c r="Q55" i="9" s="1"/>
  <c r="L55" i="10" l="1"/>
  <c r="I55" i="11" s="1"/>
  <c r="N55" i="10"/>
  <c r="Q55" i="10" s="1"/>
  <c r="J37" i="10"/>
  <c r="P37" i="10" s="1"/>
  <c r="J37" i="11"/>
  <c r="P37" i="11" s="1"/>
  <c r="J37" i="9"/>
  <c r="P37" i="9" s="1"/>
  <c r="L55" i="11" l="1"/>
  <c r="N55" i="11"/>
  <c r="Q55" i="11" s="1"/>
  <c r="J37" i="7"/>
  <c r="J52" i="10"/>
  <c r="P52" i="10" s="1"/>
  <c r="J52" i="11"/>
  <c r="P52" i="11" s="1"/>
  <c r="J52" i="8"/>
  <c r="P52" i="8" s="1"/>
  <c r="J52" i="7"/>
  <c r="P52" i="7" l="1"/>
  <c r="Q52" i="7" s="1"/>
  <c r="L52" i="7"/>
  <c r="I52" i="8" s="1"/>
  <c r="P37" i="7"/>
  <c r="Q37" i="7" s="1"/>
  <c r="L37" i="7"/>
  <c r="I37" i="8" s="1"/>
  <c r="J52" i="9"/>
  <c r="P52" i="9" s="1"/>
  <c r="J37" i="8"/>
  <c r="P37" i="8" s="1"/>
  <c r="J49" i="10"/>
  <c r="P49" i="10" s="1"/>
  <c r="J49" i="7"/>
  <c r="J49" i="11"/>
  <c r="P49" i="11" s="1"/>
  <c r="J49" i="8"/>
  <c r="P49" i="8" s="1"/>
  <c r="L52" i="8" l="1"/>
  <c r="I52" i="9" s="1"/>
  <c r="N52" i="8"/>
  <c r="Q52" i="8" s="1"/>
  <c r="P49" i="7"/>
  <c r="Q49" i="7" s="1"/>
  <c r="L49" i="7"/>
  <c r="I49" i="8" s="1"/>
  <c r="L37" i="8"/>
  <c r="I37" i="9" s="1"/>
  <c r="N37" i="8"/>
  <c r="Q37" i="8" s="1"/>
  <c r="J49" i="9"/>
  <c r="P49" i="9" s="1"/>
  <c r="N52" i="9" l="1"/>
  <c r="Q52" i="9" s="1"/>
  <c r="L52" i="9"/>
  <c r="I52" i="10" s="1"/>
  <c r="L49" i="8"/>
  <c r="I49" i="9" s="1"/>
  <c r="N49" i="8"/>
  <c r="Q49" i="8" s="1"/>
  <c r="L37" i="9"/>
  <c r="I37" i="10" s="1"/>
  <c r="N37" i="9"/>
  <c r="Q37" i="9" s="1"/>
  <c r="N52" i="10" l="1"/>
  <c r="Q52" i="10" s="1"/>
  <c r="L52" i="10"/>
  <c r="I52" i="11" s="1"/>
  <c r="L49" i="9"/>
  <c r="I49" i="10" s="1"/>
  <c r="N49" i="9"/>
  <c r="Q49" i="9" s="1"/>
  <c r="L37" i="10"/>
  <c r="I37" i="11" s="1"/>
  <c r="N37" i="10"/>
  <c r="Q37" i="10" s="1"/>
  <c r="N52" i="11" l="1"/>
  <c r="Q52" i="11" s="1"/>
  <c r="L52" i="11"/>
  <c r="L49" i="10"/>
  <c r="I49" i="11" s="1"/>
  <c r="N49" i="10"/>
  <c r="Q49" i="10" s="1"/>
  <c r="L37" i="11"/>
  <c r="N37" i="11"/>
  <c r="Q37" i="11" s="1"/>
  <c r="L49" i="11" l="1"/>
  <c r="N49" i="11"/>
  <c r="Q49" i="11" s="1"/>
  <c r="J51" i="11"/>
  <c r="P51" i="11" s="1"/>
  <c r="J51" i="10"/>
  <c r="P51" i="10" s="1"/>
  <c r="J51" i="9"/>
  <c r="P51" i="9" s="1"/>
  <c r="J51" i="8"/>
  <c r="P51" i="8" s="1"/>
  <c r="J51" i="7"/>
  <c r="J48" i="8"/>
  <c r="P48" i="8" s="1"/>
  <c r="J48" i="10"/>
  <c r="P48" i="10" s="1"/>
  <c r="J48" i="9"/>
  <c r="P48" i="9" s="1"/>
  <c r="J48" i="7"/>
  <c r="J48" i="11"/>
  <c r="P48" i="11" s="1"/>
  <c r="J46" i="11"/>
  <c r="P46" i="11" s="1"/>
  <c r="J46" i="10"/>
  <c r="P46" i="10" s="1"/>
  <c r="J46" i="8"/>
  <c r="P46" i="8" s="1"/>
  <c r="J46" i="9"/>
  <c r="P46" i="9" s="1"/>
  <c r="J46" i="7"/>
  <c r="P51" i="7" l="1"/>
  <c r="Q51" i="7" s="1"/>
  <c r="L51" i="7"/>
  <c r="I51" i="8" s="1"/>
  <c r="P48" i="7"/>
  <c r="Q48" i="7" s="1"/>
  <c r="L48" i="7"/>
  <c r="I48" i="8" s="1"/>
  <c r="P46" i="7"/>
  <c r="Q46" i="7" s="1"/>
  <c r="L46" i="7"/>
  <c r="I46" i="8" s="1"/>
  <c r="L51" i="8" l="1"/>
  <c r="I51" i="9" s="1"/>
  <c r="N51" i="8"/>
  <c r="Q51" i="8" s="1"/>
  <c r="N48" i="8"/>
  <c r="Q48" i="8" s="1"/>
  <c r="L48" i="8"/>
  <c r="I48" i="9" s="1"/>
  <c r="L46" i="8"/>
  <c r="I46" i="9" s="1"/>
  <c r="N46" i="8"/>
  <c r="Q46" i="8" s="1"/>
  <c r="L51" i="9" l="1"/>
  <c r="I51" i="10" s="1"/>
  <c r="N51" i="9"/>
  <c r="Q51" i="9" s="1"/>
  <c r="L48" i="9"/>
  <c r="I48" i="10" s="1"/>
  <c r="N48" i="9"/>
  <c r="Q48" i="9" s="1"/>
  <c r="L46" i="9"/>
  <c r="I46" i="10" s="1"/>
  <c r="N46" i="9"/>
  <c r="Q46" i="9" s="1"/>
  <c r="N51" i="10" l="1"/>
  <c r="Q51" i="10" s="1"/>
  <c r="L51" i="10"/>
  <c r="I51" i="11" s="1"/>
  <c r="L48" i="10"/>
  <c r="I48" i="11" s="1"/>
  <c r="N48" i="10"/>
  <c r="Q48" i="10" s="1"/>
  <c r="N46" i="10"/>
  <c r="Q46" i="10" s="1"/>
  <c r="L46" i="10"/>
  <c r="I46" i="11" s="1"/>
  <c r="L51" i="11" l="1"/>
  <c r="N51" i="11"/>
  <c r="Q51" i="11" s="1"/>
  <c r="L48" i="11"/>
  <c r="N48" i="11"/>
  <c r="Q48" i="11" s="1"/>
  <c r="L46" i="11"/>
  <c r="N46" i="11"/>
  <c r="Q46" i="11" s="1"/>
  <c r="J50" i="11" l="1"/>
  <c r="P50" i="11" s="1"/>
  <c r="J50" i="10"/>
  <c r="P50" i="10" s="1"/>
  <c r="J50" i="8"/>
  <c r="P50" i="8" s="1"/>
  <c r="J50" i="7"/>
  <c r="J50" i="9"/>
  <c r="P50" i="9" s="1"/>
  <c r="J47" i="7"/>
  <c r="J47" i="11"/>
  <c r="P47" i="11" s="1"/>
  <c r="J47" i="8"/>
  <c r="P47" i="8" s="1"/>
  <c r="J47" i="9"/>
  <c r="P47" i="9" s="1"/>
  <c r="P50" i="7" l="1"/>
  <c r="Q50" i="7" s="1"/>
  <c r="L50" i="7"/>
  <c r="I50" i="8" s="1"/>
  <c r="P47" i="7"/>
  <c r="Q47" i="7" s="1"/>
  <c r="L47" i="7"/>
  <c r="I47" i="8" s="1"/>
  <c r="J47" i="10"/>
  <c r="P47" i="10" s="1"/>
  <c r="L50" i="8" l="1"/>
  <c r="I50" i="9" s="1"/>
  <c r="N50" i="8"/>
  <c r="Q50" i="8" s="1"/>
  <c r="N47" i="8"/>
  <c r="Q47" i="8" s="1"/>
  <c r="L47" i="8"/>
  <c r="I47" i="9" s="1"/>
  <c r="L50" i="9" l="1"/>
  <c r="I50" i="10" s="1"/>
  <c r="N50" i="9"/>
  <c r="Q50" i="9" s="1"/>
  <c r="N47" i="9"/>
  <c r="Q47" i="9" s="1"/>
  <c r="L47" i="9"/>
  <c r="I47" i="10" s="1"/>
  <c r="L50" i="10" l="1"/>
  <c r="I50" i="11" s="1"/>
  <c r="N50" i="10"/>
  <c r="Q50" i="10" s="1"/>
  <c r="L47" i="10"/>
  <c r="I47" i="11" s="1"/>
  <c r="N47" i="10"/>
  <c r="Q47" i="10" s="1"/>
  <c r="L50" i="11" l="1"/>
  <c r="N50" i="11"/>
  <c r="Q50" i="11" s="1"/>
  <c r="L47" i="11"/>
  <c r="N47" i="11"/>
  <c r="Q47" i="11" s="1"/>
  <c r="J45" i="11" l="1"/>
  <c r="J45" i="9"/>
  <c r="J45" i="8"/>
  <c r="J45" i="10"/>
  <c r="J45" i="7"/>
  <c r="J58" i="10" l="1"/>
  <c r="P45" i="10"/>
  <c r="P58" i="10" s="1"/>
  <c r="J58" i="8"/>
  <c r="P45" i="8"/>
  <c r="P58" i="8" s="1"/>
  <c r="J58" i="9"/>
  <c r="P45" i="9"/>
  <c r="P58" i="9" s="1"/>
  <c r="J58" i="11"/>
  <c r="P45" i="11"/>
  <c r="P58" i="11" s="1"/>
  <c r="J58" i="7"/>
  <c r="P45" i="7"/>
  <c r="L45" i="7"/>
  <c r="I45" i="8" l="1"/>
  <c r="L58" i="7"/>
  <c r="P58" i="7"/>
  <c r="Q45" i="7"/>
  <c r="Q58" i="7" s="1"/>
  <c r="I58" i="8" l="1"/>
  <c r="N45" i="8"/>
  <c r="L45" i="8"/>
  <c r="Q45" i="8" l="1"/>
  <c r="Q58" i="8" s="1"/>
  <c r="N58" i="8"/>
  <c r="I45" i="9"/>
  <c r="L58" i="8"/>
  <c r="L45" i="9" l="1"/>
  <c r="I58" i="9"/>
  <c r="N45" i="9"/>
  <c r="Q45" i="9" l="1"/>
  <c r="Q58" i="9" s="1"/>
  <c r="N58" i="9"/>
  <c r="I45" i="10"/>
  <c r="L58" i="9"/>
  <c r="L45" i="10" l="1"/>
  <c r="I58" i="10"/>
  <c r="N45" i="10"/>
  <c r="J32" i="7"/>
  <c r="J32" i="8"/>
  <c r="P32" i="8" s="1"/>
  <c r="J32" i="11"/>
  <c r="P32" i="11" s="1"/>
  <c r="J32" i="10"/>
  <c r="P32" i="10" s="1"/>
  <c r="J32" i="9"/>
  <c r="P32" i="9" s="1"/>
  <c r="Q45" i="10" l="1"/>
  <c r="Q58" i="10" s="1"/>
  <c r="N58" i="10"/>
  <c r="L58" i="10"/>
  <c r="I45" i="11"/>
  <c r="P32" i="7"/>
  <c r="Q32" i="7" s="1"/>
  <c r="L32" i="7"/>
  <c r="I32" i="8" s="1"/>
  <c r="I58" i="11" l="1"/>
  <c r="L45" i="11"/>
  <c r="L58" i="11" s="1"/>
  <c r="N45" i="11"/>
  <c r="L32" i="8"/>
  <c r="I32" i="9" s="1"/>
  <c r="N32" i="8"/>
  <c r="Q32" i="8" s="1"/>
  <c r="J18" i="10"/>
  <c r="P18" i="10" s="1"/>
  <c r="J18" i="9"/>
  <c r="J18" i="11"/>
  <c r="P18" i="11" s="1"/>
  <c r="Q45" i="11" l="1"/>
  <c r="Q58" i="11" s="1"/>
  <c r="N58" i="11"/>
  <c r="L32" i="9"/>
  <c r="I32" i="10" s="1"/>
  <c r="N32" i="9"/>
  <c r="Q32" i="9" s="1"/>
  <c r="P18" i="9"/>
  <c r="Q18" i="9" s="1"/>
  <c r="L18" i="9"/>
  <c r="I18" i="10" s="1"/>
  <c r="L32" i="10" l="1"/>
  <c r="I32" i="11" s="1"/>
  <c r="N32" i="10"/>
  <c r="Q32" i="10" s="1"/>
  <c r="L18" i="10"/>
  <c r="I18" i="11" s="1"/>
  <c r="N18" i="10"/>
  <c r="Q18" i="10" s="1"/>
  <c r="L32" i="11" l="1"/>
  <c r="N32" i="11"/>
  <c r="Q32" i="11" s="1"/>
  <c r="L18" i="11"/>
  <c r="N18" i="11"/>
  <c r="Q18" i="11" s="1"/>
  <c r="J29" i="7" l="1"/>
  <c r="P29" i="7" l="1"/>
  <c r="Q29" i="7" s="1"/>
  <c r="L29" i="7"/>
  <c r="I29" i="8" s="1"/>
  <c r="J30" i="7"/>
  <c r="J29" i="8"/>
  <c r="P29" i="8" s="1"/>
  <c r="J29" i="11"/>
  <c r="P29" i="11" s="1"/>
  <c r="J29" i="10"/>
  <c r="P29" i="10" s="1"/>
  <c r="J33" i="7"/>
  <c r="J30" i="8"/>
  <c r="P30" i="8" s="1"/>
  <c r="J30" i="11"/>
  <c r="P30" i="11" s="1"/>
  <c r="P33" i="7" l="1"/>
  <c r="Q33" i="7" s="1"/>
  <c r="L33" i="7"/>
  <c r="I33" i="8" s="1"/>
  <c r="P30" i="7"/>
  <c r="Q30" i="7" s="1"/>
  <c r="L30" i="7"/>
  <c r="I30" i="8" s="1"/>
  <c r="N29" i="8"/>
  <c r="Q29" i="8" s="1"/>
  <c r="L29" i="8"/>
  <c r="I29" i="9" s="1"/>
  <c r="J31" i="8"/>
  <c r="J30" i="9"/>
  <c r="P30" i="9" s="1"/>
  <c r="J30" i="10"/>
  <c r="P30" i="10" s="1"/>
  <c r="J36" i="7"/>
  <c r="J36" i="11"/>
  <c r="P36" i="11" s="1"/>
  <c r="J36" i="10"/>
  <c r="P36" i="10" s="1"/>
  <c r="J36" i="9"/>
  <c r="P36" i="9" s="1"/>
  <c r="P36" i="7" l="1"/>
  <c r="Q36" i="7" s="1"/>
  <c r="L36" i="7"/>
  <c r="I36" i="8" s="1"/>
  <c r="N33" i="8"/>
  <c r="P31" i="8"/>
  <c r="Q31" i="8" s="1"/>
  <c r="L31" i="8"/>
  <c r="I31" i="9" s="1"/>
  <c r="L30" i="8"/>
  <c r="I30" i="9" s="1"/>
  <c r="N30" i="8"/>
  <c r="Q30" i="8" s="1"/>
  <c r="N29" i="9"/>
  <c r="J33" i="11"/>
  <c r="P33" i="11" s="1"/>
  <c r="J33" i="10"/>
  <c r="P33" i="10" s="1"/>
  <c r="J33" i="8"/>
  <c r="P33" i="8" s="1"/>
  <c r="J31" i="9"/>
  <c r="P31" i="9" s="1"/>
  <c r="J29" i="9"/>
  <c r="P29" i="9" s="1"/>
  <c r="N36" i="8" l="1"/>
  <c r="Q33" i="8"/>
  <c r="L33" i="8"/>
  <c r="I33" i="9" s="1"/>
  <c r="N33" i="9"/>
  <c r="L31" i="9"/>
  <c r="I31" i="10" s="1"/>
  <c r="N31" i="9"/>
  <c r="Q31" i="9" s="1"/>
  <c r="N30" i="9"/>
  <c r="Q30" i="9" s="1"/>
  <c r="L30" i="9"/>
  <c r="I30" i="10" s="1"/>
  <c r="L29" i="9"/>
  <c r="I29" i="10" s="1"/>
  <c r="N29" i="10" s="1"/>
  <c r="Q29" i="10" s="1"/>
  <c r="Q29" i="9"/>
  <c r="J33" i="9"/>
  <c r="P33" i="9" s="1"/>
  <c r="J31" i="11"/>
  <c r="P31" i="11" s="1"/>
  <c r="L33" i="9" l="1"/>
  <c r="I33" i="10" s="1"/>
  <c r="L33" i="10" s="1"/>
  <c r="I33" i="11" s="1"/>
  <c r="Q33" i="9"/>
  <c r="N31" i="10"/>
  <c r="L30" i="10"/>
  <c r="I30" i="11" s="1"/>
  <c r="N30" i="10"/>
  <c r="Q30" i="10" s="1"/>
  <c r="L29" i="10"/>
  <c r="I29" i="11" s="1"/>
  <c r="L29" i="11" s="1"/>
  <c r="J31" i="10"/>
  <c r="P31" i="10" s="1"/>
  <c r="N33" i="10" l="1"/>
  <c r="Q33" i="10" s="1"/>
  <c r="N33" i="11"/>
  <c r="Q33" i="11" s="1"/>
  <c r="L33" i="11"/>
  <c r="L31" i="10"/>
  <c r="I31" i="11" s="1"/>
  <c r="L31" i="11" s="1"/>
  <c r="Q31" i="10"/>
  <c r="N31" i="11"/>
  <c r="Q31" i="11" s="1"/>
  <c r="L30" i="11"/>
  <c r="N30" i="11"/>
  <c r="Q30" i="11" s="1"/>
  <c r="N29" i="11"/>
  <c r="Q29" i="11" s="1"/>
  <c r="J26" i="10" l="1"/>
  <c r="J26" i="8"/>
  <c r="J26" i="11"/>
  <c r="J26" i="9"/>
  <c r="J26" i="7"/>
  <c r="P26" i="10" l="1"/>
  <c r="P26" i="11"/>
  <c r="P26" i="9"/>
  <c r="P26" i="8"/>
  <c r="P26" i="7"/>
  <c r="L26" i="7"/>
  <c r="I26" i="8" l="1"/>
  <c r="Q26" i="7"/>
  <c r="L26" i="8" l="1"/>
  <c r="N26" i="8"/>
  <c r="Q26" i="8" l="1"/>
  <c r="I26" i="9"/>
  <c r="L26" i="9" l="1"/>
  <c r="N26" i="9"/>
  <c r="Q26" i="9" l="1"/>
  <c r="I26" i="10"/>
  <c r="N26" i="10" l="1"/>
  <c r="L26" i="10"/>
  <c r="I26" i="11" l="1"/>
  <c r="Q26" i="10"/>
  <c r="N26" i="11" l="1"/>
  <c r="L26" i="11"/>
  <c r="Q26" i="11" l="1"/>
  <c r="J16" i="11" l="1"/>
  <c r="P16" i="11" s="1"/>
  <c r="J16" i="7"/>
  <c r="J16" i="8"/>
  <c r="P16" i="8" s="1"/>
  <c r="J16" i="9"/>
  <c r="P16" i="9" s="1"/>
  <c r="J16" i="10"/>
  <c r="P16" i="10" s="1"/>
  <c r="P16" i="7" l="1"/>
  <c r="Q16" i="7" s="1"/>
  <c r="L16" i="7"/>
  <c r="I16" i="8" s="1"/>
  <c r="L16" i="8" l="1"/>
  <c r="I16" i="9" s="1"/>
  <c r="N16" i="8"/>
  <c r="Q16" i="8" s="1"/>
  <c r="L16" i="9" l="1"/>
  <c r="I16" i="10" s="1"/>
  <c r="N16" i="9"/>
  <c r="Q16" i="9" s="1"/>
  <c r="L16" i="10" l="1"/>
  <c r="I16" i="11" s="1"/>
  <c r="N16" i="10"/>
  <c r="Q16" i="10" s="1"/>
  <c r="L16" i="11" l="1"/>
  <c r="N16" i="11"/>
  <c r="Q16" i="11" s="1"/>
  <c r="J15" i="8" l="1"/>
  <c r="J15" i="7"/>
  <c r="J15" i="9"/>
  <c r="J15" i="10"/>
  <c r="J15" i="11"/>
  <c r="P15" i="9" l="1"/>
  <c r="P22" i="9" s="1"/>
  <c r="J22" i="9"/>
  <c r="P15" i="11"/>
  <c r="P22" i="11" s="1"/>
  <c r="J22" i="11"/>
  <c r="P15" i="10"/>
  <c r="P22" i="10" s="1"/>
  <c r="J22" i="10"/>
  <c r="P15" i="8"/>
  <c r="P22" i="8" s="1"/>
  <c r="J22" i="8"/>
  <c r="P15" i="7"/>
  <c r="L15" i="7"/>
  <c r="J22" i="7"/>
  <c r="I15" i="8" l="1"/>
  <c r="L22" i="7"/>
  <c r="Q15" i="7"/>
  <c r="Q22" i="7" s="1"/>
  <c r="P22" i="7"/>
  <c r="L15" i="8" l="1"/>
  <c r="N15" i="8"/>
  <c r="I22" i="8"/>
  <c r="Q15" i="8" l="1"/>
  <c r="Q22" i="8" s="1"/>
  <c r="N22" i="8"/>
  <c r="I15" i="9"/>
  <c r="L22" i="8"/>
  <c r="L15" i="9" l="1"/>
  <c r="N15" i="9"/>
  <c r="I22" i="9"/>
  <c r="Q15" i="9" l="1"/>
  <c r="Q22" i="9" s="1"/>
  <c r="N22" i="9"/>
  <c r="I15" i="10"/>
  <c r="L22" i="9"/>
  <c r="L15" i="10" l="1"/>
  <c r="N15" i="10"/>
  <c r="I22" i="10"/>
  <c r="Q15" i="10" l="1"/>
  <c r="Q22" i="10" s="1"/>
  <c r="N22" i="10"/>
  <c r="I15" i="11"/>
  <c r="L22" i="10"/>
  <c r="L15" i="11" l="1"/>
  <c r="L22" i="11" s="1"/>
  <c r="N15" i="11"/>
  <c r="I22" i="11"/>
  <c r="Q15" i="11" l="1"/>
  <c r="Q22" i="11" s="1"/>
  <c r="N22" i="11"/>
  <c r="J36" i="8" l="1"/>
  <c r="P36" i="8" l="1"/>
  <c r="Q36" i="8" s="1"/>
  <c r="L36" i="8"/>
  <c r="I36" i="9" s="1"/>
  <c r="L36" i="9" l="1"/>
  <c r="I36" i="10" s="1"/>
  <c r="N36" i="9"/>
  <c r="Q36" i="9" s="1"/>
  <c r="N36" i="10" l="1"/>
  <c r="Q36" i="10" s="1"/>
  <c r="L36" i="10"/>
  <c r="I36" i="11" s="1"/>
  <c r="L36" i="11" l="1"/>
  <c r="N36" i="11"/>
  <c r="Q36" i="11" s="1"/>
  <c r="J28" i="8" l="1"/>
  <c r="J28" i="11"/>
  <c r="J28" i="10"/>
  <c r="J28" i="9"/>
  <c r="J28" i="7"/>
  <c r="P28" i="10" l="1"/>
  <c r="P39" i="10" s="1"/>
  <c r="P61" i="10" s="1"/>
  <c r="P64" i="10" s="1"/>
  <c r="J39" i="10"/>
  <c r="J61" i="10" s="1"/>
  <c r="J64" i="10" s="1"/>
  <c r="P28" i="11"/>
  <c r="P39" i="11" s="1"/>
  <c r="P61" i="11" s="1"/>
  <c r="P64" i="11" s="1"/>
  <c r="J39" i="11"/>
  <c r="J61" i="11" s="1"/>
  <c r="J64" i="11" s="1"/>
  <c r="P28" i="8"/>
  <c r="P39" i="8" s="1"/>
  <c r="P61" i="8" s="1"/>
  <c r="P64" i="8" s="1"/>
  <c r="J39" i="8"/>
  <c r="J61" i="8" s="1"/>
  <c r="J64" i="8" s="1"/>
  <c r="P28" i="9"/>
  <c r="P39" i="9" s="1"/>
  <c r="P61" i="9" s="1"/>
  <c r="P64" i="9" s="1"/>
  <c r="J39" i="9"/>
  <c r="J61" i="9" s="1"/>
  <c r="J64" i="9" s="1"/>
  <c r="P28" i="7"/>
  <c r="L28" i="7"/>
  <c r="J39" i="7"/>
  <c r="J61" i="7" s="1"/>
  <c r="I28" i="8" l="1"/>
  <c r="L39" i="7"/>
  <c r="J64" i="7"/>
  <c r="L61" i="7"/>
  <c r="L64" i="7" s="1"/>
  <c r="Q28" i="7"/>
  <c r="Q39" i="7" s="1"/>
  <c r="P39" i="7"/>
  <c r="P61" i="7" s="1"/>
  <c r="P64" i="7" l="1"/>
  <c r="Q61" i="7"/>
  <c r="Q64" i="7" s="1"/>
  <c r="N28" i="8"/>
  <c r="L28" i="8"/>
  <c r="I39" i="8"/>
  <c r="I61" i="8" s="1"/>
  <c r="I28" i="9" l="1"/>
  <c r="L39" i="8"/>
  <c r="I64" i="8"/>
  <c r="L61" i="8"/>
  <c r="L64" i="8" s="1"/>
  <c r="Q28" i="8"/>
  <c r="Q39" i="8" s="1"/>
  <c r="N39" i="8"/>
  <c r="N61" i="8" s="1"/>
  <c r="Q61" i="8" l="1"/>
  <c r="Q64" i="8" s="1"/>
  <c r="N64" i="8"/>
  <c r="L28" i="9"/>
  <c r="N28" i="9"/>
  <c r="I39" i="9"/>
  <c r="I61" i="9" s="1"/>
  <c r="I64" i="9" l="1"/>
  <c r="L61" i="9"/>
  <c r="L64" i="9" s="1"/>
  <c r="Q28" i="9"/>
  <c r="Q39" i="9" s="1"/>
  <c r="N39" i="9"/>
  <c r="N61" i="9" s="1"/>
  <c r="I28" i="10"/>
  <c r="L39" i="9"/>
  <c r="Q61" i="9" l="1"/>
  <c r="Q64" i="9" s="1"/>
  <c r="N64" i="9"/>
  <c r="L28" i="10"/>
  <c r="N28" i="10"/>
  <c r="I39" i="10"/>
  <c r="I61" i="10" s="1"/>
  <c r="L61" i="10" l="1"/>
  <c r="L64" i="10" s="1"/>
  <c r="I64" i="10"/>
  <c r="Q28" i="10"/>
  <c r="Q39" i="10" s="1"/>
  <c r="N39" i="10"/>
  <c r="N61" i="10" s="1"/>
  <c r="I28" i="11"/>
  <c r="L39" i="10"/>
  <c r="L28" i="11" l="1"/>
  <c r="L39" i="11" s="1"/>
  <c r="N28" i="11"/>
  <c r="I39" i="11"/>
  <c r="I61" i="11" s="1"/>
  <c r="Q61" i="10"/>
  <c r="Q64" i="10" s="1"/>
  <c r="N64" i="10"/>
  <c r="I64" i="11" l="1"/>
  <c r="L61" i="11"/>
  <c r="L64" i="11" s="1"/>
  <c r="Q28" i="11"/>
  <c r="Q39" i="11" s="1"/>
  <c r="N39" i="11"/>
  <c r="N61" i="11" s="1"/>
  <c r="Q61" i="11" l="1"/>
  <c r="Q64" i="11" s="1"/>
  <c r="N64" i="11"/>
</calcChain>
</file>

<file path=xl/sharedStrings.xml><?xml version="1.0" encoding="utf-8"?>
<sst xmlns="http://schemas.openxmlformats.org/spreadsheetml/2006/main" count="1181" uniqueCount="131">
  <si>
    <t>GL Acct</t>
  </si>
  <si>
    <t>Description</t>
  </si>
  <si>
    <t>COST</t>
  </si>
  <si>
    <t>Opening</t>
  </si>
  <si>
    <t>Additions</t>
  </si>
  <si>
    <t>Removals</t>
  </si>
  <si>
    <t>Ending</t>
  </si>
  <si>
    <t>Land Rights / Right of Way</t>
  </si>
  <si>
    <t>Accumulated Depreciation</t>
  </si>
  <si>
    <t>Book Value</t>
  </si>
  <si>
    <t>Cost</t>
  </si>
  <si>
    <t>Acc Dep</t>
  </si>
  <si>
    <t>1820.0000</t>
  </si>
  <si>
    <t>Distribution Station Equipment</t>
  </si>
  <si>
    <t>1830.0000</t>
  </si>
  <si>
    <t>Poles, Towers &amp; Fixtures</t>
  </si>
  <si>
    <t>1835.0000</t>
  </si>
  <si>
    <t>Overhead Conductors &amp; Devices</t>
  </si>
  <si>
    <t>1840.0000</t>
  </si>
  <si>
    <t>Underground Conduit</t>
  </si>
  <si>
    <t>1845.0000</t>
  </si>
  <si>
    <t>Underground Conductors &amp; Devices</t>
  </si>
  <si>
    <t>1850.1000</t>
  </si>
  <si>
    <t>Underground Transformers</t>
  </si>
  <si>
    <t>1850.2000</t>
  </si>
  <si>
    <t>Overhead Transformers</t>
  </si>
  <si>
    <t>1855.1000</t>
  </si>
  <si>
    <t>Overhead Services</t>
  </si>
  <si>
    <t>1855.2000</t>
  </si>
  <si>
    <t>Underground Services</t>
  </si>
  <si>
    <t>1860.1000</t>
  </si>
  <si>
    <t>Stranded Meters</t>
  </si>
  <si>
    <t>1860.2000</t>
  </si>
  <si>
    <t>Interval Meters</t>
  </si>
  <si>
    <t>1860.3000</t>
  </si>
  <si>
    <t>Wholesale Meters</t>
  </si>
  <si>
    <t>1908.0000</t>
  </si>
  <si>
    <t>Building &amp; Fixtures, General Plant</t>
  </si>
  <si>
    <t>1908.1000</t>
  </si>
  <si>
    <t>Building and Fixtures, Security System</t>
  </si>
  <si>
    <t>1915.0000</t>
  </si>
  <si>
    <t>Office Furniture &amp; Equipmet</t>
  </si>
  <si>
    <t>1920.0000</t>
  </si>
  <si>
    <t>Computer Equipment</t>
  </si>
  <si>
    <t>1925.0000</t>
  </si>
  <si>
    <t>Computer Software</t>
  </si>
  <si>
    <t>1925.1000</t>
  </si>
  <si>
    <t>Harris/Cayenta Software</t>
  </si>
  <si>
    <t>1940.0000</t>
  </si>
  <si>
    <t>Tools and Equipment</t>
  </si>
  <si>
    <t>1955.0000</t>
  </si>
  <si>
    <t>Communication Equipment</t>
  </si>
  <si>
    <t>1960.1000</t>
  </si>
  <si>
    <t>Mobile Substation</t>
  </si>
  <si>
    <t>System Supervisory - SCADA</t>
  </si>
  <si>
    <t>Smart Meters</t>
  </si>
  <si>
    <t>Land and General Plant</t>
  </si>
  <si>
    <t>DISTRIBUTION SYSTEM</t>
  </si>
  <si>
    <t>OTHER ASSETS</t>
  </si>
  <si>
    <t>Vehicles</t>
  </si>
  <si>
    <t>CONTRIBUTED CAPITAL</t>
  </si>
  <si>
    <t>WIP</t>
  </si>
  <si>
    <t>ADDITIONS</t>
  </si>
  <si>
    <t>ACCUMULATED DEPRECIATION</t>
  </si>
  <si>
    <t>ENDING (balance to note 6.)</t>
  </si>
  <si>
    <t>CC Cost</t>
  </si>
  <si>
    <t>GIS System</t>
  </si>
  <si>
    <t>Total Additions</t>
  </si>
  <si>
    <t>Less Smart Meter transfer</t>
  </si>
  <si>
    <t>Gross In Service Capital Additions</t>
  </si>
  <si>
    <t>S273</t>
  </si>
  <si>
    <t>S8</t>
  </si>
  <si>
    <t>Gross Capital for the Year (including all</t>
  </si>
  <si>
    <t>capital expenditures, all WIP and capital</t>
  </si>
  <si>
    <t>contributions)</t>
  </si>
  <si>
    <t>2019 ASSET CONTINUITY SCHEDULE</t>
  </si>
  <si>
    <t>2018 ASSET CONTINUITY SCHEDULE</t>
  </si>
  <si>
    <t>2017 ASSET CONTINUITY SCHEDULE</t>
  </si>
  <si>
    <t>2016 ASSET CONTINUITY SCHEDULE</t>
  </si>
  <si>
    <t>2015 ASSET CONTINUITY SCHEDULE</t>
  </si>
  <si>
    <t>2014 ASSET CONTINUITY SCHEDULE</t>
  </si>
  <si>
    <t>1995.1000</t>
  </si>
  <si>
    <t>1995.2000</t>
  </si>
  <si>
    <t>1995.3000</t>
  </si>
  <si>
    <t>1995.4000</t>
  </si>
  <si>
    <t>1995.5000</t>
  </si>
  <si>
    <t>1995.5500</t>
  </si>
  <si>
    <t>1995.6000</t>
  </si>
  <si>
    <t>1995.6500</t>
  </si>
  <si>
    <t>1995.7000</t>
  </si>
  <si>
    <t>1995.7500</t>
  </si>
  <si>
    <t>Move stranded to recovery</t>
  </si>
  <si>
    <t>2010 ASSET CONTINUITY SCHEDULE</t>
  </si>
  <si>
    <t>Land</t>
  </si>
  <si>
    <t>Buildings</t>
  </si>
  <si>
    <t>Dist System</t>
  </si>
  <si>
    <t>Transformers</t>
  </si>
  <si>
    <t>Meters</t>
  </si>
  <si>
    <t>Substations</t>
  </si>
  <si>
    <t>Computers</t>
  </si>
  <si>
    <t>Audit Note</t>
  </si>
  <si>
    <t>All CC here</t>
  </si>
  <si>
    <t>CC all here</t>
  </si>
  <si>
    <t>Rolling Stock</t>
  </si>
  <si>
    <t>Net stranded meters</t>
  </si>
  <si>
    <t>Office Furniture &amp; Equipment</t>
  </si>
  <si>
    <t>1995.7300</t>
  </si>
  <si>
    <t>dist capital</t>
  </si>
  <si>
    <t>1860.1500</t>
  </si>
  <si>
    <t>2011 ASSET CONTINUITY SCHEDULE -CGAAP</t>
  </si>
  <si>
    <t>2012 ASSET CONTINUITY SCHEDULE - CGAAP Adopted Kinectrics Study</t>
  </si>
  <si>
    <t>2013 ASSET CONTINUITY SCHEDULE - MIFRS (Consistent with 2012 CGAAP)</t>
  </si>
  <si>
    <t>Distribution</t>
  </si>
  <si>
    <t>Land &amp; Buildings</t>
  </si>
  <si>
    <t>Board Approved</t>
  </si>
  <si>
    <t>Line Transformers</t>
  </si>
  <si>
    <t>Services and Meters</t>
  </si>
  <si>
    <t>General</t>
  </si>
  <si>
    <t>IT Assets</t>
  </si>
  <si>
    <t>Equipment</t>
  </si>
  <si>
    <t>Contributed Capital</t>
  </si>
  <si>
    <t>TOTAL DISTRIBUTION</t>
  </si>
  <si>
    <t>Gross Assets excl wip</t>
  </si>
  <si>
    <t>Gross Assets incl wip</t>
  </si>
  <si>
    <t>TOTAL GENERAL</t>
  </si>
  <si>
    <t>TOTAL GROSS ASSETS</t>
  </si>
  <si>
    <t>CGAAP</t>
  </si>
  <si>
    <t>Actual</t>
  </si>
  <si>
    <t>Variance</t>
  </si>
  <si>
    <t>IFRS</t>
  </si>
  <si>
    <t>GROSS ASSET DETAILED BREAKDOWN BY MAJOR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</si>
</sst>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"/>
    <numFmt numFmtId="165" formatCode="0.0000"/>
    <numFmt numFmtId="166" formatCode="_(* #,##0_);_(* \(#,##0\);_(* &quot;-&quot;_);_(@_)"/>
    <numFmt numFmtId="167" formatCode="_(* #,##0.00_);_(* \(#,##0.00\);_(* &quot;-&quot;_);_(@_)"/>
    <numFmt numFmtId="168" formatCode="0.0%"/>
    <numFmt numFmtId="169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165" fontId="0" fillId="0" borderId="0" xfId="0" applyNumberFormat="1"/>
    <xf numFmtId="0" fontId="0" fillId="0" borderId="2" xfId="0" applyBorder="1"/>
    <xf numFmtId="166" fontId="1" fillId="0" borderId="0" xfId="0" applyNumberFormat="1" applyFont="1"/>
    <xf numFmtId="167" fontId="1" fillId="0" borderId="0" xfId="0" applyNumberFormat="1" applyFont="1"/>
    <xf numFmtId="167" fontId="0" fillId="0" borderId="0" xfId="0" applyNumberFormat="1"/>
    <xf numFmtId="164" fontId="0" fillId="0" borderId="0" xfId="0" applyNumberFormat="1" applyAlignment="1">
      <alignment horizontal="left"/>
    </xf>
    <xf numFmtId="0" fontId="0" fillId="2" borderId="0" xfId="0" applyFill="1"/>
    <xf numFmtId="167" fontId="1" fillId="2" borderId="0" xfId="0" applyNumberFormat="1" applyFont="1" applyFill="1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7" fontId="2" fillId="0" borderId="0" xfId="0" applyNumberFormat="1" applyFont="1"/>
    <xf numFmtId="166" fontId="2" fillId="0" borderId="0" xfId="0" applyNumberFormat="1" applyFont="1"/>
    <xf numFmtId="0" fontId="2" fillId="2" borderId="0" xfId="0" applyFont="1" applyFill="1"/>
    <xf numFmtId="167" fontId="2" fillId="2" borderId="0" xfId="0" applyNumberFormat="1" applyFont="1" applyFill="1"/>
    <xf numFmtId="167" fontId="0" fillId="0" borderId="0" xfId="0" applyNumberFormat="1" applyFont="1"/>
    <xf numFmtId="167" fontId="1" fillId="0" borderId="2" xfId="0" applyNumberFormat="1" applyFont="1" applyBorder="1"/>
    <xf numFmtId="167" fontId="2" fillId="0" borderId="2" xfId="0" applyNumberFormat="1" applyFont="1" applyBorder="1"/>
    <xf numFmtId="167" fontId="1" fillId="2" borderId="2" xfId="0" applyNumberFormat="1" applyFont="1" applyFill="1" applyBorder="1"/>
    <xf numFmtId="167" fontId="2" fillId="2" borderId="2" xfId="0" applyNumberFormat="1" applyFont="1" applyFill="1" applyBorder="1"/>
    <xf numFmtId="43" fontId="0" fillId="0" borderId="0" xfId="0" applyNumberFormat="1"/>
    <xf numFmtId="43" fontId="2" fillId="0" borderId="0" xfId="0" applyNumberFormat="1" applyFont="1"/>
    <xf numFmtId="164" fontId="0" fillId="2" borderId="0" xfId="0" applyNumberFormat="1" applyFill="1" applyAlignment="1">
      <alignment horizontal="left"/>
    </xf>
    <xf numFmtId="0" fontId="0" fillId="2" borderId="2" xfId="0" applyFill="1" applyBorder="1"/>
    <xf numFmtId="168" fontId="0" fillId="0" borderId="0" xfId="1" applyNumberFormat="1" applyFont="1"/>
    <xf numFmtId="167" fontId="2" fillId="0" borderId="0" xfId="0" applyNumberFormat="1" applyFont="1" applyFill="1"/>
    <xf numFmtId="43" fontId="0" fillId="0" borderId="0" xfId="2" applyFont="1"/>
    <xf numFmtId="43" fontId="2" fillId="0" borderId="0" xfId="2" applyFont="1"/>
    <xf numFmtId="43" fontId="0" fillId="0" borderId="1" xfId="2" applyFont="1" applyBorder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0" fillId="2" borderId="2" xfId="0" applyFill="1" applyBorder="1" applyAlignment="1">
      <alignment horizontal="left"/>
    </xf>
    <xf numFmtId="167" fontId="0" fillId="2" borderId="0" xfId="0" applyNumberFormat="1" applyFont="1" applyFill="1" applyBorder="1"/>
    <xf numFmtId="43" fontId="1" fillId="0" borderId="0" xfId="2" applyFont="1"/>
    <xf numFmtId="49" fontId="0" fillId="0" borderId="0" xfId="0" applyNumberFormat="1" applyAlignment="1">
      <alignment horizontal="left"/>
    </xf>
    <xf numFmtId="49" fontId="0" fillId="0" borderId="0" xfId="0" applyNumberFormat="1"/>
    <xf numFmtId="167" fontId="2" fillId="0" borderId="2" xfId="0" applyNumberFormat="1" applyFont="1" applyFill="1" applyBorder="1"/>
    <xf numFmtId="0" fontId="2" fillId="0" borderId="0" xfId="0" applyFont="1" applyAlignment="1"/>
    <xf numFmtId="165" fontId="2" fillId="0" borderId="0" xfId="0" applyNumberFormat="1" applyFont="1"/>
    <xf numFmtId="169" fontId="1" fillId="0" borderId="0" xfId="2" applyNumberFormat="1" applyFont="1"/>
    <xf numFmtId="169" fontId="0" fillId="0" borderId="0" xfId="2" applyNumberFormat="1" applyFont="1"/>
    <xf numFmtId="169" fontId="0" fillId="0" borderId="0" xfId="0" applyNumberFormat="1"/>
    <xf numFmtId="165" fontId="0" fillId="0" borderId="1" xfId="0" applyNumberFormat="1" applyBorder="1"/>
    <xf numFmtId="169" fontId="1" fillId="0" borderId="1" xfId="2" applyNumberFormat="1" applyFont="1" applyBorder="1"/>
    <xf numFmtId="0" fontId="0" fillId="0" borderId="1" xfId="0" applyBorder="1"/>
    <xf numFmtId="165" fontId="2" fillId="0" borderId="2" xfId="0" applyNumberFormat="1" applyFont="1" applyBorder="1"/>
    <xf numFmtId="169" fontId="2" fillId="0" borderId="2" xfId="2" applyNumberFormat="1" applyFont="1" applyBorder="1"/>
    <xf numFmtId="169" fontId="2" fillId="0" borderId="0" xfId="2" applyNumberFormat="1" applyFont="1"/>
    <xf numFmtId="0" fontId="2" fillId="0" borderId="1" xfId="0" applyFont="1" applyBorder="1"/>
    <xf numFmtId="166" fontId="1" fillId="0" borderId="1" xfId="0" applyNumberFormat="1" applyFont="1" applyBorder="1"/>
    <xf numFmtId="0" fontId="2" fillId="0" borderId="0" xfId="0" applyFont="1" applyAlignment="1">
      <alignment horizontal="center"/>
    </xf>
    <xf numFmtId="166" fontId="1" fillId="0" borderId="0" xfId="0" applyNumberFormat="1" applyFont="1" applyBorder="1"/>
    <xf numFmtId="165" fontId="2" fillId="0" borderId="1" xfId="0" applyNumberFormat="1" applyFont="1" applyBorder="1" applyAlignment="1">
      <alignment horizontal="left"/>
    </xf>
    <xf numFmtId="169" fontId="2" fillId="0" borderId="1" xfId="2" applyNumberFormat="1" applyFont="1" applyBorder="1"/>
    <xf numFmtId="166" fontId="2" fillId="0" borderId="1" xfId="0" applyNumberFormat="1" applyFont="1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0" fontId="2" fillId="0" borderId="3" xfId="0" applyFont="1" applyBorder="1"/>
    <xf numFmtId="169" fontId="2" fillId="0" borderId="3" xfId="2" applyNumberFormat="1" applyFont="1" applyBorder="1"/>
    <xf numFmtId="165" fontId="2" fillId="0" borderId="0" xfId="0" applyNumberFormat="1" applyFont="1" applyAlignment="1">
      <alignment horizontal="left"/>
    </xf>
    <xf numFmtId="169" fontId="2" fillId="0" borderId="0" xfId="2" applyNumberFormat="1" applyFont="1" applyBorder="1"/>
    <xf numFmtId="166" fontId="2" fillId="0" borderId="0" xfId="0" applyNumberFormat="1" applyFont="1" applyBorder="1"/>
    <xf numFmtId="166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kent/2015%20COS/STEI%20AMORTIZATION%20NEW%20POLICY_STEI_BP_revised%20January_2014_2012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820"/>
      <sheetName val="1830"/>
      <sheetName val="1835"/>
      <sheetName val="1840"/>
      <sheetName val="1845"/>
      <sheetName val="1850.1000"/>
      <sheetName val="1850.2000"/>
      <sheetName val="1855.1000"/>
      <sheetName val="1855.2000"/>
      <sheetName val="1860.1000"/>
      <sheetName val="1860.1500"/>
      <sheetName val="1860.2000"/>
      <sheetName val="1860.3000"/>
      <sheetName val="1908"/>
      <sheetName val="1908.1000"/>
      <sheetName val="1915"/>
      <sheetName val="1920"/>
      <sheetName val="1925"/>
      <sheetName val="1925.1000"/>
      <sheetName val="1930"/>
      <sheetName val="1940"/>
      <sheetName val="1955"/>
      <sheetName val="1960.1000"/>
      <sheetName val="1980"/>
      <sheetName val="1980.1000"/>
      <sheetName val="CC 1995.1000 "/>
      <sheetName val="CC 1995.2000"/>
      <sheetName val="CC 1995.3000"/>
      <sheetName val="CC 1995.4000"/>
      <sheetName val="CC 1995.5000"/>
      <sheetName val="CC 1995.5500"/>
      <sheetName val="CC 1995.6000"/>
      <sheetName val="CC 1995.6500"/>
      <sheetName val="CC 1995.7000"/>
      <sheetName val="1995.7300"/>
      <sheetName val="CC 1995.7500"/>
    </sheetNames>
    <sheetDataSet>
      <sheetData sheetId="0">
        <row r="7">
          <cell r="H7">
            <v>835.9</v>
          </cell>
          <cell r="I7">
            <v>835.9</v>
          </cell>
          <cell r="J7">
            <v>835.9</v>
          </cell>
          <cell r="K7">
            <v>835.9</v>
          </cell>
          <cell r="L7">
            <v>835.9</v>
          </cell>
          <cell r="M7">
            <v>835.9</v>
          </cell>
        </row>
        <row r="8">
          <cell r="H8">
            <v>134549.35999999996</v>
          </cell>
          <cell r="I8">
            <v>138178.85999999996</v>
          </cell>
          <cell r="J8">
            <v>145530.04999999996</v>
          </cell>
          <cell r="K8">
            <v>152835.10499999995</v>
          </cell>
          <cell r="L8">
            <v>159978.80499999996</v>
          </cell>
          <cell r="M8">
            <v>167191.69499999998</v>
          </cell>
        </row>
        <row r="9">
          <cell r="H9">
            <v>77450.36</v>
          </cell>
          <cell r="I9">
            <v>79686.024999999994</v>
          </cell>
          <cell r="J9">
            <v>84213.865000000005</v>
          </cell>
          <cell r="K9">
            <v>88713.455000000002</v>
          </cell>
          <cell r="L9">
            <v>93114.155000000013</v>
          </cell>
          <cell r="M9">
            <v>97557.23</v>
          </cell>
        </row>
        <row r="10">
          <cell r="H10">
            <v>99510.689999999988</v>
          </cell>
          <cell r="I10">
            <v>103634.75499999999</v>
          </cell>
          <cell r="J10">
            <v>111972.85999999999</v>
          </cell>
          <cell r="K10">
            <v>120265.97499999999</v>
          </cell>
          <cell r="L10">
            <v>128401.62499999999</v>
          </cell>
          <cell r="M10">
            <v>136604.74999999997</v>
          </cell>
        </row>
        <row r="11">
          <cell r="H11">
            <v>156998.08000000002</v>
          </cell>
          <cell r="I11">
            <v>160565.29500000001</v>
          </cell>
          <cell r="J11">
            <v>167765.435</v>
          </cell>
          <cell r="K11">
            <v>174932.72500000001</v>
          </cell>
          <cell r="L11">
            <v>181985.03000000003</v>
          </cell>
          <cell r="M11">
            <v>189086.61000000004</v>
          </cell>
        </row>
        <row r="12">
          <cell r="H12">
            <v>57108.46</v>
          </cell>
          <cell r="I12">
            <v>60491.360000000001</v>
          </cell>
          <cell r="J12">
            <v>67336.085000000006</v>
          </cell>
          <cell r="K12">
            <v>74141.350000000006</v>
          </cell>
          <cell r="L12">
            <v>80808.490000000005</v>
          </cell>
          <cell r="M12">
            <v>87534.815000000002</v>
          </cell>
        </row>
        <row r="13">
          <cell r="H13">
            <v>110622.66</v>
          </cell>
          <cell r="I13">
            <v>112063.55</v>
          </cell>
          <cell r="J13">
            <v>116460.02</v>
          </cell>
          <cell r="K13">
            <v>119304.92</v>
          </cell>
          <cell r="L13">
            <v>122131.37</v>
          </cell>
          <cell r="M13">
            <v>125031.59999999999</v>
          </cell>
        </row>
        <row r="14">
          <cell r="H14">
            <v>65506.74</v>
          </cell>
          <cell r="I14">
            <v>66900.904999999999</v>
          </cell>
          <cell r="J14">
            <v>69723.67</v>
          </cell>
          <cell r="K14">
            <v>72529.219999999987</v>
          </cell>
          <cell r="L14">
            <v>75274.50999999998</v>
          </cell>
          <cell r="M14">
            <v>78045.624999999971</v>
          </cell>
        </row>
        <row r="15">
          <cell r="H15">
            <v>29705.16</v>
          </cell>
          <cell r="I15">
            <v>30072.075000000001</v>
          </cell>
          <cell r="J15">
            <v>30811.040000000001</v>
          </cell>
          <cell r="K15">
            <v>31547.439999999999</v>
          </cell>
          <cell r="L15">
            <v>32274.865000000002</v>
          </cell>
          <cell r="M15">
            <v>33006.14</v>
          </cell>
        </row>
        <row r="16">
          <cell r="H16">
            <v>62443.42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H17">
            <v>210690.78999999998</v>
          </cell>
          <cell r="I17">
            <v>211555.71999999997</v>
          </cell>
          <cell r="J17">
            <v>212422.98999999996</v>
          </cell>
          <cell r="K17">
            <v>212854.88999999996</v>
          </cell>
          <cell r="L17">
            <v>213718.38999999996</v>
          </cell>
          <cell r="M17">
            <v>214582.75499999998</v>
          </cell>
        </row>
        <row r="18">
          <cell r="H18">
            <v>7065.9600000000009</v>
          </cell>
          <cell r="I18">
            <v>7065.9600000000009</v>
          </cell>
          <cell r="J18">
            <v>7065.9600000000009</v>
          </cell>
          <cell r="K18">
            <v>7065.9600000000009</v>
          </cell>
          <cell r="L18">
            <v>7065.9600000000009</v>
          </cell>
          <cell r="M18">
            <v>7065.9500000000007</v>
          </cell>
        </row>
        <row r="19">
          <cell r="H19">
            <v>2385.3000000000002</v>
          </cell>
          <cell r="I19">
            <v>2385.3000000000002</v>
          </cell>
          <cell r="J19">
            <v>2385.3000000000002</v>
          </cell>
          <cell r="K19">
            <v>2385.3000000000002</v>
          </cell>
          <cell r="L19">
            <v>2385.3000000000002</v>
          </cell>
          <cell r="M19">
            <v>2385.3000000000002</v>
          </cell>
        </row>
        <row r="20">
          <cell r="H20">
            <v>37130.17</v>
          </cell>
          <cell r="I20">
            <v>37963.504999999997</v>
          </cell>
          <cell r="J20">
            <v>39755.174999999996</v>
          </cell>
          <cell r="K20">
            <v>40796.844999999994</v>
          </cell>
          <cell r="L20">
            <v>40880.179999999993</v>
          </cell>
          <cell r="M20">
            <v>40880.179999999993</v>
          </cell>
        </row>
        <row r="21">
          <cell r="H21">
            <v>2362.7600000000002</v>
          </cell>
          <cell r="I21">
            <v>2362.7600000000002</v>
          </cell>
          <cell r="J21">
            <v>2362.7600000000002</v>
          </cell>
          <cell r="K21">
            <v>2362.7600000000002</v>
          </cell>
          <cell r="L21">
            <v>2362.7600000000002</v>
          </cell>
          <cell r="M21">
            <v>2362.7600000000002</v>
          </cell>
        </row>
        <row r="22">
          <cell r="H22">
            <v>14193.64</v>
          </cell>
          <cell r="I22">
            <v>17693.64</v>
          </cell>
          <cell r="J22">
            <v>24193.64</v>
          </cell>
          <cell r="K22">
            <v>27443.64</v>
          </cell>
          <cell r="L22">
            <v>27943.64</v>
          </cell>
          <cell r="M22">
            <v>28443.64</v>
          </cell>
        </row>
        <row r="23">
          <cell r="H23">
            <v>64411.34</v>
          </cell>
          <cell r="I23">
            <v>69586.539999999994</v>
          </cell>
          <cell r="J23">
            <v>76416.300000000017</v>
          </cell>
          <cell r="K23">
            <v>72952.650000000023</v>
          </cell>
          <cell r="L23">
            <v>56000</v>
          </cell>
          <cell r="M23">
            <v>65300</v>
          </cell>
        </row>
        <row r="24">
          <cell r="H24">
            <v>42920.25</v>
          </cell>
          <cell r="I24">
            <v>27931.449999999997</v>
          </cell>
          <cell r="J24">
            <v>29679.629999999997</v>
          </cell>
          <cell r="K24">
            <v>33027</v>
          </cell>
          <cell r="L24">
            <v>33100</v>
          </cell>
          <cell r="M24">
            <v>23800</v>
          </cell>
        </row>
        <row r="25">
          <cell r="H25">
            <v>37313.42</v>
          </cell>
          <cell r="I25">
            <v>37313.42</v>
          </cell>
          <cell r="J25">
            <v>38563.42</v>
          </cell>
          <cell r="K25">
            <v>39813.42</v>
          </cell>
          <cell r="L25">
            <v>41063.42</v>
          </cell>
          <cell r="M25">
            <v>42313.42</v>
          </cell>
        </row>
        <row r="26">
          <cell r="H26">
            <v>94676.605333333326</v>
          </cell>
          <cell r="I26">
            <v>100926.60533333333</v>
          </cell>
          <cell r="J26">
            <v>113176.60533333333</v>
          </cell>
          <cell r="K26">
            <v>127226.60533333333</v>
          </cell>
          <cell r="L26">
            <v>142476.60533333331</v>
          </cell>
          <cell r="M26">
            <v>144476.60533333331</v>
          </cell>
        </row>
        <row r="27">
          <cell r="H27">
            <v>42812.729999999996</v>
          </cell>
          <cell r="I27">
            <v>43812.729999999996</v>
          </cell>
          <cell r="J27">
            <v>45812.729999999996</v>
          </cell>
          <cell r="K27">
            <v>47812.729999999996</v>
          </cell>
          <cell r="L27">
            <v>49812.729999999996</v>
          </cell>
          <cell r="M27">
            <v>51812.729999999996</v>
          </cell>
        </row>
        <row r="28">
          <cell r="H28">
            <v>2493.15</v>
          </cell>
          <cell r="I28">
            <v>2493.15</v>
          </cell>
          <cell r="J28">
            <v>2493.17</v>
          </cell>
          <cell r="K28">
            <v>0</v>
          </cell>
          <cell r="L28">
            <v>0</v>
          </cell>
          <cell r="M28">
            <v>0</v>
          </cell>
        </row>
        <row r="29">
          <cell r="H29">
            <v>13333.33</v>
          </cell>
          <cell r="I29">
            <v>13333.33</v>
          </cell>
          <cell r="J29">
            <v>13333.33</v>
          </cell>
          <cell r="K29">
            <v>13333.33</v>
          </cell>
          <cell r="L29">
            <v>13333.33</v>
          </cell>
          <cell r="M29">
            <v>13333.33</v>
          </cell>
        </row>
        <row r="30">
          <cell r="H30">
            <v>5261.3099999999995</v>
          </cell>
          <cell r="I30">
            <v>6511.3099999999995</v>
          </cell>
          <cell r="J30">
            <v>9011.3399999999983</v>
          </cell>
          <cell r="K30">
            <v>6250</v>
          </cell>
          <cell r="L30">
            <v>10000</v>
          </cell>
          <cell r="M30">
            <v>15000</v>
          </cell>
        </row>
        <row r="31">
          <cell r="H31">
            <v>35833.149999999994</v>
          </cell>
          <cell r="I31">
            <v>40833.149999999994</v>
          </cell>
          <cell r="J31">
            <v>47499.814999999995</v>
          </cell>
          <cell r="K31">
            <v>49166.478000000003</v>
          </cell>
          <cell r="L31">
            <v>49166.478000000003</v>
          </cell>
          <cell r="M31">
            <v>49166.478000000003</v>
          </cell>
        </row>
        <row r="39">
          <cell r="H39">
            <v>-24285.589999999997</v>
          </cell>
          <cell r="I39">
            <v>-24318.924999999996</v>
          </cell>
          <cell r="J39">
            <v>-24385.594999999994</v>
          </cell>
          <cell r="K39">
            <v>-24452.264999999992</v>
          </cell>
          <cell r="L39">
            <v>-24518.93499999999</v>
          </cell>
          <cell r="M39">
            <v>-24585.604999999989</v>
          </cell>
        </row>
        <row r="40">
          <cell r="H40">
            <v>-15105.560000000001</v>
          </cell>
          <cell r="I40">
            <v>-15138.895</v>
          </cell>
          <cell r="J40">
            <v>-15205.565000000001</v>
          </cell>
          <cell r="K40">
            <v>-15272.235000000001</v>
          </cell>
          <cell r="L40">
            <v>-15338.905000000001</v>
          </cell>
          <cell r="M40">
            <v>-15405.575000000001</v>
          </cell>
        </row>
        <row r="41">
          <cell r="H41">
            <v>-23667.82</v>
          </cell>
          <cell r="I41">
            <v>-23942.82</v>
          </cell>
          <cell r="J41">
            <v>-24492.82</v>
          </cell>
          <cell r="K41">
            <v>-25042.82</v>
          </cell>
          <cell r="L41">
            <v>-25592.82</v>
          </cell>
          <cell r="M41">
            <v>-26142.82</v>
          </cell>
        </row>
        <row r="42">
          <cell r="H42">
            <v>-30634.93</v>
          </cell>
          <cell r="I42">
            <v>-31059.93</v>
          </cell>
          <cell r="J42">
            <v>-31909.93</v>
          </cell>
          <cell r="K42">
            <v>-32759.93</v>
          </cell>
          <cell r="L42">
            <v>-33609.93</v>
          </cell>
          <cell r="M42">
            <v>-34459.93</v>
          </cell>
        </row>
        <row r="43">
          <cell r="H43">
            <v>-31641.460000000003</v>
          </cell>
          <cell r="I43">
            <v>-31841.460000000003</v>
          </cell>
          <cell r="J43">
            <v>-32241.460000000003</v>
          </cell>
          <cell r="K43">
            <v>-32641.460000000003</v>
          </cell>
          <cell r="L43">
            <v>-33041.460000000006</v>
          </cell>
          <cell r="M43">
            <v>-33441.460000000006</v>
          </cell>
        </row>
        <row r="44">
          <cell r="H44">
            <v>-14021.41</v>
          </cell>
          <cell r="I44">
            <v>-14058.91</v>
          </cell>
          <cell r="J44">
            <v>-14133.91</v>
          </cell>
          <cell r="K44">
            <v>-14208.91</v>
          </cell>
          <cell r="L44">
            <v>-14283.91</v>
          </cell>
          <cell r="M44">
            <v>-14358.91</v>
          </cell>
        </row>
        <row r="45">
          <cell r="H45">
            <v>-13221.07</v>
          </cell>
          <cell r="I45">
            <v>-13258.57</v>
          </cell>
          <cell r="J45">
            <v>-13333.57</v>
          </cell>
          <cell r="K45">
            <v>-13408.57</v>
          </cell>
          <cell r="L45">
            <v>-13483.57</v>
          </cell>
          <cell r="M45">
            <v>-13558.57</v>
          </cell>
        </row>
        <row r="46">
          <cell r="H46">
            <v>-8720.9599999999991</v>
          </cell>
          <cell r="I46">
            <v>-8808.4599999999991</v>
          </cell>
          <cell r="J46">
            <v>-8983.4599999999991</v>
          </cell>
          <cell r="K46">
            <v>-9158.4599999999991</v>
          </cell>
          <cell r="L46">
            <v>-9333.4599999999991</v>
          </cell>
          <cell r="M46">
            <v>-9508.4599999999991</v>
          </cell>
        </row>
        <row r="47">
          <cell r="H47">
            <v>-16269.78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H48">
            <v>-389.47</v>
          </cell>
          <cell r="I48">
            <v>-589.47</v>
          </cell>
          <cell r="J48">
            <v>-689.47</v>
          </cell>
          <cell r="K48">
            <v>-889.47</v>
          </cell>
          <cell r="L48">
            <v>-1089.47</v>
          </cell>
          <cell r="M48">
            <v>-1289.47</v>
          </cell>
        </row>
        <row r="49">
          <cell r="H49">
            <v>-2794.4</v>
          </cell>
          <cell r="I49">
            <v>-2961.0650000000001</v>
          </cell>
          <cell r="J49">
            <v>-3294.395</v>
          </cell>
          <cell r="K49">
            <v>-3627.7249999999999</v>
          </cell>
          <cell r="L49">
            <v>-3961.0549999999998</v>
          </cell>
          <cell r="M49">
            <v>-4127.72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79"/>
  <sheetViews>
    <sheetView zoomScaleNormal="100" workbookViewId="0">
      <selection activeCell="G13" sqref="G13:G14"/>
    </sheetView>
  </sheetViews>
  <sheetFormatPr defaultRowHeight="15" x14ac:dyDescent="0.25"/>
  <cols>
    <col min="2" max="2" width="9.5703125" bestFit="1" customWidth="1"/>
    <col min="3" max="3" width="35.42578125" bestFit="1" customWidth="1"/>
    <col min="4" max="4" width="15" bestFit="1" customWidth="1"/>
    <col min="5" max="5" width="15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1" max="11" width="9.5703125" bestFit="1" customWidth="1"/>
    <col min="12" max="12" width="15" style="9" bestFit="1" customWidth="1"/>
    <col min="13" max="13" width="2.7109375" customWidth="1"/>
    <col min="14" max="14" width="15" bestFit="1" customWidth="1"/>
    <col min="15" max="15" width="14.28515625" bestFit="1" customWidth="1"/>
    <col min="16" max="16" width="14" bestFit="1" customWidth="1"/>
    <col min="17" max="17" width="14.28515625" style="9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B2" s="9" t="s">
        <v>92</v>
      </c>
      <c r="C2" s="9"/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v>6733.79</v>
      </c>
      <c r="E7" s="4">
        <v>0</v>
      </c>
      <c r="F7" s="4">
        <v>0</v>
      </c>
      <c r="G7" s="27">
        <f>+D7+E7-F7</f>
        <v>6733.79</v>
      </c>
      <c r="H7" s="4"/>
      <c r="I7" s="4"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20" si="0">+D7+I7</f>
        <v>6733.79</v>
      </c>
      <c r="O7" s="4">
        <f t="shared" ref="O7:O20" si="1">+E7+F7</f>
        <v>0</v>
      </c>
      <c r="P7" s="4">
        <f>+J7+K7</f>
        <v>0</v>
      </c>
      <c r="Q7" s="13">
        <f>SUM(N7:P7)</f>
        <v>6733.79</v>
      </c>
      <c r="R7" s="4"/>
    </row>
    <row r="8" spans="2:22" x14ac:dyDescent="0.25">
      <c r="B8" s="6" t="s">
        <v>12</v>
      </c>
      <c r="C8" t="s">
        <v>13</v>
      </c>
      <c r="D8" s="4">
        <v>850124.96</v>
      </c>
      <c r="E8" s="4">
        <v>0</v>
      </c>
      <c r="F8" s="4">
        <v>0</v>
      </c>
      <c r="G8" s="27">
        <f>+D8+E8-F8</f>
        <v>850124.96</v>
      </c>
      <c r="H8" s="4"/>
      <c r="I8" s="4">
        <v>-821694.79</v>
      </c>
      <c r="J8" s="4">
        <f t="shared" ref="J8:J20" si="2">+L8-I8</f>
        <v>-4911.8699999999953</v>
      </c>
      <c r="K8" s="4">
        <v>0</v>
      </c>
      <c r="L8" s="13">
        <f>+'2011'!I8</f>
        <v>-826606.66</v>
      </c>
      <c r="M8" s="4"/>
      <c r="N8" s="4">
        <f t="shared" si="0"/>
        <v>28430.169999999925</v>
      </c>
      <c r="O8" s="4">
        <f t="shared" si="1"/>
        <v>0</v>
      </c>
      <c r="P8" s="4">
        <f>+J8+K8</f>
        <v>-4911.8699999999953</v>
      </c>
      <c r="Q8" s="13">
        <f>SUM(N8:P8)</f>
        <v>23518.29999999993</v>
      </c>
      <c r="R8" s="4"/>
    </row>
    <row r="9" spans="2:22" x14ac:dyDescent="0.25">
      <c r="B9" t="s">
        <v>14</v>
      </c>
      <c r="C9" t="s">
        <v>15</v>
      </c>
      <c r="D9" s="4">
        <f>591532.4+529495.41+307121.05+380720.92+5639558.51</f>
        <v>7448428.29</v>
      </c>
      <c r="E9" s="4">
        <v>334754.28000000026</v>
      </c>
      <c r="F9" s="4">
        <v>0</v>
      </c>
      <c r="G9" s="27">
        <f>+D9+E9-F9</f>
        <v>7783182.5700000003</v>
      </c>
      <c r="H9" s="4"/>
      <c r="I9" s="4">
        <v>-3289254.62</v>
      </c>
      <c r="J9" s="4">
        <f t="shared" si="2"/>
        <v>-281938.00999999978</v>
      </c>
      <c r="K9" s="4">
        <v>0</v>
      </c>
      <c r="L9" s="13">
        <f>+'2011'!I9</f>
        <v>-3571192.63</v>
      </c>
      <c r="M9" s="4"/>
      <c r="N9" s="4">
        <f t="shared" si="0"/>
        <v>4159173.67</v>
      </c>
      <c r="O9" s="4">
        <f t="shared" si="1"/>
        <v>334754.28000000026</v>
      </c>
      <c r="P9" s="4">
        <f t="shared" ref="P9:P38" si="3">+J9+K9</f>
        <v>-281938.00999999978</v>
      </c>
      <c r="Q9" s="13">
        <f t="shared" ref="Q9:Q38" si="4">SUM(N9:P9)</f>
        <v>4211989.9400000004</v>
      </c>
      <c r="R9" s="4"/>
    </row>
    <row r="10" spans="2:22" x14ac:dyDescent="0.25">
      <c r="B10" t="s">
        <v>16</v>
      </c>
      <c r="C10" t="s">
        <v>17</v>
      </c>
      <c r="D10" s="4">
        <f>537943.62+441549.29+257537.74+34534.06+5579045.12</f>
        <v>6850609.8300000001</v>
      </c>
      <c r="E10" s="4">
        <v>311129.12999999989</v>
      </c>
      <c r="F10" s="4">
        <v>0</v>
      </c>
      <c r="G10" s="27">
        <f t="shared" ref="G10:G19" si="5">+D10+E10-F10</f>
        <v>7161738.96</v>
      </c>
      <c r="H10" s="4"/>
      <c r="I10" s="4">
        <v>-3373236.42</v>
      </c>
      <c r="J10" s="4">
        <f t="shared" si="2"/>
        <v>-275295.39000000013</v>
      </c>
      <c r="K10" s="4">
        <v>0</v>
      </c>
      <c r="L10" s="13">
        <f>+'2011'!I10</f>
        <v>-3648531.81</v>
      </c>
      <c r="M10" s="4"/>
      <c r="N10" s="4">
        <f t="shared" si="0"/>
        <v>3477373.41</v>
      </c>
      <c r="O10" s="4">
        <f t="shared" si="1"/>
        <v>311129.12999999989</v>
      </c>
      <c r="P10" s="4">
        <f t="shared" si="3"/>
        <v>-275295.39000000013</v>
      </c>
      <c r="Q10" s="13">
        <f t="shared" si="4"/>
        <v>3513207.15</v>
      </c>
      <c r="R10" s="4"/>
    </row>
    <row r="11" spans="2:22" x14ac:dyDescent="0.25">
      <c r="B11" t="s">
        <v>18</v>
      </c>
      <c r="C11" t="s">
        <v>19</v>
      </c>
      <c r="D11" s="4">
        <f>12319.7+230380.54-448.58+893038.62+2526500.14</f>
        <v>3661790.42</v>
      </c>
      <c r="E11" s="4">
        <v>160678.69000000041</v>
      </c>
      <c r="F11" s="4">
        <v>0</v>
      </c>
      <c r="G11" s="27">
        <f t="shared" si="5"/>
        <v>3822469.1100000003</v>
      </c>
      <c r="H11" s="4"/>
      <c r="I11" s="4">
        <v>-1642079.28</v>
      </c>
      <c r="J11" s="4">
        <f t="shared" si="2"/>
        <v>-130969.39999999991</v>
      </c>
      <c r="K11" s="4">
        <v>0</v>
      </c>
      <c r="L11" s="13">
        <f>+'2011'!I11</f>
        <v>-1773048.68</v>
      </c>
      <c r="M11" s="4"/>
      <c r="N11" s="4">
        <f t="shared" si="0"/>
        <v>2019711.14</v>
      </c>
      <c r="O11" s="4">
        <f t="shared" si="1"/>
        <v>160678.69000000041</v>
      </c>
      <c r="P11" s="4">
        <f t="shared" si="3"/>
        <v>-130969.39999999991</v>
      </c>
      <c r="Q11" s="13">
        <f t="shared" si="4"/>
        <v>2049420.4300000002</v>
      </c>
      <c r="R11" s="4"/>
    </row>
    <row r="12" spans="2:22" x14ac:dyDescent="0.25">
      <c r="B12" t="s">
        <v>20</v>
      </c>
      <c r="C12" t="s">
        <v>21</v>
      </c>
      <c r="D12" s="4">
        <f>149724.76+585595.07+47038.85+1315921.98+5405344.24</f>
        <v>7503624.9000000004</v>
      </c>
      <c r="E12" s="4">
        <f>173368.73+622434.07+54471.3+1504515.34+5405344.24-D12</f>
        <v>256508.77999999933</v>
      </c>
      <c r="F12" s="4">
        <v>0</v>
      </c>
      <c r="G12" s="27">
        <f t="shared" si="5"/>
        <v>7760133.6799999997</v>
      </c>
      <c r="H12" s="4"/>
      <c r="I12" s="4">
        <v>-3166464.28</v>
      </c>
      <c r="J12" s="4">
        <f t="shared" si="2"/>
        <v>-287526.06000000006</v>
      </c>
      <c r="K12" s="4">
        <v>0</v>
      </c>
      <c r="L12" s="13">
        <f>+'2011'!I12</f>
        <v>-3453990.34</v>
      </c>
      <c r="M12" s="4"/>
      <c r="N12" s="4">
        <f t="shared" si="0"/>
        <v>4337160.620000001</v>
      </c>
      <c r="O12" s="4">
        <f t="shared" si="1"/>
        <v>256508.77999999933</v>
      </c>
      <c r="P12" s="4">
        <f t="shared" si="3"/>
        <v>-287526.06000000006</v>
      </c>
      <c r="Q12" s="13">
        <f t="shared" si="4"/>
        <v>4306143.34</v>
      </c>
      <c r="R12" s="4"/>
    </row>
    <row r="13" spans="2:22" x14ac:dyDescent="0.25">
      <c r="B13" t="s">
        <v>22</v>
      </c>
      <c r="C13" t="s">
        <v>23</v>
      </c>
      <c r="D13" s="4">
        <f>138942.91+1009992.13+61340.64+130534.28</f>
        <v>1340809.96</v>
      </c>
      <c r="E13" s="4">
        <v>112642.51000000024</v>
      </c>
      <c r="F13" s="4">
        <v>0</v>
      </c>
      <c r="G13" s="27">
        <f t="shared" si="5"/>
        <v>1453452.4700000002</v>
      </c>
      <c r="H13" s="4"/>
      <c r="I13" s="4">
        <v>-154184.85</v>
      </c>
      <c r="J13" s="4">
        <f t="shared" si="2"/>
        <v>-58138.100000000006</v>
      </c>
      <c r="K13" s="4">
        <v>0</v>
      </c>
      <c r="L13" s="13">
        <f>+'2011'!I13</f>
        <v>-212322.95</v>
      </c>
      <c r="M13" s="4"/>
      <c r="N13" s="4">
        <f t="shared" si="0"/>
        <v>1186625.1099999999</v>
      </c>
      <c r="O13" s="4">
        <f t="shared" si="1"/>
        <v>112642.51000000024</v>
      </c>
      <c r="P13" s="4">
        <f t="shared" si="3"/>
        <v>-58138.100000000006</v>
      </c>
      <c r="Q13" s="13">
        <f t="shared" si="4"/>
        <v>1241129.52</v>
      </c>
      <c r="R13" s="4"/>
    </row>
    <row r="14" spans="2:22" x14ac:dyDescent="0.25">
      <c r="B14" t="s">
        <v>24</v>
      </c>
      <c r="C14" t="s">
        <v>25</v>
      </c>
      <c r="D14" s="4">
        <f>141210.7+380053.31+67778.65+12830.72+6691673.39</f>
        <v>7293546.7699999996</v>
      </c>
      <c r="E14" s="4">
        <v>99369.780000000261</v>
      </c>
      <c r="F14" s="4">
        <v>0</v>
      </c>
      <c r="G14" s="27">
        <f t="shared" si="5"/>
        <v>7392916.5499999998</v>
      </c>
      <c r="H14" s="4"/>
      <c r="I14" s="4">
        <v>-4092033.48</v>
      </c>
      <c r="J14" s="4">
        <f t="shared" si="2"/>
        <v>-260914.34000000032</v>
      </c>
      <c r="K14" s="4">
        <v>0</v>
      </c>
      <c r="L14" s="13">
        <f>+'2011'!I14</f>
        <v>-4352947.82</v>
      </c>
      <c r="M14" s="4"/>
      <c r="N14" s="4">
        <f t="shared" si="0"/>
        <v>3201513.2899999996</v>
      </c>
      <c r="O14" s="4">
        <f t="shared" si="1"/>
        <v>99369.780000000261</v>
      </c>
      <c r="P14" s="4">
        <f t="shared" si="3"/>
        <v>-260914.34000000032</v>
      </c>
      <c r="Q14" s="13">
        <f t="shared" si="4"/>
        <v>3039968.7299999995</v>
      </c>
      <c r="R14" s="4"/>
    </row>
    <row r="15" spans="2:22" x14ac:dyDescent="0.25">
      <c r="B15" t="s">
        <v>26</v>
      </c>
      <c r="C15" t="s">
        <v>27</v>
      </c>
      <c r="D15" s="17">
        <f>364908.06+106529.47+127184.81+9820.69+3223514.27</f>
        <v>3831957.3</v>
      </c>
      <c r="E15" s="4">
        <v>149219.11000000034</v>
      </c>
      <c r="F15" s="4">
        <v>0</v>
      </c>
      <c r="G15" s="27">
        <f t="shared" si="5"/>
        <v>3981176.41</v>
      </c>
      <c r="H15" s="4"/>
      <c r="I15" s="4">
        <v>-1852066.93</v>
      </c>
      <c r="J15" s="4">
        <f t="shared" si="2"/>
        <v>-147106.74</v>
      </c>
      <c r="K15" s="4">
        <v>0</v>
      </c>
      <c r="L15" s="13">
        <f>+'2011'!I15</f>
        <v>-1999173.67</v>
      </c>
      <c r="M15" s="4"/>
      <c r="N15" s="4">
        <f t="shared" si="0"/>
        <v>1979890.3699999999</v>
      </c>
      <c r="O15" s="4">
        <f t="shared" si="1"/>
        <v>149219.11000000034</v>
      </c>
      <c r="P15" s="4">
        <f t="shared" si="3"/>
        <v>-147106.74</v>
      </c>
      <c r="Q15" s="13">
        <f t="shared" si="4"/>
        <v>1982002.7400000005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319135.46+30757.77+116230.34+479728.11</f>
        <v>945851.68</v>
      </c>
      <c r="E16" s="4">
        <v>83701.640000000014</v>
      </c>
      <c r="F16" s="4">
        <v>0</v>
      </c>
      <c r="G16" s="27">
        <f t="shared" si="5"/>
        <v>1029553.3200000001</v>
      </c>
      <c r="H16" s="4"/>
      <c r="I16" s="4">
        <v>-101167.4</v>
      </c>
      <c r="J16" s="4">
        <f t="shared" si="2"/>
        <v>-41182.130000000005</v>
      </c>
      <c r="K16" s="4">
        <v>0</v>
      </c>
      <c r="L16" s="13">
        <f>+'2011'!I16</f>
        <v>-142349.53</v>
      </c>
      <c r="M16" s="4"/>
      <c r="N16" s="4">
        <f t="shared" si="0"/>
        <v>844684.28</v>
      </c>
      <c r="O16" s="4">
        <f t="shared" si="1"/>
        <v>83701.640000000014</v>
      </c>
      <c r="P16" s="4">
        <f t="shared" si="3"/>
        <v>-41182.130000000005</v>
      </c>
      <c r="Q16" s="13">
        <f t="shared" si="4"/>
        <v>887203.79</v>
      </c>
      <c r="R16" s="4"/>
      <c r="U16" s="26"/>
    </row>
    <row r="17" spans="2:22" x14ac:dyDescent="0.25">
      <c r="B17" t="s">
        <v>30</v>
      </c>
      <c r="C17" t="s">
        <v>31</v>
      </c>
      <c r="D17" s="4">
        <f>11425.67+160315.62+1024.78+17495.69+2077977.02</f>
        <v>2268238.7800000003</v>
      </c>
      <c r="E17" s="4">
        <v>3784.6599999996834</v>
      </c>
      <c r="F17" s="4">
        <v>0</v>
      </c>
      <c r="G17" s="27">
        <f t="shared" si="5"/>
        <v>2272023.44</v>
      </c>
      <c r="H17" s="4"/>
      <c r="I17" s="4">
        <v>-1356387.51</v>
      </c>
      <c r="J17" s="4">
        <f t="shared" si="2"/>
        <v>-70531.869999999879</v>
      </c>
      <c r="K17" s="4">
        <v>0</v>
      </c>
      <c r="L17" s="13">
        <f>+'2011'!I17</f>
        <v>-1426919.38</v>
      </c>
      <c r="M17" s="4"/>
      <c r="N17" s="4">
        <f t="shared" si="0"/>
        <v>911851.27000000025</v>
      </c>
      <c r="O17" s="4">
        <f t="shared" si="1"/>
        <v>3784.6599999996834</v>
      </c>
      <c r="P17" s="4">
        <f t="shared" si="3"/>
        <v>-70531.869999999879</v>
      </c>
      <c r="Q17" s="13">
        <f t="shared" si="4"/>
        <v>845104.06</v>
      </c>
      <c r="R17" s="4"/>
      <c r="T17" s="5">
        <f>+N17</f>
        <v>911851.27000000025</v>
      </c>
      <c r="U17" s="26">
        <f>+T17/T19</f>
        <v>0.92683389206206224</v>
      </c>
      <c r="V17" s="13">
        <f>+U17*N53</f>
        <v>-186557.86431691863</v>
      </c>
    </row>
    <row r="18" spans="2:22" x14ac:dyDescent="0.25">
      <c r="B18" s="1">
        <v>1860.15</v>
      </c>
      <c r="C18" t="s">
        <v>55</v>
      </c>
      <c r="D18" s="4"/>
      <c r="E18" s="4">
        <v>0</v>
      </c>
      <c r="F18" s="4"/>
      <c r="G18" s="27">
        <f t="shared" si="5"/>
        <v>0</v>
      </c>
      <c r="H18" s="4"/>
      <c r="I18" s="4">
        <v>0</v>
      </c>
      <c r="J18" s="4">
        <f t="shared" si="2"/>
        <v>0</v>
      </c>
      <c r="K18" s="4">
        <v>0</v>
      </c>
      <c r="L18" s="13">
        <f>+'2011'!I18</f>
        <v>0</v>
      </c>
      <c r="M18" s="4"/>
      <c r="N18" s="4">
        <f t="shared" si="0"/>
        <v>0</v>
      </c>
      <c r="O18" s="4">
        <f t="shared" si="1"/>
        <v>0</v>
      </c>
      <c r="P18" s="4">
        <f t="shared" si="3"/>
        <v>0</v>
      </c>
      <c r="Q18" s="13">
        <f t="shared" ref="Q18" si="6">SUM(N18:P18)</f>
        <v>0</v>
      </c>
      <c r="R18" s="4"/>
      <c r="T18" s="5">
        <f>+N19</f>
        <v>71983.350000000006</v>
      </c>
      <c r="U18" s="26">
        <f>+T18/T19</f>
        <v>7.3166107937937763E-2</v>
      </c>
      <c r="V18" s="13">
        <f>+N53-V17</f>
        <v>-14727.24827413715</v>
      </c>
    </row>
    <row r="19" spans="2:22" x14ac:dyDescent="0.25">
      <c r="B19" t="s">
        <v>32</v>
      </c>
      <c r="C19" t="s">
        <v>33</v>
      </c>
      <c r="D19" s="4">
        <f>2560.13+36065.34+217.28+38792.91</f>
        <v>77635.66</v>
      </c>
      <c r="E19" s="4">
        <v>5646.9499999999971</v>
      </c>
      <c r="F19" s="4">
        <v>0</v>
      </c>
      <c r="G19" s="27">
        <f t="shared" si="5"/>
        <v>83282.61</v>
      </c>
      <c r="H19" s="4"/>
      <c r="I19" s="4">
        <v>-5652.31</v>
      </c>
      <c r="J19" s="4">
        <f t="shared" si="2"/>
        <v>-3331.3</v>
      </c>
      <c r="K19" s="4">
        <v>0</v>
      </c>
      <c r="L19" s="13">
        <f>+'2011'!I19</f>
        <v>-8983.61</v>
      </c>
      <c r="M19" s="4"/>
      <c r="N19" s="4">
        <f t="shared" si="0"/>
        <v>71983.350000000006</v>
      </c>
      <c r="O19" s="4">
        <f t="shared" si="1"/>
        <v>5646.9499999999971</v>
      </c>
      <c r="P19" s="4">
        <f t="shared" si="3"/>
        <v>-3331.3</v>
      </c>
      <c r="Q19" s="13">
        <f t="shared" si="4"/>
        <v>74299</v>
      </c>
      <c r="R19" s="4"/>
      <c r="T19" s="5">
        <f>+T17+T18</f>
        <v>983834.62000000023</v>
      </c>
      <c r="U19" s="26"/>
    </row>
    <row r="20" spans="2:22" ht="15.75" thickBot="1" x14ac:dyDescent="0.3">
      <c r="B20" s="2" t="s">
        <v>34</v>
      </c>
      <c r="C20" s="2" t="s">
        <v>35</v>
      </c>
      <c r="D20" s="18">
        <f>4334.49+726.09+68558.2</f>
        <v>73618.78</v>
      </c>
      <c r="E20" s="18">
        <v>0</v>
      </c>
      <c r="F20" s="18">
        <v>0</v>
      </c>
      <c r="G20" s="41">
        <f>+D20+E20-F20</f>
        <v>73618.78</v>
      </c>
      <c r="H20" s="18"/>
      <c r="I20" s="18">
        <v>-4929.0600000000004</v>
      </c>
      <c r="J20" s="18">
        <f t="shared" si="2"/>
        <v>-2944.75</v>
      </c>
      <c r="K20" s="18">
        <v>0</v>
      </c>
      <c r="L20" s="19">
        <f>+'2011'!I20</f>
        <v>-7873.81</v>
      </c>
      <c r="M20" s="18"/>
      <c r="N20" s="18">
        <f t="shared" si="0"/>
        <v>68689.72</v>
      </c>
      <c r="O20" s="18">
        <f t="shared" si="1"/>
        <v>0</v>
      </c>
      <c r="P20" s="18">
        <f t="shared" si="3"/>
        <v>-2944.75</v>
      </c>
      <c r="Q20" s="19">
        <f t="shared" si="4"/>
        <v>65744.97</v>
      </c>
      <c r="R20" s="18"/>
      <c r="V20" s="13">
        <f>+V17+V18</f>
        <v>-201285.11259105577</v>
      </c>
    </row>
    <row r="21" spans="2:22" x14ac:dyDescent="0.25">
      <c r="D21" s="4"/>
      <c r="E21" s="4"/>
      <c r="F21" s="4"/>
      <c r="G21" s="27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2:22" s="9" customFormat="1" ht="15.75" thickBot="1" x14ac:dyDescent="0.3">
      <c r="B22" s="10" t="s">
        <v>57</v>
      </c>
      <c r="C22" s="10"/>
      <c r="D22" s="19">
        <f>SUM(D7:D21)</f>
        <v>42152971.119999997</v>
      </c>
      <c r="E22" s="19">
        <f>SUM(E7:E21)</f>
        <v>1517435.5300000005</v>
      </c>
      <c r="F22" s="19">
        <f>SUM(F7:F21)</f>
        <v>0</v>
      </c>
      <c r="G22" s="41">
        <f>SUM(G7:G21)</f>
        <v>43670406.649999999</v>
      </c>
      <c r="H22" s="19"/>
      <c r="I22" s="19">
        <f>SUM(I7:I21)</f>
        <v>-19859150.929999996</v>
      </c>
      <c r="J22" s="19">
        <f>SUM(J7:J21)</f>
        <v>-1564789.96</v>
      </c>
      <c r="K22" s="19">
        <f>SUM(K7:K21)</f>
        <v>0</v>
      </c>
      <c r="L22" s="19">
        <f>SUM(L7:L21)</f>
        <v>-21423940.890000001</v>
      </c>
      <c r="M22" s="19"/>
      <c r="N22" s="19">
        <f>SUM(N7:N21)</f>
        <v>22293820.190000001</v>
      </c>
      <c r="O22" s="19">
        <f>SUM(O7:O21)</f>
        <v>1517435.5300000005</v>
      </c>
      <c r="P22" s="19">
        <f>SUM(P7:P21)</f>
        <v>-1564789.96</v>
      </c>
      <c r="Q22" s="19">
        <f>SUM(Q7:Q21)</f>
        <v>22246465.759999998</v>
      </c>
      <c r="R22" s="19"/>
    </row>
    <row r="23" spans="2:22" x14ac:dyDescent="0.25">
      <c r="D23" s="4"/>
      <c r="E23" s="4"/>
      <c r="F23" s="4"/>
      <c r="G23" s="27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2:22" x14ac:dyDescent="0.25">
      <c r="D24" s="4"/>
      <c r="E24" s="4"/>
      <c r="F24" s="4"/>
      <c r="G24" s="27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2:22" x14ac:dyDescent="0.25">
      <c r="B25" s="31">
        <v>1905</v>
      </c>
      <c r="C25" t="s">
        <v>56</v>
      </c>
      <c r="D25" s="4">
        <v>174187.53</v>
      </c>
      <c r="E25" s="4">
        <f>+G25-D25</f>
        <v>0</v>
      </c>
      <c r="F25" s="4">
        <v>0</v>
      </c>
      <c r="G25" s="27">
        <f>+'2011'!D25</f>
        <v>174187.53</v>
      </c>
      <c r="H25" s="4"/>
      <c r="I25" s="4">
        <v>0</v>
      </c>
      <c r="J25" s="4">
        <f t="shared" ref="J25:J36" si="7">+L25-I25</f>
        <v>0</v>
      </c>
      <c r="K25" s="4">
        <v>0</v>
      </c>
      <c r="L25" s="13">
        <f>+'2011'!I25</f>
        <v>0</v>
      </c>
      <c r="M25" s="4"/>
      <c r="N25" s="4">
        <f t="shared" ref="N25:N32" si="8">+D25+I25</f>
        <v>174187.53</v>
      </c>
      <c r="O25" s="4">
        <f t="shared" ref="O25:O38" si="9">+E25+F25</f>
        <v>0</v>
      </c>
      <c r="P25" s="4">
        <f t="shared" ref="P25" si="10">+J25+K25</f>
        <v>0</v>
      </c>
      <c r="Q25" s="13">
        <f t="shared" ref="Q25" si="11">SUM(N25:P25)</f>
        <v>174187.53</v>
      </c>
      <c r="R25" s="4"/>
    </row>
    <row r="26" spans="2:22" x14ac:dyDescent="0.25">
      <c r="B26" s="32" t="s">
        <v>36</v>
      </c>
      <c r="C26" t="s">
        <v>37</v>
      </c>
      <c r="D26" s="4">
        <v>2385249.7799999998</v>
      </c>
      <c r="E26" s="4">
        <f t="shared" ref="E26:E36" si="12">+G26-D26</f>
        <v>0</v>
      </c>
      <c r="F26" s="4">
        <v>0</v>
      </c>
      <c r="G26" s="27">
        <f>+'2011'!D26</f>
        <v>2385249.7799999998</v>
      </c>
      <c r="H26" s="4"/>
      <c r="I26" s="4">
        <v>-800941.27</v>
      </c>
      <c r="J26" s="4">
        <f t="shared" si="7"/>
        <v>-49632.809999999939</v>
      </c>
      <c r="K26" s="4">
        <v>0</v>
      </c>
      <c r="L26" s="13">
        <f>+'2011'!I26</f>
        <v>-850574.08</v>
      </c>
      <c r="M26" s="4"/>
      <c r="N26" s="4">
        <f t="shared" si="8"/>
        <v>1584308.5099999998</v>
      </c>
      <c r="O26" s="4">
        <f t="shared" si="9"/>
        <v>0</v>
      </c>
      <c r="P26" s="4">
        <f t="shared" si="3"/>
        <v>-49632.809999999939</v>
      </c>
      <c r="Q26" s="13">
        <f t="shared" si="4"/>
        <v>1534675.6999999997</v>
      </c>
      <c r="R26" s="4"/>
    </row>
    <row r="27" spans="2:22" x14ac:dyDescent="0.25">
      <c r="B27" s="32" t="s">
        <v>38</v>
      </c>
      <c r="C27" t="s">
        <v>39</v>
      </c>
      <c r="D27" s="4"/>
      <c r="E27" s="4">
        <f t="shared" si="12"/>
        <v>0</v>
      </c>
      <c r="F27" s="4">
        <v>0</v>
      </c>
      <c r="G27" s="27">
        <f>+'2011'!D27</f>
        <v>0</v>
      </c>
      <c r="H27" s="4"/>
      <c r="I27" s="4">
        <v>0</v>
      </c>
      <c r="J27" s="4">
        <f t="shared" si="7"/>
        <v>0</v>
      </c>
      <c r="K27" s="4">
        <v>0</v>
      </c>
      <c r="L27" s="13">
        <f>+'2011'!I27</f>
        <v>0</v>
      </c>
      <c r="M27" s="4"/>
      <c r="N27" s="4">
        <f t="shared" si="8"/>
        <v>0</v>
      </c>
      <c r="O27" s="4">
        <f t="shared" si="9"/>
        <v>0</v>
      </c>
      <c r="P27" s="4">
        <f t="shared" si="3"/>
        <v>0</v>
      </c>
      <c r="Q27" s="13">
        <f t="shared" si="4"/>
        <v>0</v>
      </c>
      <c r="R27" s="4"/>
    </row>
    <row r="28" spans="2:22" x14ac:dyDescent="0.25">
      <c r="B28" s="32" t="s">
        <v>40</v>
      </c>
      <c r="C28" t="s">
        <v>41</v>
      </c>
      <c r="D28" s="4"/>
      <c r="E28" s="4">
        <f t="shared" si="12"/>
        <v>0</v>
      </c>
      <c r="F28" s="4">
        <v>0</v>
      </c>
      <c r="G28" s="27">
        <f>+'2011'!D28</f>
        <v>0</v>
      </c>
      <c r="H28" s="4"/>
      <c r="I28" s="4">
        <v>0</v>
      </c>
      <c r="J28" s="4">
        <f t="shared" si="7"/>
        <v>0</v>
      </c>
      <c r="K28" s="4">
        <v>0</v>
      </c>
      <c r="L28" s="13">
        <f>+'2011'!I28</f>
        <v>0</v>
      </c>
      <c r="M28" s="4"/>
      <c r="N28" s="4">
        <f t="shared" si="8"/>
        <v>0</v>
      </c>
      <c r="O28" s="4">
        <f t="shared" si="9"/>
        <v>0</v>
      </c>
      <c r="P28" s="4">
        <f t="shared" si="3"/>
        <v>0</v>
      </c>
      <c r="Q28" s="13">
        <f t="shared" si="4"/>
        <v>0</v>
      </c>
      <c r="R28" s="4"/>
    </row>
    <row r="29" spans="2:22" x14ac:dyDescent="0.25">
      <c r="B29" s="32" t="s">
        <v>42</v>
      </c>
      <c r="C29" t="s">
        <v>43</v>
      </c>
      <c r="D29" s="4"/>
      <c r="E29" s="4">
        <f t="shared" si="12"/>
        <v>0</v>
      </c>
      <c r="F29" s="4">
        <v>0</v>
      </c>
      <c r="G29" s="27">
        <f>+'2011'!D29</f>
        <v>0</v>
      </c>
      <c r="H29" s="4"/>
      <c r="I29" s="4">
        <v>0</v>
      </c>
      <c r="J29" s="4">
        <f t="shared" si="7"/>
        <v>0</v>
      </c>
      <c r="K29" s="4">
        <v>0</v>
      </c>
      <c r="L29" s="13">
        <f>+'2011'!I29</f>
        <v>0</v>
      </c>
      <c r="M29" s="4"/>
      <c r="N29" s="4">
        <f t="shared" si="8"/>
        <v>0</v>
      </c>
      <c r="O29" s="4">
        <f t="shared" si="9"/>
        <v>0</v>
      </c>
      <c r="P29" s="4">
        <f t="shared" si="3"/>
        <v>0</v>
      </c>
      <c r="Q29" s="13">
        <f t="shared" si="4"/>
        <v>0</v>
      </c>
      <c r="R29" s="4"/>
    </row>
    <row r="30" spans="2:22" x14ac:dyDescent="0.25">
      <c r="B30" s="32" t="s">
        <v>44</v>
      </c>
      <c r="C30" t="s">
        <v>45</v>
      </c>
      <c r="D30" s="4"/>
      <c r="E30" s="4">
        <f t="shared" si="12"/>
        <v>0</v>
      </c>
      <c r="F30" s="4">
        <v>0</v>
      </c>
      <c r="G30" s="27">
        <f>+'2011'!D30</f>
        <v>0</v>
      </c>
      <c r="H30" s="4"/>
      <c r="I30" s="4">
        <v>0</v>
      </c>
      <c r="J30" s="4">
        <f t="shared" si="7"/>
        <v>0</v>
      </c>
      <c r="K30" s="4">
        <v>0</v>
      </c>
      <c r="L30" s="13">
        <f>+'2011'!I30</f>
        <v>0</v>
      </c>
      <c r="M30" s="4"/>
      <c r="N30" s="4">
        <f t="shared" si="8"/>
        <v>0</v>
      </c>
      <c r="O30" s="4">
        <f t="shared" si="9"/>
        <v>0</v>
      </c>
      <c r="P30" s="4">
        <f t="shared" si="3"/>
        <v>0</v>
      </c>
      <c r="Q30" s="13">
        <f t="shared" si="4"/>
        <v>0</v>
      </c>
      <c r="R30" s="4"/>
    </row>
    <row r="31" spans="2:22" x14ac:dyDescent="0.25">
      <c r="B31" s="32" t="s">
        <v>46</v>
      </c>
      <c r="C31" t="s">
        <v>47</v>
      </c>
      <c r="D31" s="4"/>
      <c r="E31" s="4">
        <f t="shared" si="12"/>
        <v>0</v>
      </c>
      <c r="F31" s="4">
        <v>0</v>
      </c>
      <c r="G31" s="27">
        <f>+'2011'!D31</f>
        <v>0</v>
      </c>
      <c r="H31" s="4"/>
      <c r="I31" s="4">
        <v>0</v>
      </c>
      <c r="J31" s="4">
        <f t="shared" si="7"/>
        <v>0</v>
      </c>
      <c r="K31" s="4">
        <v>0</v>
      </c>
      <c r="L31" s="13">
        <f>+'2011'!I31</f>
        <v>0</v>
      </c>
      <c r="M31" s="4"/>
      <c r="N31" s="4">
        <f t="shared" si="8"/>
        <v>0</v>
      </c>
      <c r="O31" s="4">
        <f t="shared" si="9"/>
        <v>0</v>
      </c>
      <c r="P31" s="4">
        <f t="shared" si="3"/>
        <v>0</v>
      </c>
      <c r="Q31" s="13">
        <f t="shared" si="4"/>
        <v>0</v>
      </c>
      <c r="R31" s="4"/>
    </row>
    <row r="32" spans="2:22" x14ac:dyDescent="0.25">
      <c r="B32" s="31">
        <v>1930</v>
      </c>
      <c r="C32" t="s">
        <v>59</v>
      </c>
      <c r="D32" s="4"/>
      <c r="E32" s="4">
        <f t="shared" si="12"/>
        <v>0</v>
      </c>
      <c r="F32" s="4"/>
      <c r="G32" s="27">
        <f>+'2011'!D32</f>
        <v>0</v>
      </c>
      <c r="H32" s="4"/>
      <c r="I32" s="4">
        <v>0</v>
      </c>
      <c r="J32" s="4">
        <f t="shared" si="7"/>
        <v>0</v>
      </c>
      <c r="K32" s="4"/>
      <c r="L32" s="13">
        <f>+'2011'!I32</f>
        <v>0</v>
      </c>
      <c r="M32" s="4"/>
      <c r="N32" s="4">
        <f t="shared" si="8"/>
        <v>0</v>
      </c>
      <c r="O32" s="4">
        <f t="shared" si="9"/>
        <v>0</v>
      </c>
      <c r="P32" s="4">
        <f t="shared" si="3"/>
        <v>0</v>
      </c>
      <c r="Q32" s="13">
        <f t="shared" ref="Q32" si="13">SUM(N32:P32)</f>
        <v>0</v>
      </c>
      <c r="R32" s="4"/>
    </row>
    <row r="33" spans="2:18" x14ac:dyDescent="0.25">
      <c r="B33" s="32" t="s">
        <v>48</v>
      </c>
      <c r="C33" t="s">
        <v>49</v>
      </c>
      <c r="D33" s="4"/>
      <c r="E33" s="4">
        <f t="shared" si="12"/>
        <v>0</v>
      </c>
      <c r="F33" s="4">
        <v>0</v>
      </c>
      <c r="G33" s="27">
        <f>+'2011'!D33</f>
        <v>0</v>
      </c>
      <c r="H33" s="4"/>
      <c r="I33" s="4">
        <v>0</v>
      </c>
      <c r="J33" s="4">
        <f t="shared" si="7"/>
        <v>0</v>
      </c>
      <c r="K33" s="4">
        <v>0</v>
      </c>
      <c r="L33" s="13">
        <f>+'2011'!I33</f>
        <v>0</v>
      </c>
      <c r="M33" s="4"/>
      <c r="N33" s="4">
        <f t="shared" ref="N33:N38" si="14">+D33+I33</f>
        <v>0</v>
      </c>
      <c r="O33" s="4">
        <f t="shared" si="9"/>
        <v>0</v>
      </c>
      <c r="P33" s="4">
        <f t="shared" si="3"/>
        <v>0</v>
      </c>
      <c r="Q33" s="13">
        <f t="shared" si="4"/>
        <v>0</v>
      </c>
      <c r="R33" s="4"/>
    </row>
    <row r="34" spans="2:18" x14ac:dyDescent="0.25">
      <c r="B34" s="32" t="s">
        <v>50</v>
      </c>
      <c r="C34" t="s">
        <v>51</v>
      </c>
      <c r="D34" s="4"/>
      <c r="E34" s="4">
        <f t="shared" si="12"/>
        <v>0</v>
      </c>
      <c r="F34" s="4">
        <v>0</v>
      </c>
      <c r="G34" s="27">
        <f>+'2011'!D34</f>
        <v>0</v>
      </c>
      <c r="H34" s="4"/>
      <c r="I34" s="4">
        <v>0</v>
      </c>
      <c r="J34" s="4">
        <f t="shared" si="7"/>
        <v>0</v>
      </c>
      <c r="K34" s="4">
        <v>0</v>
      </c>
      <c r="L34" s="13">
        <f>+'2011'!I34</f>
        <v>0</v>
      </c>
      <c r="M34" s="4"/>
      <c r="N34" s="4">
        <f t="shared" si="14"/>
        <v>0</v>
      </c>
      <c r="O34" s="4">
        <f t="shared" si="9"/>
        <v>0</v>
      </c>
      <c r="P34" s="4">
        <f t="shared" si="3"/>
        <v>0</v>
      </c>
      <c r="Q34" s="13">
        <f t="shared" si="4"/>
        <v>0</v>
      </c>
      <c r="R34" s="4"/>
    </row>
    <row r="35" spans="2:18" x14ac:dyDescent="0.25">
      <c r="B35" s="32" t="s">
        <v>52</v>
      </c>
      <c r="C35" t="s">
        <v>53</v>
      </c>
      <c r="D35" s="4"/>
      <c r="E35" s="4">
        <f t="shared" si="12"/>
        <v>0</v>
      </c>
      <c r="F35" s="4">
        <v>0</v>
      </c>
      <c r="G35" s="27">
        <f>+'2011'!D35</f>
        <v>0</v>
      </c>
      <c r="H35" s="4"/>
      <c r="I35" s="4">
        <v>0</v>
      </c>
      <c r="J35" s="4">
        <f t="shared" si="7"/>
        <v>0</v>
      </c>
      <c r="K35" s="4">
        <v>0</v>
      </c>
      <c r="L35" s="13">
        <f>+'2011'!I35</f>
        <v>0</v>
      </c>
      <c r="M35" s="4"/>
      <c r="N35" s="4">
        <f t="shared" si="14"/>
        <v>0</v>
      </c>
      <c r="O35" s="4">
        <f t="shared" si="9"/>
        <v>0</v>
      </c>
      <c r="P35" s="4">
        <f t="shared" si="3"/>
        <v>0</v>
      </c>
      <c r="Q35" s="13">
        <f t="shared" si="4"/>
        <v>0</v>
      </c>
      <c r="R35" s="4"/>
    </row>
    <row r="36" spans="2:18" x14ac:dyDescent="0.25">
      <c r="B36" s="31">
        <v>1980</v>
      </c>
      <c r="C36" t="s">
        <v>54</v>
      </c>
      <c r="D36" s="4">
        <v>43592.36</v>
      </c>
      <c r="E36" s="4">
        <f t="shared" si="12"/>
        <v>0</v>
      </c>
      <c r="F36" s="4"/>
      <c r="G36" s="27">
        <f>+'2011'!D36</f>
        <v>43592.36</v>
      </c>
      <c r="H36" s="4"/>
      <c r="I36" s="4">
        <v>-25882.32</v>
      </c>
      <c r="J36" s="4">
        <f t="shared" si="7"/>
        <v>-2906.16</v>
      </c>
      <c r="K36" s="4"/>
      <c r="L36" s="13">
        <f>+'2011'!I36</f>
        <v>-28788.48</v>
      </c>
      <c r="M36" s="4"/>
      <c r="N36" s="4">
        <f t="shared" si="14"/>
        <v>17710.04</v>
      </c>
      <c r="O36" s="4">
        <f t="shared" si="9"/>
        <v>0</v>
      </c>
      <c r="P36" s="4">
        <f t="shared" si="3"/>
        <v>-2906.16</v>
      </c>
      <c r="Q36" s="13">
        <f t="shared" ref="Q36" si="15">SUM(N36:P36)</f>
        <v>14803.880000000001</v>
      </c>
      <c r="R36" s="4"/>
    </row>
    <row r="37" spans="2:18" ht="15.75" thickBot="1" x14ac:dyDescent="0.3">
      <c r="B37" s="33">
        <v>1980.1</v>
      </c>
      <c r="C37" s="2" t="s">
        <v>66</v>
      </c>
      <c r="D37" s="18"/>
      <c r="E37" s="18">
        <v>0</v>
      </c>
      <c r="F37" s="18">
        <v>0</v>
      </c>
      <c r="G37" s="19">
        <f>+'2011'!G37</f>
        <v>0</v>
      </c>
      <c r="H37" s="18"/>
      <c r="I37" s="18">
        <v>0</v>
      </c>
      <c r="J37" s="18">
        <v>0</v>
      </c>
      <c r="K37" s="18">
        <v>0</v>
      </c>
      <c r="L37" s="19">
        <f t="shared" ref="L37:L38" si="16">SUM(I37:K37)</f>
        <v>0</v>
      </c>
      <c r="M37" s="18"/>
      <c r="N37" s="18">
        <f t="shared" si="14"/>
        <v>0</v>
      </c>
      <c r="O37" s="18">
        <f t="shared" si="9"/>
        <v>0</v>
      </c>
      <c r="P37" s="18">
        <f t="shared" si="3"/>
        <v>0</v>
      </c>
      <c r="Q37" s="19">
        <f t="shared" si="4"/>
        <v>0</v>
      </c>
      <c r="R37" s="18"/>
    </row>
    <row r="38" spans="2:18" x14ac:dyDescent="0.25">
      <c r="D38" s="4"/>
      <c r="E38" s="4"/>
      <c r="F38" s="4">
        <v>0</v>
      </c>
      <c r="G38" s="13">
        <f t="shared" ref="G38" si="17">SUM(D38:F38)</f>
        <v>0</v>
      </c>
      <c r="H38" s="4"/>
      <c r="I38" s="4">
        <v>0</v>
      </c>
      <c r="J38" s="4"/>
      <c r="K38" s="4">
        <v>0</v>
      </c>
      <c r="L38" s="13">
        <f t="shared" si="16"/>
        <v>0</v>
      </c>
      <c r="M38" s="4"/>
      <c r="N38" s="4">
        <f t="shared" si="14"/>
        <v>0</v>
      </c>
      <c r="O38" s="4">
        <f t="shared" si="9"/>
        <v>0</v>
      </c>
      <c r="P38" s="4">
        <f t="shared" si="3"/>
        <v>0</v>
      </c>
      <c r="Q38" s="13">
        <f t="shared" si="4"/>
        <v>0</v>
      </c>
      <c r="R38" s="4"/>
    </row>
    <row r="39" spans="2:18" s="9" customFormat="1" ht="15.75" thickBot="1" x14ac:dyDescent="0.3">
      <c r="B39" s="10" t="s">
        <v>58</v>
      </c>
      <c r="C39" s="10"/>
      <c r="D39" s="19">
        <f>SUM(D25:D38)</f>
        <v>2603029.6699999995</v>
      </c>
      <c r="E39" s="19">
        <f>SUM(E25:E38)</f>
        <v>0</v>
      </c>
      <c r="F39" s="19">
        <f>SUM(F25:F38)</f>
        <v>0</v>
      </c>
      <c r="G39" s="19">
        <f>SUM(G25:G38)</f>
        <v>2603029.6699999995</v>
      </c>
      <c r="H39" s="19"/>
      <c r="I39" s="19">
        <f>SUM(I25:I38)</f>
        <v>-826823.59</v>
      </c>
      <c r="J39" s="19">
        <f>SUM(J25:J38)</f>
        <v>-52538.969999999943</v>
      </c>
      <c r="K39" s="19">
        <f>SUM(K25:K38)</f>
        <v>0</v>
      </c>
      <c r="L39" s="19">
        <f>SUM(L25:L38)</f>
        <v>-879362.55999999994</v>
      </c>
      <c r="M39" s="19"/>
      <c r="N39" s="19">
        <f>SUM(N25:N38)</f>
        <v>1776206.0799999998</v>
      </c>
      <c r="O39" s="19">
        <f>SUM(O25:O38)</f>
        <v>0</v>
      </c>
      <c r="P39" s="19">
        <f>SUM(P25:P38)</f>
        <v>-52538.969999999943</v>
      </c>
      <c r="Q39" s="19">
        <f>SUM(Q25:Q38)</f>
        <v>1723667.1099999996</v>
      </c>
      <c r="R39" s="19"/>
    </row>
    <row r="40" spans="2:18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2:18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2:18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2:18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</row>
    <row r="44" spans="2:18" x14ac:dyDescent="0.25">
      <c r="B44" s="24" t="s">
        <v>12</v>
      </c>
      <c r="C44" s="7" t="s">
        <v>13</v>
      </c>
      <c r="D44" s="8">
        <v>0</v>
      </c>
      <c r="E44" s="7"/>
      <c r="F44" s="7"/>
      <c r="G44" s="15"/>
      <c r="I44" s="8">
        <v>0</v>
      </c>
      <c r="J44" s="7"/>
      <c r="K44" s="7"/>
      <c r="L44" s="16">
        <f>+'2011'!I44</f>
        <v>0</v>
      </c>
      <c r="M44" s="4"/>
      <c r="N44" s="8"/>
      <c r="O44" s="8"/>
      <c r="P44" s="8"/>
      <c r="Q44" s="16"/>
      <c r="R44" s="4"/>
    </row>
    <row r="45" spans="2:18" x14ac:dyDescent="0.25">
      <c r="B45" s="34" t="s">
        <v>14</v>
      </c>
      <c r="C45" s="7" t="s">
        <v>15</v>
      </c>
      <c r="D45" s="8">
        <f t="shared" ref="D45:D54" si="18">+G45-E45</f>
        <v>-1241897.438063527</v>
      </c>
      <c r="E45" s="8">
        <f t="shared" ref="E45:E54" si="19">+G45/$G$58*$C$68</f>
        <v>-73169.040009471937</v>
      </c>
      <c r="F45" s="8">
        <v>0</v>
      </c>
      <c r="G45" s="16">
        <f>+'2011'!D45</f>
        <v>-1315066.478072999</v>
      </c>
      <c r="I45" s="8">
        <f t="shared" ref="I45:I55" si="20">+L45-J45</f>
        <v>259160.2998396465</v>
      </c>
      <c r="J45" s="8">
        <f t="shared" ref="J45:J55" si="21">+L45/$L$58*$I$68</f>
        <v>50741.621219125969</v>
      </c>
      <c r="K45" s="8">
        <v>0</v>
      </c>
      <c r="L45" s="16">
        <f>+'2011'!I45</f>
        <v>309901.92105877248</v>
      </c>
      <c r="M45" s="4"/>
      <c r="N45" s="8">
        <f t="shared" ref="N45:N55" si="22">+D45+I45</f>
        <v>-982737.13822388044</v>
      </c>
      <c r="O45" s="8">
        <f t="shared" ref="O45:O55" si="23">+E45+F45</f>
        <v>-73169.040009471937</v>
      </c>
      <c r="P45" s="8">
        <f t="shared" ref="P45:P55" si="24">+J45+K45</f>
        <v>50741.621219125969</v>
      </c>
      <c r="Q45" s="16">
        <f t="shared" ref="Q45:Q56" si="25">SUM(N45:P45)</f>
        <v>-1005164.5570142266</v>
      </c>
      <c r="R45" s="4"/>
    </row>
    <row r="46" spans="2:18" x14ac:dyDescent="0.25">
      <c r="B46" s="34" t="s">
        <v>16</v>
      </c>
      <c r="C46" s="7" t="s">
        <v>17</v>
      </c>
      <c r="D46" s="8">
        <f t="shared" si="18"/>
        <v>-1066488.2411629451</v>
      </c>
      <c r="E46" s="8">
        <f t="shared" si="19"/>
        <v>-62834.432534912114</v>
      </c>
      <c r="F46" s="8">
        <v>0</v>
      </c>
      <c r="G46" s="16">
        <f>+'2011'!D46</f>
        <v>-1129322.6736978572</v>
      </c>
      <c r="I46" s="8">
        <f t="shared" si="20"/>
        <v>222241.87281878694</v>
      </c>
      <c r="J46" s="8">
        <f t="shared" si="21"/>
        <v>43513.273200322576</v>
      </c>
      <c r="K46" s="8">
        <v>0</v>
      </c>
      <c r="L46" s="16">
        <f>+'2011'!I46</f>
        <v>265755.14601910952</v>
      </c>
      <c r="M46" s="4"/>
      <c r="N46" s="8">
        <f t="shared" si="22"/>
        <v>-844246.36834415817</v>
      </c>
      <c r="O46" s="8">
        <f t="shared" si="23"/>
        <v>-62834.432534912114</v>
      </c>
      <c r="P46" s="8">
        <f t="shared" si="24"/>
        <v>43513.273200322576</v>
      </c>
      <c r="Q46" s="16">
        <f t="shared" si="25"/>
        <v>-863567.52767874778</v>
      </c>
      <c r="R46" s="4"/>
    </row>
    <row r="47" spans="2:18" x14ac:dyDescent="0.25">
      <c r="B47" s="34" t="s">
        <v>18</v>
      </c>
      <c r="C47" s="7" t="s">
        <v>19</v>
      </c>
      <c r="D47" s="8">
        <f t="shared" si="18"/>
        <v>-675379.55280130962</v>
      </c>
      <c r="E47" s="8">
        <f t="shared" si="19"/>
        <v>-39791.428829705386</v>
      </c>
      <c r="F47" s="8">
        <v>0</v>
      </c>
      <c r="G47" s="16">
        <f>+'2011'!D47</f>
        <v>-715170.98163101496</v>
      </c>
      <c r="I47" s="8">
        <f t="shared" si="20"/>
        <v>147731.56521581061</v>
      </c>
      <c r="J47" s="8">
        <f t="shared" si="21"/>
        <v>28924.720062939607</v>
      </c>
      <c r="K47" s="8">
        <v>0</v>
      </c>
      <c r="L47" s="16">
        <f>+'2011'!I47</f>
        <v>176656.28527875021</v>
      </c>
      <c r="M47" s="4"/>
      <c r="N47" s="8">
        <f t="shared" si="22"/>
        <v>-527647.98758549895</v>
      </c>
      <c r="O47" s="8">
        <f t="shared" si="23"/>
        <v>-39791.428829705386</v>
      </c>
      <c r="P47" s="8">
        <f t="shared" si="24"/>
        <v>28924.720062939607</v>
      </c>
      <c r="Q47" s="16">
        <f t="shared" si="25"/>
        <v>-538514.69635226473</v>
      </c>
      <c r="R47" s="4"/>
    </row>
    <row r="48" spans="2:18" x14ac:dyDescent="0.25">
      <c r="B48" s="34" t="s">
        <v>20</v>
      </c>
      <c r="C48" s="7" t="s">
        <v>21</v>
      </c>
      <c r="D48" s="8">
        <f t="shared" si="18"/>
        <v>-1214500.6152427983</v>
      </c>
      <c r="E48" s="8">
        <f t="shared" si="19"/>
        <v>-71554.897678823414</v>
      </c>
      <c r="F48" s="8">
        <v>0</v>
      </c>
      <c r="G48" s="16">
        <f>+'2011'!D48</f>
        <v>-1286055.5129216218</v>
      </c>
      <c r="I48" s="8">
        <f t="shared" si="20"/>
        <v>261393.69247405679</v>
      </c>
      <c r="J48" s="8">
        <f t="shared" si="21"/>
        <v>51178.902558740687</v>
      </c>
      <c r="K48" s="8">
        <v>0</v>
      </c>
      <c r="L48" s="16">
        <f>+'2011'!I48</f>
        <v>312572.59503279749</v>
      </c>
      <c r="M48" s="4"/>
      <c r="N48" s="8">
        <f t="shared" si="22"/>
        <v>-953106.92276874161</v>
      </c>
      <c r="O48" s="8">
        <f t="shared" si="23"/>
        <v>-71554.897678823414</v>
      </c>
      <c r="P48" s="8">
        <f t="shared" si="24"/>
        <v>51178.902558740687</v>
      </c>
      <c r="Q48" s="16">
        <f t="shared" si="25"/>
        <v>-973482.91788882436</v>
      </c>
      <c r="R48" s="4"/>
    </row>
    <row r="49" spans="2:22" x14ac:dyDescent="0.25">
      <c r="B49" s="34" t="s">
        <v>22</v>
      </c>
      <c r="C49" s="7" t="s">
        <v>23</v>
      </c>
      <c r="D49" s="8">
        <f t="shared" si="18"/>
        <v>-623737.0970121437</v>
      </c>
      <c r="E49" s="8">
        <f t="shared" si="19"/>
        <v>-36748.803248870929</v>
      </c>
      <c r="F49" s="8">
        <v>0</v>
      </c>
      <c r="G49" s="16">
        <f>+'2011'!D49</f>
        <v>-660485.90026101458</v>
      </c>
      <c r="I49" s="8">
        <f t="shared" si="20"/>
        <v>162795.59958098884</v>
      </c>
      <c r="J49" s="8">
        <f t="shared" si="21"/>
        <v>31874.143744972393</v>
      </c>
      <c r="K49" s="8">
        <v>0</v>
      </c>
      <c r="L49" s="16">
        <f>+'2011'!I49</f>
        <v>194669.74332596123</v>
      </c>
      <c r="M49" s="4"/>
      <c r="N49" s="8">
        <f t="shared" si="22"/>
        <v>-460941.49743115483</v>
      </c>
      <c r="O49" s="8">
        <f t="shared" si="23"/>
        <v>-36748.803248870929</v>
      </c>
      <c r="P49" s="8">
        <f t="shared" si="24"/>
        <v>31874.143744972393</v>
      </c>
      <c r="Q49" s="16">
        <f t="shared" si="25"/>
        <v>-465816.15693505335</v>
      </c>
      <c r="R49" s="4"/>
    </row>
    <row r="50" spans="2:22" x14ac:dyDescent="0.25">
      <c r="B50" s="34" t="s">
        <v>24</v>
      </c>
      <c r="C50" s="7" t="s">
        <v>25</v>
      </c>
      <c r="D50" s="8">
        <f t="shared" si="18"/>
        <v>-499431.75166382315</v>
      </c>
      <c r="E50" s="8">
        <f t="shared" si="19"/>
        <v>-29425.088336176796</v>
      </c>
      <c r="F50" s="8">
        <v>0</v>
      </c>
      <c r="G50" s="16">
        <f>+'2011'!D50</f>
        <v>-528856.84</v>
      </c>
      <c r="I50" s="8">
        <f t="shared" si="20"/>
        <v>103955.08662712798</v>
      </c>
      <c r="J50" s="8">
        <f t="shared" si="21"/>
        <v>20353.617559089605</v>
      </c>
      <c r="K50" s="8">
        <v>0</v>
      </c>
      <c r="L50" s="16">
        <f>+'2011'!I50</f>
        <v>124308.70418621758</v>
      </c>
      <c r="M50" s="4"/>
      <c r="N50" s="8">
        <f t="shared" si="22"/>
        <v>-395476.66503669519</v>
      </c>
      <c r="O50" s="8">
        <f t="shared" si="23"/>
        <v>-29425.088336176796</v>
      </c>
      <c r="P50" s="8">
        <f t="shared" si="24"/>
        <v>20353.617559089605</v>
      </c>
      <c r="Q50" s="16">
        <f t="shared" si="25"/>
        <v>-404548.1358137824</v>
      </c>
      <c r="R50" s="4"/>
    </row>
    <row r="51" spans="2:22" x14ac:dyDescent="0.25">
      <c r="B51" s="34" t="s">
        <v>26</v>
      </c>
      <c r="C51" s="7" t="s">
        <v>27</v>
      </c>
      <c r="D51" s="8">
        <f t="shared" si="18"/>
        <v>-557229.13616733404</v>
      </c>
      <c r="E51" s="8">
        <f t="shared" si="19"/>
        <v>-32830.344687920631</v>
      </c>
      <c r="F51" s="8">
        <v>0</v>
      </c>
      <c r="G51" s="16">
        <f>+'2011'!D51</f>
        <v>-590059.48085525469</v>
      </c>
      <c r="I51" s="8">
        <f t="shared" si="20"/>
        <v>117294.2377882586</v>
      </c>
      <c r="J51" s="8">
        <f t="shared" si="21"/>
        <v>22965.322191402305</v>
      </c>
      <c r="K51" s="8">
        <v>0</v>
      </c>
      <c r="L51" s="16">
        <f>+'2011'!I51</f>
        <v>140259.5599796609</v>
      </c>
      <c r="M51" s="4"/>
      <c r="N51" s="8">
        <f t="shared" si="22"/>
        <v>-439934.89837907546</v>
      </c>
      <c r="O51" s="8">
        <f t="shared" si="23"/>
        <v>-32830.344687920631</v>
      </c>
      <c r="P51" s="8">
        <f t="shared" si="24"/>
        <v>22965.322191402305</v>
      </c>
      <c r="Q51" s="16">
        <f t="shared" si="25"/>
        <v>-449799.92087559379</v>
      </c>
      <c r="R51" s="4"/>
    </row>
    <row r="52" spans="2:22" x14ac:dyDescent="0.25">
      <c r="B52" s="34" t="s">
        <v>28</v>
      </c>
      <c r="C52" s="7" t="s">
        <v>29</v>
      </c>
      <c r="D52" s="8">
        <f t="shared" si="18"/>
        <v>-373806.76368712087</v>
      </c>
      <c r="E52" s="8">
        <f t="shared" si="19"/>
        <v>-22023.623859537329</v>
      </c>
      <c r="F52" s="8">
        <v>0</v>
      </c>
      <c r="G52" s="16">
        <f>+'2011'!D52</f>
        <v>-395830.38754665822</v>
      </c>
      <c r="I52" s="8">
        <f t="shared" si="20"/>
        <v>79216.812540252446</v>
      </c>
      <c r="J52" s="8">
        <f t="shared" si="21"/>
        <v>15510.051109645607</v>
      </c>
      <c r="K52" s="8">
        <v>0</v>
      </c>
      <c r="L52" s="16">
        <f>+'2011'!I52</f>
        <v>94726.863649898049</v>
      </c>
      <c r="M52" s="3"/>
      <c r="N52" s="8">
        <f t="shared" si="22"/>
        <v>-294589.95114686841</v>
      </c>
      <c r="O52" s="8">
        <f t="shared" si="23"/>
        <v>-22023.623859537329</v>
      </c>
      <c r="P52" s="8">
        <f t="shared" si="24"/>
        <v>15510.051109645607</v>
      </c>
      <c r="Q52" s="16">
        <f t="shared" si="25"/>
        <v>-301103.52389676007</v>
      </c>
      <c r="R52" s="3"/>
    </row>
    <row r="53" spans="2:22" x14ac:dyDescent="0.25">
      <c r="B53" s="34" t="s">
        <v>30</v>
      </c>
      <c r="C53" s="7" t="s">
        <v>31</v>
      </c>
      <c r="D53" s="8">
        <f t="shared" si="18"/>
        <v>-254194.96332577075</v>
      </c>
      <c r="E53" s="8">
        <f t="shared" si="19"/>
        <v>-14976.43917422927</v>
      </c>
      <c r="F53" s="8">
        <v>0</v>
      </c>
      <c r="G53" s="16">
        <f>+'2011'!D53</f>
        <v>-269171.40250000003</v>
      </c>
      <c r="I53" s="8">
        <f t="shared" si="20"/>
        <v>52909.850734714972</v>
      </c>
      <c r="J53" s="8">
        <f t="shared" si="21"/>
        <v>10359.347501922783</v>
      </c>
      <c r="K53" s="8">
        <v>0</v>
      </c>
      <c r="L53" s="16">
        <f>+'2011'!I53</f>
        <v>63269.198236637756</v>
      </c>
      <c r="M53" s="3"/>
      <c r="N53" s="8">
        <f t="shared" si="22"/>
        <v>-201285.11259105577</v>
      </c>
      <c r="O53" s="8">
        <f t="shared" si="23"/>
        <v>-14976.43917422927</v>
      </c>
      <c r="P53" s="8">
        <f t="shared" si="24"/>
        <v>10359.347501922783</v>
      </c>
      <c r="Q53" s="16">
        <f t="shared" si="25"/>
        <v>-205902.20426336228</v>
      </c>
      <c r="R53" s="3"/>
    </row>
    <row r="54" spans="2:22" x14ac:dyDescent="0.25">
      <c r="B54" s="35">
        <v>1860.15</v>
      </c>
      <c r="C54" s="7" t="s">
        <v>55</v>
      </c>
      <c r="D54" s="8">
        <f t="shared" si="18"/>
        <v>-19943.97087322763</v>
      </c>
      <c r="E54" s="8">
        <f t="shared" si="19"/>
        <v>-1175.041640351857</v>
      </c>
      <c r="F54" s="8">
        <v>0</v>
      </c>
      <c r="G54" s="16">
        <f>+'2011'!D54</f>
        <v>-21119.012513579488</v>
      </c>
      <c r="I54" s="8">
        <f t="shared" si="20"/>
        <v>5232.8423803564256</v>
      </c>
      <c r="J54" s="8">
        <f t="shared" si="21"/>
        <v>1024.5508518385168</v>
      </c>
      <c r="K54" s="8">
        <v>0</v>
      </c>
      <c r="L54" s="16">
        <f>+'2011'!I54</f>
        <v>6257.3932321949424</v>
      </c>
      <c r="M54" s="3"/>
      <c r="N54" s="8">
        <f t="shared" si="22"/>
        <v>-14711.128492871205</v>
      </c>
      <c r="O54" s="8">
        <f t="shared" si="23"/>
        <v>-1175.041640351857</v>
      </c>
      <c r="P54" s="8">
        <f t="shared" si="24"/>
        <v>1024.5508518385168</v>
      </c>
      <c r="Q54" s="16">
        <f t="shared" si="25"/>
        <v>-14861.619281384545</v>
      </c>
      <c r="R54" s="3"/>
      <c r="S54" s="3"/>
      <c r="T54" s="3"/>
      <c r="U54" s="3"/>
      <c r="V54" s="14"/>
    </row>
    <row r="55" spans="2:22" x14ac:dyDescent="0.25">
      <c r="B55" s="34" t="s">
        <v>32</v>
      </c>
      <c r="C55" s="7" t="s">
        <v>33</v>
      </c>
      <c r="D55" s="8">
        <v>0</v>
      </c>
      <c r="E55" s="8"/>
      <c r="F55" s="8">
        <v>0</v>
      </c>
      <c r="G55" s="16">
        <f>+'2011'!D55</f>
        <v>0</v>
      </c>
      <c r="I55" s="8">
        <f t="shared" si="20"/>
        <v>0</v>
      </c>
      <c r="J55" s="8">
        <f t="shared" si="21"/>
        <v>0</v>
      </c>
      <c r="K55" s="8">
        <v>0</v>
      </c>
      <c r="L55" s="16">
        <f>+'2011'!I55</f>
        <v>0</v>
      </c>
      <c r="M55" s="3"/>
      <c r="N55" s="8">
        <f t="shared" si="22"/>
        <v>0</v>
      </c>
      <c r="O55" s="8">
        <f t="shared" si="23"/>
        <v>0</v>
      </c>
      <c r="P55" s="8">
        <f t="shared" si="24"/>
        <v>0</v>
      </c>
      <c r="Q55" s="16">
        <f t="shared" si="25"/>
        <v>0</v>
      </c>
      <c r="R55" s="3"/>
      <c r="S55" s="3"/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v>0</v>
      </c>
      <c r="E56" s="20">
        <v>0</v>
      </c>
      <c r="F56" s="20">
        <v>0</v>
      </c>
      <c r="G56" s="21">
        <f t="shared" ref="G56" si="26">SUM(D56:F56)</f>
        <v>0</v>
      </c>
      <c r="I56" s="20"/>
      <c r="J56" s="20">
        <v>0</v>
      </c>
      <c r="K56" s="20">
        <v>0</v>
      </c>
      <c r="L56" s="21"/>
      <c r="M56" s="3"/>
      <c r="N56" s="20"/>
      <c r="O56" s="20">
        <v>0</v>
      </c>
      <c r="P56" s="20">
        <v>0</v>
      </c>
      <c r="Q56" s="21">
        <f t="shared" si="25"/>
        <v>0</v>
      </c>
      <c r="R56" s="3"/>
      <c r="S56" s="3"/>
      <c r="T56" s="3"/>
      <c r="U56" s="3"/>
      <c r="V56" s="14"/>
    </row>
    <row r="57" spans="2:22" x14ac:dyDescent="0.25">
      <c r="M57" s="3"/>
      <c r="R57" s="3"/>
      <c r="S57" s="3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-6526609.5299999993</v>
      </c>
      <c r="E58" s="21">
        <f>SUM(E44:E57)</f>
        <v>-384529.13999999966</v>
      </c>
      <c r="F58" s="21">
        <f>SUM(F44:F57)</f>
        <v>0</v>
      </c>
      <c r="G58" s="21">
        <f>SUM(G44:G57)</f>
        <v>-6911138.6699999999</v>
      </c>
      <c r="H58" s="9"/>
      <c r="I58" s="21">
        <f>SUM(I44:I57)</f>
        <v>1411931.86</v>
      </c>
      <c r="J58" s="21">
        <f>SUM(J44:J57)</f>
        <v>276445.55000000005</v>
      </c>
      <c r="K58" s="21">
        <f>SUM(K44:K57)</f>
        <v>0</v>
      </c>
      <c r="L58" s="21">
        <f>SUM(L44:L57)</f>
        <v>1688377.4100000001</v>
      </c>
      <c r="N58" s="21">
        <f>SUM(N44:N57)</f>
        <v>-5114677.6700000009</v>
      </c>
      <c r="O58" s="21">
        <f>SUM(O44:O57)</f>
        <v>-384529.13999999966</v>
      </c>
      <c r="P58" s="21">
        <f>SUM(P44:P57)</f>
        <v>276445.55000000005</v>
      </c>
      <c r="Q58" s="21">
        <f>SUM(Q44:Q57)</f>
        <v>-5222761.26</v>
      </c>
    </row>
    <row r="59" spans="2:22" x14ac:dyDescent="0.25">
      <c r="D59" s="5"/>
      <c r="E59" s="5"/>
    </row>
    <row r="60" spans="2:22" x14ac:dyDescent="0.25">
      <c r="G60" s="4"/>
    </row>
    <row r="61" spans="2:22" x14ac:dyDescent="0.25">
      <c r="B61" t="s">
        <v>10</v>
      </c>
      <c r="D61" s="22">
        <f>+D22+D39+D58</f>
        <v>38229391.259999998</v>
      </c>
      <c r="E61" s="22">
        <f>+E22+E39+E58</f>
        <v>1132906.3900000008</v>
      </c>
      <c r="F61" s="22">
        <f>+F22+F39+F58</f>
        <v>0</v>
      </c>
      <c r="G61" s="23">
        <f>+D61+E61+F61</f>
        <v>39362297.649999999</v>
      </c>
      <c r="I61" s="4">
        <f>+I22+I39+I58</f>
        <v>-19274042.659999996</v>
      </c>
      <c r="J61" s="4">
        <f>+J22+J39+J58</f>
        <v>-1340883.3799999999</v>
      </c>
      <c r="K61" s="4">
        <f>+K22+K39+K58</f>
        <v>0</v>
      </c>
      <c r="L61" s="13">
        <f>+I61+J61+K61</f>
        <v>-20614926.039999995</v>
      </c>
      <c r="N61" s="4">
        <f>+N22+N39+N58</f>
        <v>18955348.599999998</v>
      </c>
      <c r="O61" s="4">
        <f>+O22+O39+O58</f>
        <v>1132906.3900000008</v>
      </c>
      <c r="P61" s="4">
        <f>+P22+P39+P58</f>
        <v>-1340883.3799999999</v>
      </c>
      <c r="Q61" s="13">
        <f>+N61+O61+P61</f>
        <v>18747371.609999999</v>
      </c>
    </row>
    <row r="62" spans="2:22" ht="15.75" thickBot="1" x14ac:dyDescent="0.3">
      <c r="B62" s="2" t="s">
        <v>61</v>
      </c>
      <c r="C62" s="2"/>
      <c r="D62" s="18">
        <v>0</v>
      </c>
      <c r="E62" s="18">
        <v>0</v>
      </c>
      <c r="F62" s="18">
        <v>0</v>
      </c>
      <c r="G62" s="19">
        <f>+D62+E62+F62</f>
        <v>0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0</v>
      </c>
      <c r="O62" s="18">
        <f>+E62+F62</f>
        <v>0</v>
      </c>
      <c r="P62" s="18">
        <f>+J62+K62</f>
        <v>0</v>
      </c>
      <c r="Q62" s="18">
        <f>+N62+O62+P62</f>
        <v>0</v>
      </c>
    </row>
    <row r="63" spans="2:22" x14ac:dyDescent="0.25">
      <c r="L63"/>
    </row>
    <row r="64" spans="2:22" ht="15.75" thickBot="1" x14ac:dyDescent="0.3">
      <c r="B64" s="10" t="s">
        <v>64</v>
      </c>
      <c r="C64" s="2"/>
      <c r="D64" s="19">
        <f>+D61+D62</f>
        <v>38229391.259999998</v>
      </c>
      <c r="E64" s="19">
        <f>+E61+E62</f>
        <v>1132906.3900000008</v>
      </c>
      <c r="F64" s="19">
        <f>+F61+F62</f>
        <v>0</v>
      </c>
      <c r="G64" s="19">
        <f>+G61+G62</f>
        <v>39362297.649999999</v>
      </c>
      <c r="I64" s="19">
        <f>+I61+I62</f>
        <v>-19274042.659999996</v>
      </c>
      <c r="J64" s="19">
        <f>+J61+J62</f>
        <v>-1340883.3799999999</v>
      </c>
      <c r="K64" s="19">
        <f>+K61+K62</f>
        <v>0</v>
      </c>
      <c r="L64" s="19">
        <f>+L61+L62</f>
        <v>-20614926.039999995</v>
      </c>
      <c r="N64" s="19">
        <f>+N61+N62</f>
        <v>18955348.599999998</v>
      </c>
      <c r="O64" s="19">
        <f>+O61+O62</f>
        <v>1132906.3900000008</v>
      </c>
      <c r="P64" s="19">
        <f>+P61+P62</f>
        <v>-1340883.3799999999</v>
      </c>
      <c r="Q64" s="19">
        <f>+Q61+Q62</f>
        <v>18747371.609999999</v>
      </c>
    </row>
    <row r="66" spans="3:17" x14ac:dyDescent="0.25">
      <c r="E66" s="22"/>
      <c r="G66" s="9">
        <v>39362298</v>
      </c>
      <c r="Q66" s="23">
        <v>24146558</v>
      </c>
    </row>
    <row r="67" spans="3:17" x14ac:dyDescent="0.25">
      <c r="E67" s="22"/>
      <c r="G67" s="13">
        <f>+G66-G64</f>
        <v>0.35000000149011612</v>
      </c>
      <c r="Q67" s="23">
        <f>+Q66-Q64</f>
        <v>5399186.3900000006</v>
      </c>
    </row>
    <row r="68" spans="3:17" x14ac:dyDescent="0.25">
      <c r="C68" s="4">
        <f>-6911138.67+6526609.53</f>
        <v>-384529.13999999966</v>
      </c>
      <c r="D68" s="28"/>
      <c r="E68" s="28"/>
      <c r="F68" s="28"/>
      <c r="G68" s="29"/>
      <c r="H68" s="28"/>
      <c r="I68" s="28">
        <f>1688377.43-1411931.88</f>
        <v>276445.55000000005</v>
      </c>
      <c r="J68" s="28"/>
      <c r="K68" s="28"/>
      <c r="L68" s="29"/>
      <c r="M68" s="28"/>
      <c r="N68" s="28"/>
      <c r="O68" s="28"/>
      <c r="P68" s="28"/>
      <c r="Q68" s="29"/>
    </row>
    <row r="69" spans="3:17" x14ac:dyDescent="0.25">
      <c r="D69" s="22"/>
      <c r="E69" s="22"/>
      <c r="G69" s="28"/>
      <c r="I69" s="5"/>
      <c r="N69" s="5"/>
    </row>
    <row r="70" spans="3:17" x14ac:dyDescent="0.25">
      <c r="D70" t="s">
        <v>100</v>
      </c>
    </row>
    <row r="71" spans="3:17" x14ac:dyDescent="0.25">
      <c r="D71" s="23">
        <v>180921</v>
      </c>
      <c r="E71" s="22" t="s">
        <v>93</v>
      </c>
      <c r="G71" s="23">
        <f>+G7+G25</f>
        <v>180921.32</v>
      </c>
      <c r="I71" s="22"/>
    </row>
    <row r="72" spans="3:17" x14ac:dyDescent="0.25">
      <c r="D72" s="13">
        <v>2385250</v>
      </c>
      <c r="E72" t="s">
        <v>94</v>
      </c>
      <c r="G72" s="13">
        <f>+G26</f>
        <v>2385249.7799999998</v>
      </c>
      <c r="I72" s="22"/>
    </row>
    <row r="73" spans="3:17" x14ac:dyDescent="0.25">
      <c r="D73" s="13">
        <v>16866982</v>
      </c>
      <c r="E73" s="22" t="s">
        <v>95</v>
      </c>
      <c r="G73" s="23">
        <f>+G9+G10+G11+G15+G16+G58</f>
        <v>16866981.700000003</v>
      </c>
      <c r="I73" s="22" t="s">
        <v>101</v>
      </c>
    </row>
    <row r="74" spans="3:17" x14ac:dyDescent="0.25">
      <c r="D74" s="23">
        <v>8846369</v>
      </c>
      <c r="E74" t="s">
        <v>96</v>
      </c>
      <c r="G74" s="23">
        <f>+G13+G14</f>
        <v>8846369.0199999996</v>
      </c>
      <c r="I74" s="22"/>
    </row>
    <row r="75" spans="3:17" x14ac:dyDescent="0.25">
      <c r="D75" s="23">
        <v>2428925</v>
      </c>
      <c r="E75" s="22" t="s">
        <v>97</v>
      </c>
      <c r="G75" s="23">
        <f>+G17+G18+G19+G20</f>
        <v>2428924.8299999996</v>
      </c>
      <c r="I75" s="22"/>
    </row>
    <row r="76" spans="3:17" x14ac:dyDescent="0.25">
      <c r="D76" s="23">
        <v>8610259</v>
      </c>
      <c r="E76" t="s">
        <v>98</v>
      </c>
      <c r="G76" s="23">
        <f>+G8+G12</f>
        <v>8610258.6400000006</v>
      </c>
      <c r="I76" s="22"/>
    </row>
    <row r="77" spans="3:17" x14ac:dyDescent="0.25">
      <c r="D77" s="13">
        <v>43592</v>
      </c>
      <c r="E77" s="22" t="s">
        <v>99</v>
      </c>
      <c r="G77" s="13">
        <f>+G36</f>
        <v>43592.36</v>
      </c>
      <c r="I77" s="22"/>
    </row>
    <row r="79" spans="3:17" x14ac:dyDescent="0.25">
      <c r="D79" s="22">
        <f>SUM(D71:D78)</f>
        <v>39362298</v>
      </c>
      <c r="G79" s="22">
        <f>SUM(G71:G78)</f>
        <v>39362297.650000006</v>
      </c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1" orientation="landscape" r:id="rId1"/>
  <headerFooter>
    <oddFooter>&amp;C&amp;9Page &amp;P of &amp;N</oddFooter>
  </headerFooter>
  <ignoredErrors>
    <ignoredError sqref="B8:B3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5"/>
  <sheetViews>
    <sheetView workbookViewId="0">
      <selection activeCell="I16" sqref="I16"/>
    </sheetView>
  </sheetViews>
  <sheetFormatPr defaultRowHeight="15" x14ac:dyDescent="0.25"/>
  <cols>
    <col min="1" max="1" width="12" customWidth="1"/>
    <col min="2" max="2" width="9.5703125" bestFit="1" customWidth="1"/>
    <col min="3" max="3" width="35.42578125" bestFit="1" customWidth="1"/>
    <col min="4" max="5" width="14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2" max="12" width="15" style="9" bestFit="1" customWidth="1"/>
    <col min="13" max="13" width="2.7109375" customWidth="1"/>
    <col min="14" max="14" width="14.28515625" bestFit="1" customWidth="1"/>
    <col min="15" max="15" width="13.28515625" bestFit="1" customWidth="1"/>
    <col min="16" max="16" width="14" bestFit="1" customWidth="1"/>
    <col min="17" max="17" width="14.28515625" style="9" bestFit="1" customWidth="1"/>
    <col min="19" max="19" width="11.5703125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B2" s="9" t="s">
        <v>75</v>
      </c>
      <c r="C2" s="9"/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f>+'2018'!G7</f>
        <v>7637.8779999999997</v>
      </c>
      <c r="E7" s="4">
        <v>0</v>
      </c>
      <c r="F7" s="4">
        <v>0</v>
      </c>
      <c r="G7" s="13">
        <f>SUM(D7:F7)</f>
        <v>7637.8779999999997</v>
      </c>
      <c r="H7" s="4"/>
      <c r="I7" s="4">
        <f>+'2018'!L7</f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19" si="0">+D7+I7</f>
        <v>7637.8779999999997</v>
      </c>
      <c r="O7" s="4">
        <f t="shared" ref="O7:O20" si="1">+E7+F7</f>
        <v>0</v>
      </c>
      <c r="P7" s="4">
        <f>+J7+K7</f>
        <v>0</v>
      </c>
      <c r="Q7" s="13">
        <f>SUM(N7:P7)</f>
        <v>7637.8779999999997</v>
      </c>
      <c r="R7" s="4"/>
    </row>
    <row r="8" spans="2:22" x14ac:dyDescent="0.25">
      <c r="B8" s="6" t="s">
        <v>12</v>
      </c>
      <c r="C8" t="s">
        <v>13</v>
      </c>
      <c r="D8" s="4">
        <f>+'2018'!G8</f>
        <v>850124.96</v>
      </c>
      <c r="E8" s="4">
        <v>0</v>
      </c>
      <c r="F8" s="4">
        <v>0</v>
      </c>
      <c r="G8" s="13">
        <f>SUM(D8:F8)</f>
        <v>850124.96</v>
      </c>
      <c r="H8" s="4"/>
      <c r="I8" s="4">
        <f>+'2018'!L8</f>
        <v>-837126.92000000016</v>
      </c>
      <c r="J8" s="4">
        <f>-[1]Summary!$M7</f>
        <v>-835.9</v>
      </c>
      <c r="K8" s="4">
        <v>0</v>
      </c>
      <c r="L8" s="13">
        <f>SUM(I8:K8)</f>
        <v>-837962.82000000018</v>
      </c>
      <c r="M8" s="4"/>
      <c r="N8" s="4">
        <f t="shared" si="0"/>
        <v>12998.039999999804</v>
      </c>
      <c r="O8" s="4">
        <f t="shared" si="1"/>
        <v>0</v>
      </c>
      <c r="P8" s="4">
        <f>+J8+K8</f>
        <v>-835.9</v>
      </c>
      <c r="Q8" s="13">
        <f>SUM(N8:P8)</f>
        <v>12162.139999999805</v>
      </c>
      <c r="R8" s="4"/>
    </row>
    <row r="9" spans="2:22" x14ac:dyDescent="0.25">
      <c r="B9" t="s">
        <v>14</v>
      </c>
      <c r="C9" t="s">
        <v>15</v>
      </c>
      <c r="D9" s="4">
        <f>+'2018'!G9</f>
        <v>10575830.959999999</v>
      </c>
      <c r="E9" s="4">
        <v>328730</v>
      </c>
      <c r="F9" s="4">
        <v>0</v>
      </c>
      <c r="G9" s="13">
        <f t="shared" ref="G9:G38" si="2">SUM(D9:F9)</f>
        <v>10904560.959999999</v>
      </c>
      <c r="H9" s="4"/>
      <c r="I9" s="4">
        <f>+'2018'!L9</f>
        <v>-4855424.1499999994</v>
      </c>
      <c r="J9" s="4">
        <f>-[1]Summary!$M8</f>
        <v>-167191.69499999998</v>
      </c>
      <c r="K9" s="4">
        <v>0</v>
      </c>
      <c r="L9" s="13">
        <f t="shared" ref="L9:L38" si="3">SUM(I9:K9)</f>
        <v>-5022615.8449999997</v>
      </c>
      <c r="M9" s="4"/>
      <c r="N9" s="4">
        <f t="shared" si="0"/>
        <v>5720406.8099999996</v>
      </c>
      <c r="O9" s="4">
        <f t="shared" si="1"/>
        <v>328730</v>
      </c>
      <c r="P9" s="4">
        <f t="shared" ref="P9:P38" si="4">+J9+K9</f>
        <v>-167191.69499999998</v>
      </c>
      <c r="Q9" s="13">
        <f t="shared" ref="Q9:Q38" si="5">SUM(N9:P9)</f>
        <v>5881945.1149999993</v>
      </c>
      <c r="R9" s="4"/>
    </row>
    <row r="10" spans="2:22" x14ac:dyDescent="0.25">
      <c r="B10" t="s">
        <v>16</v>
      </c>
      <c r="C10" t="s">
        <v>17</v>
      </c>
      <c r="D10" s="4">
        <f>+'2018'!G10</f>
        <v>9218381.2599999998</v>
      </c>
      <c r="E10" s="4">
        <v>269975</v>
      </c>
      <c r="F10" s="4">
        <v>0</v>
      </c>
      <c r="G10" s="13">
        <f t="shared" si="2"/>
        <v>9488356.2599999998</v>
      </c>
      <c r="H10" s="4"/>
      <c r="I10" s="4">
        <f>+'2018'!L10</f>
        <v>-4498802.6400000006</v>
      </c>
      <c r="J10" s="4">
        <f>-[1]Summary!$M9</f>
        <v>-97557.23</v>
      </c>
      <c r="K10" s="4">
        <v>0</v>
      </c>
      <c r="L10" s="13">
        <f t="shared" si="3"/>
        <v>-4596359.870000001</v>
      </c>
      <c r="M10" s="4"/>
      <c r="N10" s="4">
        <f t="shared" si="0"/>
        <v>4719578.6199999992</v>
      </c>
      <c r="O10" s="4">
        <f t="shared" si="1"/>
        <v>269975</v>
      </c>
      <c r="P10" s="4">
        <f t="shared" si="4"/>
        <v>-97557.23</v>
      </c>
      <c r="Q10" s="13">
        <f t="shared" si="5"/>
        <v>4891996.3899999987</v>
      </c>
      <c r="R10" s="4"/>
    </row>
    <row r="11" spans="2:22" x14ac:dyDescent="0.25">
      <c r="B11" t="s">
        <v>18</v>
      </c>
      <c r="C11" t="s">
        <v>19</v>
      </c>
      <c r="D11" s="4">
        <f>+'2018'!G11</f>
        <v>6337939.6899999995</v>
      </c>
      <c r="E11" s="4">
        <v>331724</v>
      </c>
      <c r="F11" s="4">
        <v>0</v>
      </c>
      <c r="G11" s="13">
        <f t="shared" si="2"/>
        <v>6669663.6899999995</v>
      </c>
      <c r="H11" s="4"/>
      <c r="I11" s="4">
        <f>+'2018'!L11</f>
        <v>-2645022.3849999998</v>
      </c>
      <c r="J11" s="4">
        <f>-[1]Summary!$M10</f>
        <v>-136604.74999999997</v>
      </c>
      <c r="K11" s="4">
        <v>0</v>
      </c>
      <c r="L11" s="13">
        <f t="shared" si="3"/>
        <v>-2781627.1349999998</v>
      </c>
      <c r="M11" s="4"/>
      <c r="N11" s="4">
        <f t="shared" si="0"/>
        <v>3692917.3049999997</v>
      </c>
      <c r="O11" s="4">
        <f t="shared" si="1"/>
        <v>331724</v>
      </c>
      <c r="P11" s="4">
        <f t="shared" si="4"/>
        <v>-136604.74999999997</v>
      </c>
      <c r="Q11" s="13">
        <f t="shared" si="5"/>
        <v>3888036.5549999997</v>
      </c>
      <c r="R11" s="4"/>
    </row>
    <row r="12" spans="2:22" x14ac:dyDescent="0.25">
      <c r="B12" t="s">
        <v>20</v>
      </c>
      <c r="C12" t="s">
        <v>21</v>
      </c>
      <c r="D12" s="4">
        <f>+'2018'!G12</f>
        <v>10323461.23</v>
      </c>
      <c r="E12" s="4">
        <v>286691</v>
      </c>
      <c r="F12" s="4">
        <v>0</v>
      </c>
      <c r="G12" s="13">
        <f t="shared" si="2"/>
        <v>10610152.23</v>
      </c>
      <c r="H12" s="4"/>
      <c r="I12" s="4">
        <f>+'2018'!L12</f>
        <v>-4883295.8149999985</v>
      </c>
      <c r="J12" s="4">
        <f>-[1]Summary!$M11</f>
        <v>-189086.61000000004</v>
      </c>
      <c r="K12" s="4">
        <v>0</v>
      </c>
      <c r="L12" s="13">
        <f t="shared" si="3"/>
        <v>-5072382.4249999989</v>
      </c>
      <c r="M12" s="4"/>
      <c r="N12" s="4">
        <f t="shared" si="0"/>
        <v>5440165.4150000019</v>
      </c>
      <c r="O12" s="4">
        <f t="shared" si="1"/>
        <v>286691</v>
      </c>
      <c r="P12" s="4">
        <f t="shared" si="4"/>
        <v>-189086.61000000004</v>
      </c>
      <c r="Q12" s="13">
        <f t="shared" si="5"/>
        <v>5537769.8050000016</v>
      </c>
      <c r="R12" s="4"/>
    </row>
    <row r="13" spans="2:22" x14ac:dyDescent="0.25">
      <c r="B13" t="s">
        <v>22</v>
      </c>
      <c r="C13" t="s">
        <v>23</v>
      </c>
      <c r="D13" s="4">
        <f>+'2018'!G13</f>
        <v>3483976.46</v>
      </c>
      <c r="E13" s="4">
        <v>272210</v>
      </c>
      <c r="F13" s="4">
        <v>0</v>
      </c>
      <c r="G13" s="13">
        <f t="shared" si="2"/>
        <v>3756186.46</v>
      </c>
      <c r="H13" s="4"/>
      <c r="I13" s="4">
        <f>+'2018'!L13</f>
        <v>-709992.98499999999</v>
      </c>
      <c r="J13" s="4">
        <f>-[1]Summary!$M12</f>
        <v>-87534.815000000002</v>
      </c>
      <c r="K13" s="4">
        <v>0</v>
      </c>
      <c r="L13" s="13">
        <f t="shared" si="3"/>
        <v>-797527.8</v>
      </c>
      <c r="M13" s="4"/>
      <c r="N13" s="4">
        <f t="shared" si="0"/>
        <v>2773983.4750000001</v>
      </c>
      <c r="O13" s="4">
        <f t="shared" si="1"/>
        <v>272210</v>
      </c>
      <c r="P13" s="4">
        <f t="shared" si="4"/>
        <v>-87534.815000000002</v>
      </c>
      <c r="Q13" s="13">
        <f t="shared" si="5"/>
        <v>2958658.66</v>
      </c>
      <c r="R13" s="4"/>
    </row>
    <row r="14" spans="2:22" x14ac:dyDescent="0.25">
      <c r="B14" t="s">
        <v>24</v>
      </c>
      <c r="C14" t="s">
        <v>25</v>
      </c>
      <c r="D14" s="4">
        <f>+'2018'!G14</f>
        <v>8294150.9100000001</v>
      </c>
      <c r="E14" s="4">
        <v>116009</v>
      </c>
      <c r="F14" s="4">
        <v>0</v>
      </c>
      <c r="G14" s="27">
        <f t="shared" si="2"/>
        <v>8410159.9100000001</v>
      </c>
      <c r="H14" s="4"/>
      <c r="I14" s="4">
        <f>+'2018'!L14</f>
        <v>-5410784.5699999994</v>
      </c>
      <c r="J14" s="4">
        <f>-[1]Summary!$M13</f>
        <v>-125031.59999999999</v>
      </c>
      <c r="K14" s="4">
        <v>0</v>
      </c>
      <c r="L14" s="13">
        <f t="shared" si="3"/>
        <v>-5535816.169999999</v>
      </c>
      <c r="M14" s="4"/>
      <c r="N14" s="4">
        <f t="shared" si="0"/>
        <v>2883366.3400000008</v>
      </c>
      <c r="O14" s="4">
        <f t="shared" si="1"/>
        <v>116009</v>
      </c>
      <c r="P14" s="4">
        <f t="shared" si="4"/>
        <v>-125031.59999999999</v>
      </c>
      <c r="Q14" s="13">
        <f t="shared" si="5"/>
        <v>2874343.7400000007</v>
      </c>
      <c r="R14" s="4"/>
    </row>
    <row r="15" spans="2:22" x14ac:dyDescent="0.25">
      <c r="B15" t="s">
        <v>26</v>
      </c>
      <c r="C15" t="s">
        <v>27</v>
      </c>
      <c r="D15" s="4">
        <f>+'2018'!G15</f>
        <v>4832629.87</v>
      </c>
      <c r="E15" s="4">
        <v>112222</v>
      </c>
      <c r="F15" s="4">
        <v>0</v>
      </c>
      <c r="G15" s="13">
        <f t="shared" si="2"/>
        <v>4944851.87</v>
      </c>
      <c r="H15" s="4"/>
      <c r="I15" s="4">
        <f>+'2018'!L15</f>
        <v>-2621803.915</v>
      </c>
      <c r="J15" s="4">
        <f>-[1]Summary!$M14</f>
        <v>-78045.624999999971</v>
      </c>
      <c r="K15" s="4">
        <v>0</v>
      </c>
      <c r="L15" s="13">
        <f t="shared" si="3"/>
        <v>-2699849.54</v>
      </c>
      <c r="M15" s="4"/>
      <c r="N15" s="4">
        <f t="shared" si="0"/>
        <v>2210825.9550000001</v>
      </c>
      <c r="O15" s="4">
        <f t="shared" si="1"/>
        <v>112222</v>
      </c>
      <c r="P15" s="4">
        <f t="shared" si="4"/>
        <v>-78045.624999999971</v>
      </c>
      <c r="Q15" s="13">
        <f t="shared" si="5"/>
        <v>2245002.33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+'2018'!G16</f>
        <v>1384990.95</v>
      </c>
      <c r="E16" s="4">
        <v>29456</v>
      </c>
      <c r="F16" s="4">
        <v>0</v>
      </c>
      <c r="G16" s="27">
        <f t="shared" si="2"/>
        <v>1414446.95</v>
      </c>
      <c r="H16" s="4"/>
      <c r="I16" s="4">
        <f>+'2018'!L16</f>
        <v>-397623.76</v>
      </c>
      <c r="J16" s="4">
        <f>-[1]Summary!$M15</f>
        <v>-33006.14</v>
      </c>
      <c r="K16" s="4">
        <v>0</v>
      </c>
      <c r="L16" s="13">
        <f t="shared" si="3"/>
        <v>-430629.9</v>
      </c>
      <c r="M16" s="4"/>
      <c r="N16" s="4">
        <f t="shared" si="0"/>
        <v>987367.19</v>
      </c>
      <c r="O16" s="4">
        <f t="shared" si="1"/>
        <v>29456</v>
      </c>
      <c r="P16" s="4">
        <f t="shared" si="4"/>
        <v>-33006.14</v>
      </c>
      <c r="Q16" s="13">
        <f t="shared" si="5"/>
        <v>983817.04999999993</v>
      </c>
      <c r="R16" s="4"/>
      <c r="U16" s="26"/>
    </row>
    <row r="17" spans="1:22" x14ac:dyDescent="0.25">
      <c r="B17" t="s">
        <v>30</v>
      </c>
      <c r="C17" t="s">
        <v>31</v>
      </c>
      <c r="D17" s="4">
        <f>+'2018'!G17</f>
        <v>0</v>
      </c>
      <c r="E17" s="4">
        <v>0</v>
      </c>
      <c r="F17" s="4">
        <v>0</v>
      </c>
      <c r="G17" s="13">
        <f t="shared" si="2"/>
        <v>0</v>
      </c>
      <c r="H17" s="4"/>
      <c r="I17" s="4">
        <f>+'2018'!L17</f>
        <v>0</v>
      </c>
      <c r="J17" s="4">
        <f>-[1]Summary!$M16</f>
        <v>0</v>
      </c>
      <c r="K17" s="4">
        <v>0</v>
      </c>
      <c r="L17" s="13">
        <f t="shared" si="3"/>
        <v>0</v>
      </c>
      <c r="M17" s="4"/>
      <c r="N17" s="4">
        <f t="shared" si="0"/>
        <v>0</v>
      </c>
      <c r="O17" s="4">
        <f t="shared" si="1"/>
        <v>0</v>
      </c>
      <c r="P17" s="4">
        <f t="shared" si="4"/>
        <v>0</v>
      </c>
      <c r="Q17" s="13">
        <f t="shared" si="5"/>
        <v>0</v>
      </c>
      <c r="R17" s="4"/>
      <c r="T17" s="5">
        <f>+N17</f>
        <v>0</v>
      </c>
      <c r="U17" s="26">
        <f>+T17/T19</f>
        <v>0</v>
      </c>
      <c r="V17" s="13">
        <f>+U17*N53</f>
        <v>0</v>
      </c>
    </row>
    <row r="18" spans="1:22" x14ac:dyDescent="0.25">
      <c r="B18" s="1">
        <v>1860.15</v>
      </c>
      <c r="C18" t="s">
        <v>55</v>
      </c>
      <c r="D18" s="4">
        <f>+'2018'!G18</f>
        <v>3212249.79</v>
      </c>
      <c r="E18" s="4">
        <f>12492+491</f>
        <v>12983</v>
      </c>
      <c r="F18" s="4"/>
      <c r="G18" s="13">
        <f t="shared" si="2"/>
        <v>3225232.79</v>
      </c>
      <c r="H18" s="4"/>
      <c r="I18" s="4">
        <f>+'2018'!L18</f>
        <v>-1842842.2099999997</v>
      </c>
      <c r="J18" s="4">
        <f>-[1]Summary!$M17</f>
        <v>-214582.75499999998</v>
      </c>
      <c r="K18" s="4">
        <v>0</v>
      </c>
      <c r="L18" s="13">
        <f t="shared" ref="L18" si="6">SUM(I18:K18)</f>
        <v>-2057424.9649999996</v>
      </c>
      <c r="M18" s="4"/>
      <c r="N18" s="4">
        <f t="shared" si="0"/>
        <v>1369407.5800000003</v>
      </c>
      <c r="O18" s="4">
        <f t="shared" si="1"/>
        <v>12983</v>
      </c>
      <c r="P18" s="4">
        <f t="shared" si="4"/>
        <v>-214582.75499999998</v>
      </c>
      <c r="Q18" s="13">
        <f t="shared" ref="Q18" si="7">SUM(N18:P18)</f>
        <v>1167807.8250000004</v>
      </c>
      <c r="R18" s="4"/>
      <c r="T18" s="5">
        <f>+N19</f>
        <v>32216.040000000008</v>
      </c>
      <c r="U18" s="26">
        <f>+T18/T19</f>
        <v>1</v>
      </c>
      <c r="V18" s="13">
        <f>+N53-V17</f>
        <v>0</v>
      </c>
    </row>
    <row r="19" spans="1:22" x14ac:dyDescent="0.25">
      <c r="B19" t="s">
        <v>32</v>
      </c>
      <c r="C19" t="s">
        <v>33</v>
      </c>
      <c r="D19" s="4">
        <f>+'2018'!G19</f>
        <v>94211.66</v>
      </c>
      <c r="E19" s="4">
        <v>0</v>
      </c>
      <c r="F19" s="4">
        <v>0</v>
      </c>
      <c r="G19" s="13">
        <f t="shared" si="2"/>
        <v>94211.66</v>
      </c>
      <c r="H19" s="4"/>
      <c r="I19" s="4">
        <f>+'2018'!L19</f>
        <v>-61995.619999999995</v>
      </c>
      <c r="J19" s="4">
        <f>-[1]Summary!$M18</f>
        <v>-7065.9500000000007</v>
      </c>
      <c r="K19" s="4">
        <v>0</v>
      </c>
      <c r="L19" s="13">
        <f t="shared" si="3"/>
        <v>-69061.569999999992</v>
      </c>
      <c r="M19" s="4"/>
      <c r="N19" s="4">
        <f t="shared" si="0"/>
        <v>32216.040000000008</v>
      </c>
      <c r="O19" s="4">
        <f t="shared" si="1"/>
        <v>0</v>
      </c>
      <c r="P19" s="4">
        <f t="shared" si="4"/>
        <v>-7065.9500000000007</v>
      </c>
      <c r="Q19" s="13">
        <f t="shared" si="5"/>
        <v>25150.090000000007</v>
      </c>
      <c r="R19" s="4"/>
      <c r="T19" s="5">
        <f>+T17+T18</f>
        <v>32216.040000000008</v>
      </c>
      <c r="U19" s="26"/>
    </row>
    <row r="20" spans="1:22" ht="15.75" thickBot="1" x14ac:dyDescent="0.3">
      <c r="B20" s="2" t="s">
        <v>34</v>
      </c>
      <c r="C20" s="2" t="s">
        <v>35</v>
      </c>
      <c r="D20" s="18">
        <f>+'2018'!G20</f>
        <v>73618.78</v>
      </c>
      <c r="E20" s="18">
        <v>0</v>
      </c>
      <c r="F20" s="18">
        <v>0</v>
      </c>
      <c r="G20" s="19">
        <f t="shared" si="2"/>
        <v>73618.78</v>
      </c>
      <c r="H20" s="18"/>
      <c r="I20" s="18">
        <f>+'2018'!L20</f>
        <v>-27515.649999999994</v>
      </c>
      <c r="J20" s="18">
        <f>-[1]Summary!$M19</f>
        <v>-2385.3000000000002</v>
      </c>
      <c r="K20" s="18">
        <v>0</v>
      </c>
      <c r="L20" s="19">
        <f t="shared" si="3"/>
        <v>-29900.949999999993</v>
      </c>
      <c r="M20" s="18"/>
      <c r="N20" s="18">
        <f>+'2013'!Q20</f>
        <v>58029.63</v>
      </c>
      <c r="O20" s="18">
        <f t="shared" si="1"/>
        <v>0</v>
      </c>
      <c r="P20" s="18">
        <f t="shared" si="4"/>
        <v>-2385.3000000000002</v>
      </c>
      <c r="Q20" s="19">
        <f t="shared" si="5"/>
        <v>55644.329999999994</v>
      </c>
      <c r="R20" s="18"/>
      <c r="V20" s="13">
        <f>+V17+V18</f>
        <v>0</v>
      </c>
    </row>
    <row r="21" spans="1:22" x14ac:dyDescent="0.25">
      <c r="D21" s="4"/>
      <c r="E21" s="4"/>
      <c r="F21" s="4"/>
      <c r="G21" s="13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1:22" s="9" customFormat="1" ht="15.75" thickBot="1" x14ac:dyDescent="0.3">
      <c r="A22"/>
      <c r="B22" s="10" t="s">
        <v>57</v>
      </c>
      <c r="C22" s="10"/>
      <c r="D22" s="19">
        <f>SUM(D7:D21)</f>
        <v>58689204.398000002</v>
      </c>
      <c r="E22" s="19">
        <f>SUM(E7:E21)</f>
        <v>1760000</v>
      </c>
      <c r="F22" s="19">
        <f>SUM(F7:F21)</f>
        <v>0</v>
      </c>
      <c r="G22" s="19">
        <f>SUM(G7:G21)</f>
        <v>60449204.398000002</v>
      </c>
      <c r="H22" s="19"/>
      <c r="I22" s="19">
        <f>SUM(I7:I21)</f>
        <v>-28792230.620000001</v>
      </c>
      <c r="J22" s="19">
        <f>SUM(J7:J21)</f>
        <v>-1138928.3699999999</v>
      </c>
      <c r="K22" s="19">
        <f>SUM(K7:K21)</f>
        <v>0</v>
      </c>
      <c r="L22" s="19">
        <f>SUM(L7:L21)</f>
        <v>-29931158.989999995</v>
      </c>
      <c r="M22" s="19"/>
      <c r="N22" s="19">
        <f>SUM(N7:N21)</f>
        <v>29908900.278000001</v>
      </c>
      <c r="O22" s="19">
        <f>SUM(O7:O21)</f>
        <v>1760000</v>
      </c>
      <c r="P22" s="19">
        <f>SUM(P7:P21)</f>
        <v>-1138928.3699999999</v>
      </c>
      <c r="Q22" s="19">
        <f>SUM(Q7:Q21)</f>
        <v>30529971.908000004</v>
      </c>
      <c r="R22" s="19"/>
    </row>
    <row r="23" spans="1:22" x14ac:dyDescent="0.25">
      <c r="D23" s="4"/>
      <c r="E23" s="4"/>
      <c r="F23" s="4"/>
      <c r="G23" s="13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1:22" x14ac:dyDescent="0.25">
      <c r="D24" s="4"/>
      <c r="E24" s="4"/>
      <c r="F24" s="4"/>
      <c r="G24" s="13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1:22" x14ac:dyDescent="0.25">
      <c r="B25" s="31">
        <v>1905</v>
      </c>
      <c r="C25" t="s">
        <v>56</v>
      </c>
      <c r="D25" s="4">
        <f>+'2018'!G25</f>
        <v>174187.53</v>
      </c>
      <c r="E25" s="4"/>
      <c r="F25" s="4">
        <v>0</v>
      </c>
      <c r="G25" s="13">
        <f t="shared" ref="G25" si="8">SUM(D25:F25)</f>
        <v>174187.53</v>
      </c>
      <c r="H25" s="4"/>
      <c r="I25" s="4">
        <f>+'2018'!L25</f>
        <v>0</v>
      </c>
      <c r="J25" s="4">
        <v>0</v>
      </c>
      <c r="K25" s="4">
        <v>0</v>
      </c>
      <c r="L25" s="13">
        <f t="shared" ref="L25" si="9">SUM(I25:K25)</f>
        <v>0</v>
      </c>
      <c r="M25" s="4"/>
      <c r="N25" s="4">
        <f t="shared" ref="N25:N38" si="10">+D25+I25</f>
        <v>174187.53</v>
      </c>
      <c r="O25" s="4">
        <f t="shared" ref="O25:O38" si="11">+E25+F25</f>
        <v>0</v>
      </c>
      <c r="P25" s="4">
        <f t="shared" ref="P25" si="12">+J25+K25</f>
        <v>0</v>
      </c>
      <c r="Q25" s="13">
        <f t="shared" ref="Q25" si="13">SUM(N25:P25)</f>
        <v>174187.53</v>
      </c>
      <c r="R25" s="4"/>
    </row>
    <row r="26" spans="1:22" x14ac:dyDescent="0.25">
      <c r="B26" s="32" t="s">
        <v>36</v>
      </c>
      <c r="C26" t="s">
        <v>37</v>
      </c>
      <c r="D26" s="4">
        <f>+'2018'!G26</f>
        <v>2721552.27</v>
      </c>
      <c r="E26" s="4">
        <v>0</v>
      </c>
      <c r="F26" s="4">
        <v>0</v>
      </c>
      <c r="G26" s="13">
        <f t="shared" si="2"/>
        <v>2721552.27</v>
      </c>
      <c r="H26" s="4"/>
      <c r="I26" s="4">
        <f>+'2018'!L26</f>
        <v>-1167471.395</v>
      </c>
      <c r="J26" s="4">
        <f>-[1]Summary!$M20</f>
        <v>-40880.179999999993</v>
      </c>
      <c r="K26" s="4">
        <v>0</v>
      </c>
      <c r="L26" s="13">
        <f t="shared" si="3"/>
        <v>-1208351.575</v>
      </c>
      <c r="M26" s="4"/>
      <c r="N26" s="4">
        <f t="shared" si="10"/>
        <v>1554080.875</v>
      </c>
      <c r="O26" s="4">
        <f t="shared" si="11"/>
        <v>0</v>
      </c>
      <c r="P26" s="4">
        <f t="shared" si="4"/>
        <v>-40880.179999999993</v>
      </c>
      <c r="Q26" s="13">
        <f t="shared" si="5"/>
        <v>1513200.6950000001</v>
      </c>
      <c r="R26" s="4"/>
    </row>
    <row r="27" spans="1:22" x14ac:dyDescent="0.25">
      <c r="B27" s="32" t="s">
        <v>38</v>
      </c>
      <c r="C27" t="s">
        <v>39</v>
      </c>
      <c r="D27" s="4">
        <f>+'2018'!G27</f>
        <v>22164.09</v>
      </c>
      <c r="E27" s="4">
        <v>0</v>
      </c>
      <c r="F27" s="4">
        <v>0</v>
      </c>
      <c r="G27" s="13">
        <f t="shared" si="2"/>
        <v>22164.09</v>
      </c>
      <c r="H27" s="4"/>
      <c r="I27" s="4">
        <f>+'2018'!L27</f>
        <v>-15872.230000000001</v>
      </c>
      <c r="J27" s="4">
        <f>-[1]Summary!$M21</f>
        <v>-2362.7600000000002</v>
      </c>
      <c r="K27" s="4">
        <v>0</v>
      </c>
      <c r="L27" s="13">
        <f t="shared" si="3"/>
        <v>-18234.990000000002</v>
      </c>
      <c r="M27" s="4"/>
      <c r="N27" s="4">
        <f t="shared" si="10"/>
        <v>6291.8599999999988</v>
      </c>
      <c r="O27" s="4">
        <f t="shared" si="11"/>
        <v>0</v>
      </c>
      <c r="P27" s="4">
        <f t="shared" si="4"/>
        <v>-2362.7600000000002</v>
      </c>
      <c r="Q27" s="13">
        <f t="shared" si="5"/>
        <v>3929.0999999999985</v>
      </c>
      <c r="R27" s="4"/>
    </row>
    <row r="28" spans="1:22" x14ac:dyDescent="0.25">
      <c r="B28" s="32" t="s">
        <v>40</v>
      </c>
      <c r="C28" t="s">
        <v>105</v>
      </c>
      <c r="D28" s="4">
        <f>+'2018'!G28</f>
        <v>281936.87</v>
      </c>
      <c r="E28" s="4">
        <v>5000</v>
      </c>
      <c r="F28" s="4">
        <v>0</v>
      </c>
      <c r="G28" s="27">
        <f t="shared" si="2"/>
        <v>286936.87</v>
      </c>
      <c r="H28" s="4"/>
      <c r="I28" s="4">
        <f>+'2018'!L28</f>
        <v>-125855.48</v>
      </c>
      <c r="J28" s="4">
        <f>-[1]Summary!$M22</f>
        <v>-28443.64</v>
      </c>
      <c r="K28" s="4">
        <v>0</v>
      </c>
      <c r="L28" s="13">
        <f t="shared" si="3"/>
        <v>-154299.12</v>
      </c>
      <c r="M28" s="4"/>
      <c r="N28" s="4">
        <f t="shared" si="10"/>
        <v>156081.39000000001</v>
      </c>
      <c r="O28" s="4">
        <f t="shared" si="11"/>
        <v>5000</v>
      </c>
      <c r="P28" s="4">
        <f t="shared" si="4"/>
        <v>-28443.64</v>
      </c>
      <c r="Q28" s="13">
        <f t="shared" si="5"/>
        <v>132637.75</v>
      </c>
      <c r="R28" s="4"/>
    </row>
    <row r="29" spans="1:22" x14ac:dyDescent="0.25">
      <c r="B29" s="32" t="s">
        <v>42</v>
      </c>
      <c r="C29" t="s">
        <v>43</v>
      </c>
      <c r="D29" s="4">
        <f>+'2018'!G29</f>
        <v>569056.80000000005</v>
      </c>
      <c r="E29" s="4">
        <v>65000</v>
      </c>
      <c r="F29" s="4">
        <v>0</v>
      </c>
      <c r="G29" s="13">
        <f t="shared" si="2"/>
        <v>634056.80000000005</v>
      </c>
      <c r="H29" s="4"/>
      <c r="I29" s="4">
        <f>+'2018'!L29</f>
        <v>-440256.72</v>
      </c>
      <c r="J29" s="4">
        <f>-[1]Summary!$M23</f>
        <v>-65300</v>
      </c>
      <c r="K29" s="4">
        <v>0</v>
      </c>
      <c r="L29" s="13">
        <f t="shared" si="3"/>
        <v>-505556.72</v>
      </c>
      <c r="M29" s="4"/>
      <c r="N29" s="4">
        <f t="shared" si="10"/>
        <v>128800.08000000007</v>
      </c>
      <c r="O29" s="4">
        <f t="shared" si="11"/>
        <v>65000</v>
      </c>
      <c r="P29" s="4">
        <f t="shared" si="4"/>
        <v>-65300</v>
      </c>
      <c r="Q29" s="13">
        <f t="shared" si="5"/>
        <v>128500.08000000007</v>
      </c>
      <c r="R29" s="4"/>
    </row>
    <row r="30" spans="1:22" x14ac:dyDescent="0.25">
      <c r="B30" s="32" t="s">
        <v>44</v>
      </c>
      <c r="C30" t="s">
        <v>45</v>
      </c>
      <c r="D30" s="4">
        <f>+'2018'!G30</f>
        <v>374601.23</v>
      </c>
      <c r="E30" s="4">
        <v>32000</v>
      </c>
      <c r="F30" s="4">
        <v>0</v>
      </c>
      <c r="G30" s="13">
        <f t="shared" si="2"/>
        <v>406601.23</v>
      </c>
      <c r="H30" s="4"/>
      <c r="I30" s="4">
        <f>+'2018'!L30</f>
        <v>-256901.22999999998</v>
      </c>
      <c r="J30" s="4">
        <f>-[1]Summary!$M24</f>
        <v>-23800</v>
      </c>
      <c r="K30" s="4">
        <v>0</v>
      </c>
      <c r="L30" s="13">
        <f t="shared" si="3"/>
        <v>-280701.23</v>
      </c>
      <c r="M30" s="4"/>
      <c r="N30" s="4">
        <f t="shared" si="10"/>
        <v>117700</v>
      </c>
      <c r="O30" s="4">
        <f t="shared" si="11"/>
        <v>32000</v>
      </c>
      <c r="P30" s="4">
        <f t="shared" si="4"/>
        <v>-23800</v>
      </c>
      <c r="Q30" s="13">
        <f t="shared" si="5"/>
        <v>125900</v>
      </c>
      <c r="R30" s="4"/>
    </row>
    <row r="31" spans="1:22" x14ac:dyDescent="0.25">
      <c r="B31" s="32" t="s">
        <v>46</v>
      </c>
      <c r="C31" t="s">
        <v>47</v>
      </c>
      <c r="D31" s="4">
        <f>+'2018'!G31</f>
        <v>423134.18</v>
      </c>
      <c r="E31" s="4">
        <v>0</v>
      </c>
      <c r="F31" s="4">
        <v>0</v>
      </c>
      <c r="G31" s="13">
        <f t="shared" si="2"/>
        <v>423134.18</v>
      </c>
      <c r="H31" s="4"/>
      <c r="I31" s="4">
        <f>+'2018'!L31</f>
        <v>-264693.93999999994</v>
      </c>
      <c r="J31" s="4">
        <f>-[1]Summary!$M25</f>
        <v>-42313.42</v>
      </c>
      <c r="K31" s="4">
        <v>0</v>
      </c>
      <c r="L31" s="13">
        <f t="shared" si="3"/>
        <v>-307007.35999999993</v>
      </c>
      <c r="M31" s="4"/>
      <c r="N31" s="4">
        <f t="shared" si="10"/>
        <v>158440.24000000005</v>
      </c>
      <c r="O31" s="4">
        <f t="shared" si="11"/>
        <v>0</v>
      </c>
      <c r="P31" s="4">
        <f t="shared" si="4"/>
        <v>-42313.42</v>
      </c>
      <c r="Q31" s="13">
        <f t="shared" si="5"/>
        <v>116126.82000000005</v>
      </c>
      <c r="R31" s="4"/>
    </row>
    <row r="32" spans="1:22" x14ac:dyDescent="0.25">
      <c r="B32" s="31">
        <v>1930</v>
      </c>
      <c r="C32" t="s">
        <v>59</v>
      </c>
      <c r="D32" s="4">
        <f>+'2018'!G32</f>
        <v>1711215.54</v>
      </c>
      <c r="E32" s="4">
        <v>0</v>
      </c>
      <c r="F32" s="4"/>
      <c r="G32" s="13">
        <f t="shared" si="2"/>
        <v>1711215.54</v>
      </c>
      <c r="H32" s="4"/>
      <c r="I32" s="4">
        <f>+'2018'!L32</f>
        <v>-793037.33666666667</v>
      </c>
      <c r="J32" s="4">
        <f>-[1]Summary!$M26</f>
        <v>-144476.60533333331</v>
      </c>
      <c r="K32" s="4"/>
      <c r="L32" s="13">
        <f t="shared" si="3"/>
        <v>-937513.94200000004</v>
      </c>
      <c r="M32" s="4"/>
      <c r="N32" s="4">
        <f t="shared" si="10"/>
        <v>918178.20333333337</v>
      </c>
      <c r="O32" s="4">
        <f t="shared" si="11"/>
        <v>0</v>
      </c>
      <c r="P32" s="4">
        <f t="shared" si="4"/>
        <v>-144476.60533333331</v>
      </c>
      <c r="Q32" s="13">
        <f t="shared" ref="Q32" si="14">SUM(N32:P32)</f>
        <v>773701.598</v>
      </c>
      <c r="R32" s="4"/>
    </row>
    <row r="33" spans="2:20" x14ac:dyDescent="0.25">
      <c r="B33" s="32" t="s">
        <v>48</v>
      </c>
      <c r="C33" t="s">
        <v>49</v>
      </c>
      <c r="D33" s="4">
        <f>+'2018'!G33</f>
        <v>508127.30000000005</v>
      </c>
      <c r="E33" s="4">
        <v>20000</v>
      </c>
      <c r="F33" s="4">
        <v>0</v>
      </c>
      <c r="G33" s="27">
        <f t="shared" si="2"/>
        <v>528127.30000000005</v>
      </c>
      <c r="H33" s="4"/>
      <c r="I33" s="4">
        <f>+'2018'!L33</f>
        <v>-313422.26999999996</v>
      </c>
      <c r="J33" s="4">
        <f>-[1]Summary!$M27</f>
        <v>-51812.729999999996</v>
      </c>
      <c r="K33" s="4">
        <v>0</v>
      </c>
      <c r="L33" s="13">
        <f t="shared" si="3"/>
        <v>-365234.99999999994</v>
      </c>
      <c r="M33" s="4"/>
      <c r="N33" s="4">
        <f t="shared" si="10"/>
        <v>194705.03000000009</v>
      </c>
      <c r="O33" s="4">
        <f t="shared" si="11"/>
        <v>20000</v>
      </c>
      <c r="P33" s="4">
        <f t="shared" si="4"/>
        <v>-51812.729999999996</v>
      </c>
      <c r="Q33" s="13">
        <f t="shared" si="5"/>
        <v>162892.3000000001</v>
      </c>
      <c r="R33" s="4"/>
    </row>
    <row r="34" spans="2:20" x14ac:dyDescent="0.25">
      <c r="B34" s="32" t="s">
        <v>50</v>
      </c>
      <c r="C34" t="s">
        <v>51</v>
      </c>
      <c r="D34" s="4">
        <f>+'2018'!G34</f>
        <v>12465.77</v>
      </c>
      <c r="E34" s="4">
        <v>0</v>
      </c>
      <c r="F34" s="4">
        <v>0</v>
      </c>
      <c r="G34" s="13">
        <f t="shared" si="2"/>
        <v>12465.77</v>
      </c>
      <c r="H34" s="4"/>
      <c r="I34" s="4">
        <f>+'2018'!L34</f>
        <v>-12465.72</v>
      </c>
      <c r="J34" s="4">
        <f>-[1]Summary!$M28</f>
        <v>0</v>
      </c>
      <c r="K34" s="4">
        <v>0</v>
      </c>
      <c r="L34" s="13">
        <f t="shared" si="3"/>
        <v>-12465.72</v>
      </c>
      <c r="M34" s="4"/>
      <c r="N34" s="4">
        <f t="shared" si="10"/>
        <v>5.0000000001091394E-2</v>
      </c>
      <c r="O34" s="4">
        <f t="shared" si="11"/>
        <v>0</v>
      </c>
      <c r="P34" s="4">
        <f t="shared" si="4"/>
        <v>0</v>
      </c>
      <c r="Q34" s="13">
        <f t="shared" si="5"/>
        <v>5.0000000001091394E-2</v>
      </c>
      <c r="R34" s="4"/>
    </row>
    <row r="35" spans="2:20" x14ac:dyDescent="0.25">
      <c r="B35" s="32" t="s">
        <v>52</v>
      </c>
      <c r="C35" t="s">
        <v>53</v>
      </c>
      <c r="D35" s="4">
        <f>+'2018'!G35</f>
        <v>200000</v>
      </c>
      <c r="E35" s="4">
        <v>0</v>
      </c>
      <c r="F35" s="4">
        <v>0</v>
      </c>
      <c r="G35" s="13">
        <f t="shared" si="2"/>
        <v>200000</v>
      </c>
      <c r="H35" s="4"/>
      <c r="I35" s="4">
        <f>+'2018'!L35</f>
        <v>-93333.31</v>
      </c>
      <c r="J35" s="4">
        <f>-[1]Summary!$M29</f>
        <v>-13333.33</v>
      </c>
      <c r="K35" s="4">
        <v>0</v>
      </c>
      <c r="L35" s="13">
        <f t="shared" si="3"/>
        <v>-106666.64</v>
      </c>
      <c r="M35" s="4"/>
      <c r="N35" s="4">
        <f t="shared" si="10"/>
        <v>106666.69</v>
      </c>
      <c r="O35" s="4">
        <f t="shared" si="11"/>
        <v>0</v>
      </c>
      <c r="P35" s="4">
        <f t="shared" si="4"/>
        <v>-13333.33</v>
      </c>
      <c r="Q35" s="13">
        <f t="shared" si="5"/>
        <v>93333.36</v>
      </c>
      <c r="R35" s="4"/>
    </row>
    <row r="36" spans="2:20" x14ac:dyDescent="0.25">
      <c r="B36" s="31">
        <v>1980</v>
      </c>
      <c r="C36" t="s">
        <v>54</v>
      </c>
      <c r="D36" s="4">
        <f>+'2018'!G36</f>
        <v>308001.20999999996</v>
      </c>
      <c r="E36" s="4">
        <v>100000</v>
      </c>
      <c r="F36" s="4"/>
      <c r="G36" s="13">
        <f t="shared" si="2"/>
        <v>408001.20999999996</v>
      </c>
      <c r="H36" s="4"/>
      <c r="I36" s="4">
        <f>+'2018'!L36</f>
        <v>-79251.189999999988</v>
      </c>
      <c r="J36" s="4">
        <f>-[1]Summary!$M30</f>
        <v>-15000</v>
      </c>
      <c r="K36" s="4"/>
      <c r="L36" s="13">
        <f t="shared" si="3"/>
        <v>-94251.189999999988</v>
      </c>
      <c r="M36" s="4"/>
      <c r="N36" s="4">
        <f t="shared" si="10"/>
        <v>228750.01999999996</v>
      </c>
      <c r="O36" s="4">
        <f t="shared" si="11"/>
        <v>100000</v>
      </c>
      <c r="P36" s="4">
        <f t="shared" si="4"/>
        <v>-15000</v>
      </c>
      <c r="Q36" s="13">
        <f t="shared" ref="Q36" si="15">SUM(N36:P36)</f>
        <v>313750.01999999996</v>
      </c>
      <c r="R36" s="4"/>
    </row>
    <row r="37" spans="2:20" ht="15.75" thickBot="1" x14ac:dyDescent="0.3">
      <c r="B37" s="33">
        <v>1980.1</v>
      </c>
      <c r="C37" s="2" t="s">
        <v>66</v>
      </c>
      <c r="D37" s="18">
        <f>+'2018'!G37</f>
        <v>667702.37</v>
      </c>
      <c r="E37" s="18">
        <v>0</v>
      </c>
      <c r="F37" s="18">
        <v>0</v>
      </c>
      <c r="G37" s="19">
        <f t="shared" si="2"/>
        <v>667702.37</v>
      </c>
      <c r="H37" s="18"/>
      <c r="I37" s="18">
        <f>+'2018'!L37</f>
        <v>-280206.40100000001</v>
      </c>
      <c r="J37" s="18">
        <f>-[1]Summary!$M31</f>
        <v>-49166.478000000003</v>
      </c>
      <c r="K37" s="18">
        <v>0</v>
      </c>
      <c r="L37" s="19">
        <f t="shared" si="3"/>
        <v>-329372.87900000002</v>
      </c>
      <c r="M37" s="18"/>
      <c r="N37" s="18">
        <f t="shared" si="10"/>
        <v>387495.96899999998</v>
      </c>
      <c r="O37" s="18">
        <f t="shared" si="11"/>
        <v>0</v>
      </c>
      <c r="P37" s="18">
        <f t="shared" si="4"/>
        <v>-49166.478000000003</v>
      </c>
      <c r="Q37" s="19">
        <f t="shared" si="5"/>
        <v>338329.49099999998</v>
      </c>
      <c r="R37" s="18"/>
    </row>
    <row r="38" spans="2:20" x14ac:dyDescent="0.25">
      <c r="D38" s="4"/>
      <c r="E38" s="4"/>
      <c r="F38" s="4">
        <v>0</v>
      </c>
      <c r="G38" s="13">
        <f t="shared" si="2"/>
        <v>0</v>
      </c>
      <c r="H38" s="4"/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0"/>
        <v>0</v>
      </c>
      <c r="O38" s="4">
        <f t="shared" si="11"/>
        <v>0</v>
      </c>
      <c r="P38" s="4">
        <f t="shared" si="4"/>
        <v>0</v>
      </c>
      <c r="Q38" s="13">
        <f t="shared" si="5"/>
        <v>0</v>
      </c>
      <c r="R38" s="4"/>
    </row>
    <row r="39" spans="2:20" s="9" customFormat="1" ht="15.75" thickBot="1" x14ac:dyDescent="0.3">
      <c r="B39" s="10" t="s">
        <v>58</v>
      </c>
      <c r="C39" s="10"/>
      <c r="D39" s="19">
        <f>SUM(D25:D38)</f>
        <v>7974145.1599999992</v>
      </c>
      <c r="E39" s="19">
        <f>SUM(E25:E38)</f>
        <v>222000</v>
      </c>
      <c r="F39" s="19">
        <f>SUM(F25:F38)</f>
        <v>0</v>
      </c>
      <c r="G39" s="19">
        <f>SUM(G25:G38)</f>
        <v>8196145.1599999983</v>
      </c>
      <c r="H39" s="19"/>
      <c r="I39" s="19">
        <f>SUM(I25:I38)</f>
        <v>-3842767.2226666673</v>
      </c>
      <c r="J39" s="19">
        <f>SUM(J25:J38)</f>
        <v>-476889.14333333331</v>
      </c>
      <c r="K39" s="19">
        <f>SUM(K25:K38)</f>
        <v>0</v>
      </c>
      <c r="L39" s="19">
        <f>SUM(L25:L38)</f>
        <v>-4319656.3660000004</v>
      </c>
      <c r="M39" s="19"/>
      <c r="N39" s="19">
        <f>SUM(N25:N38)</f>
        <v>4131377.9373333338</v>
      </c>
      <c r="O39" s="19">
        <f>SUM(O25:O38)</f>
        <v>222000</v>
      </c>
      <c r="P39" s="19">
        <f>SUM(P25:P38)</f>
        <v>-476889.14333333331</v>
      </c>
      <c r="Q39" s="19">
        <f>SUM(Q25:Q38)</f>
        <v>3876488.7939999998</v>
      </c>
      <c r="R39" s="19"/>
    </row>
    <row r="40" spans="2:20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2:20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2:20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2:20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  <c r="S43" s="28"/>
    </row>
    <row r="44" spans="2:20" x14ac:dyDescent="0.25">
      <c r="B44" s="24" t="s">
        <v>12</v>
      </c>
      <c r="C44" s="7" t="s">
        <v>13</v>
      </c>
      <c r="D44" s="8">
        <f>+'2018'!G44</f>
        <v>0</v>
      </c>
      <c r="E44" s="8">
        <v>0</v>
      </c>
      <c r="F44" s="8">
        <v>0</v>
      </c>
      <c r="G44" s="16">
        <f>SUM(D44:F44)</f>
        <v>0</v>
      </c>
      <c r="I44" s="8">
        <f>+'2018'!L44</f>
        <v>0</v>
      </c>
      <c r="J44" s="7"/>
      <c r="K44" s="7"/>
      <c r="L44" s="15"/>
      <c r="M44" s="4"/>
      <c r="N44" s="8">
        <f t="shared" ref="N44:N55" si="16">+D44+I44</f>
        <v>0</v>
      </c>
      <c r="O44" s="8">
        <f t="shared" ref="O44:O55" si="17">+E44+F44</f>
        <v>0</v>
      </c>
      <c r="P44" s="8">
        <f t="shared" ref="P44:P55" si="18">+J44+K44</f>
        <v>0</v>
      </c>
      <c r="Q44" s="16">
        <f t="shared" ref="Q44:Q53" si="19">SUM(N44:P44)</f>
        <v>0</v>
      </c>
      <c r="R44" s="4"/>
      <c r="S44" s="28"/>
    </row>
    <row r="45" spans="2:20" x14ac:dyDescent="0.25">
      <c r="B45" s="34" t="s">
        <v>14</v>
      </c>
      <c r="C45" s="7" t="s">
        <v>15</v>
      </c>
      <c r="D45" s="8">
        <f>+'2018'!G45</f>
        <v>-1348015.8299999998</v>
      </c>
      <c r="E45" s="8">
        <v>-3000</v>
      </c>
      <c r="F45" s="8">
        <v>0</v>
      </c>
      <c r="G45" s="16">
        <f>SUM(D45:F45)</f>
        <v>-1351015.8299999998</v>
      </c>
      <c r="I45" s="8">
        <f>+'2018'!L45</f>
        <v>532802.73037271283</v>
      </c>
      <c r="J45" s="8">
        <f>-[1]Summary!$M39</f>
        <v>24585.604999999989</v>
      </c>
      <c r="K45" s="8">
        <v>0</v>
      </c>
      <c r="L45" s="16">
        <f>SUM(I45:K45)</f>
        <v>557388.33537271281</v>
      </c>
      <c r="M45" s="4"/>
      <c r="N45" s="8">
        <f t="shared" si="16"/>
        <v>-815213.09962728701</v>
      </c>
      <c r="O45" s="8">
        <f t="shared" si="17"/>
        <v>-3000</v>
      </c>
      <c r="P45" s="8">
        <f t="shared" si="18"/>
        <v>24585.604999999989</v>
      </c>
      <c r="Q45" s="16">
        <f t="shared" si="19"/>
        <v>-793627.49462728703</v>
      </c>
      <c r="R45" s="4"/>
      <c r="S45" s="28"/>
      <c r="T45" s="22"/>
    </row>
    <row r="46" spans="2:20" x14ac:dyDescent="0.25">
      <c r="B46" s="34" t="s">
        <v>16</v>
      </c>
      <c r="C46" s="7" t="s">
        <v>17</v>
      </c>
      <c r="D46" s="8">
        <f>+'2018'!G46</f>
        <v>-1158800.3400000001</v>
      </c>
      <c r="E46" s="8">
        <v>-4000</v>
      </c>
      <c r="F46" s="8">
        <v>0</v>
      </c>
      <c r="G46" s="16">
        <f>SUM(D46:F46)</f>
        <v>-1162800.3400000001</v>
      </c>
      <c r="I46" s="8">
        <f>+'2018'!L46</f>
        <v>417008.19365983712</v>
      </c>
      <c r="J46" s="8">
        <f>-[1]Summary!$M40</f>
        <v>15405.575000000001</v>
      </c>
      <c r="K46" s="8">
        <v>0</v>
      </c>
      <c r="L46" s="16">
        <f>SUM(I46:K46)</f>
        <v>432413.76865983714</v>
      </c>
      <c r="M46" s="4"/>
      <c r="N46" s="8">
        <f t="shared" si="16"/>
        <v>-741792.14634016296</v>
      </c>
      <c r="O46" s="8">
        <f t="shared" si="17"/>
        <v>-4000</v>
      </c>
      <c r="P46" s="8">
        <f t="shared" si="18"/>
        <v>15405.575000000001</v>
      </c>
      <c r="Q46" s="16">
        <f t="shared" si="19"/>
        <v>-730386.57134016301</v>
      </c>
      <c r="R46" s="4"/>
      <c r="S46" s="28"/>
      <c r="T46" s="22"/>
    </row>
    <row r="47" spans="2:20" x14ac:dyDescent="0.25">
      <c r="B47" s="34" t="s">
        <v>18</v>
      </c>
      <c r="C47" s="7" t="s">
        <v>19</v>
      </c>
      <c r="D47" s="8">
        <f>+'2018'!G47</f>
        <v>-1034766.24</v>
      </c>
      <c r="E47" s="8">
        <v>-22000</v>
      </c>
      <c r="F47" s="8">
        <v>0</v>
      </c>
      <c r="G47" s="16">
        <f t="shared" ref="G47:G55" si="20">SUM(D47:F47)</f>
        <v>-1056766.24</v>
      </c>
      <c r="I47" s="8">
        <f>+'2018'!L47</f>
        <v>372429.44557171647</v>
      </c>
      <c r="J47" s="8">
        <f>-[1]Summary!$M41</f>
        <v>26142.82</v>
      </c>
      <c r="K47" s="8">
        <v>0</v>
      </c>
      <c r="L47" s="16">
        <f t="shared" ref="L47:L56" si="21">SUM(I47:K47)</f>
        <v>398572.26557171647</v>
      </c>
      <c r="M47" s="4"/>
      <c r="N47" s="8">
        <f t="shared" si="16"/>
        <v>-662336.79442828358</v>
      </c>
      <c r="O47" s="8">
        <f t="shared" si="17"/>
        <v>-22000</v>
      </c>
      <c r="P47" s="8">
        <f t="shared" si="18"/>
        <v>26142.82</v>
      </c>
      <c r="Q47" s="16">
        <f t="shared" si="19"/>
        <v>-658193.97442828363</v>
      </c>
      <c r="R47" s="4"/>
      <c r="S47" s="28"/>
      <c r="T47" s="22"/>
    </row>
    <row r="48" spans="2:20" x14ac:dyDescent="0.25">
      <c r="B48" s="34" t="s">
        <v>20</v>
      </c>
      <c r="C48" s="7" t="s">
        <v>21</v>
      </c>
      <c r="D48" s="8">
        <f>+'2018'!G48</f>
        <v>-1557037.5</v>
      </c>
      <c r="E48" s="8">
        <v>-34000</v>
      </c>
      <c r="F48" s="8">
        <v>0</v>
      </c>
      <c r="G48" s="16">
        <f t="shared" si="20"/>
        <v>-1591037.5</v>
      </c>
      <c r="I48" s="8">
        <f>+'2018'!L48</f>
        <v>585159.78715116705</v>
      </c>
      <c r="J48" s="8">
        <f>-[1]Summary!$M42</f>
        <v>34459.93</v>
      </c>
      <c r="K48" s="8">
        <v>0</v>
      </c>
      <c r="L48" s="16">
        <f t="shared" si="21"/>
        <v>619619.7171511671</v>
      </c>
      <c r="M48" s="4"/>
      <c r="N48" s="8">
        <f t="shared" si="16"/>
        <v>-971877.71284883295</v>
      </c>
      <c r="O48" s="8">
        <f t="shared" si="17"/>
        <v>-34000</v>
      </c>
      <c r="P48" s="8">
        <f t="shared" si="18"/>
        <v>34459.93</v>
      </c>
      <c r="Q48" s="16">
        <f t="shared" si="19"/>
        <v>-971417.7828488329</v>
      </c>
      <c r="R48" s="4"/>
      <c r="S48" s="28"/>
      <c r="T48" s="22"/>
    </row>
    <row r="49" spans="2:22" x14ac:dyDescent="0.25">
      <c r="B49" s="34" t="s">
        <v>22</v>
      </c>
      <c r="C49" s="7" t="s">
        <v>23</v>
      </c>
      <c r="D49" s="8">
        <f>+'2018'!G49</f>
        <v>-1490745.22</v>
      </c>
      <c r="E49" s="8">
        <v>-16000</v>
      </c>
      <c r="F49" s="8">
        <v>0</v>
      </c>
      <c r="G49" s="16">
        <f t="shared" si="20"/>
        <v>-1506745.22</v>
      </c>
      <c r="I49" s="8">
        <f>+'2018'!L49</f>
        <v>442036.69964880106</v>
      </c>
      <c r="J49" s="8">
        <f>-[1]Summary!$M43</f>
        <v>33441.460000000006</v>
      </c>
      <c r="K49" s="8">
        <v>0</v>
      </c>
      <c r="L49" s="16">
        <f t="shared" si="21"/>
        <v>475478.15964880108</v>
      </c>
      <c r="M49" s="4"/>
      <c r="N49" s="8">
        <f t="shared" si="16"/>
        <v>-1048708.520351199</v>
      </c>
      <c r="O49" s="8">
        <f t="shared" si="17"/>
        <v>-16000</v>
      </c>
      <c r="P49" s="8">
        <f t="shared" si="18"/>
        <v>33441.460000000006</v>
      </c>
      <c r="Q49" s="16">
        <f t="shared" si="19"/>
        <v>-1031267.060351199</v>
      </c>
      <c r="R49" s="4"/>
      <c r="S49" s="28"/>
      <c r="T49" s="22"/>
    </row>
    <row r="50" spans="2:22" x14ac:dyDescent="0.25">
      <c r="B50" s="34" t="s">
        <v>24</v>
      </c>
      <c r="C50" s="7" t="s">
        <v>25</v>
      </c>
      <c r="D50" s="8">
        <f>+'2018'!G50</f>
        <v>-567893.87</v>
      </c>
      <c r="E50" s="8">
        <v>-2000</v>
      </c>
      <c r="F50" s="8">
        <v>0</v>
      </c>
      <c r="G50" s="16">
        <f t="shared" si="20"/>
        <v>-569893.87</v>
      </c>
      <c r="I50" s="8">
        <f>+'2018'!L50</f>
        <v>243336.91799237079</v>
      </c>
      <c r="J50" s="8">
        <f>-[1]Summary!$M44</f>
        <v>14358.91</v>
      </c>
      <c r="K50" s="8">
        <v>0</v>
      </c>
      <c r="L50" s="16">
        <f t="shared" si="21"/>
        <v>257695.82799237079</v>
      </c>
      <c r="M50" s="4"/>
      <c r="N50" s="8">
        <f t="shared" si="16"/>
        <v>-324556.95200762921</v>
      </c>
      <c r="O50" s="8">
        <f t="shared" si="17"/>
        <v>-2000</v>
      </c>
      <c r="P50" s="8">
        <f t="shared" si="18"/>
        <v>14358.91</v>
      </c>
      <c r="Q50" s="16">
        <f t="shared" si="19"/>
        <v>-312198.04200762924</v>
      </c>
      <c r="R50" s="4"/>
      <c r="S50" s="28"/>
      <c r="T50" s="22"/>
    </row>
    <row r="51" spans="2:22" x14ac:dyDescent="0.25">
      <c r="B51" s="34" t="s">
        <v>26</v>
      </c>
      <c r="C51" s="7" t="s">
        <v>27</v>
      </c>
      <c r="D51" s="8">
        <f>+'2018'!G51</f>
        <v>-628631.77999999991</v>
      </c>
      <c r="E51" s="8">
        <v>-3000</v>
      </c>
      <c r="F51" s="8">
        <v>0</v>
      </c>
      <c r="G51" s="16">
        <f t="shared" si="20"/>
        <v>-631631.77999999991</v>
      </c>
      <c r="I51" s="8">
        <f>+'2018'!L51</f>
        <v>256897.94581226699</v>
      </c>
      <c r="J51" s="8">
        <f>-[1]Summary!$M45</f>
        <v>13558.57</v>
      </c>
      <c r="K51" s="8">
        <v>0</v>
      </c>
      <c r="L51" s="16">
        <f t="shared" si="21"/>
        <v>270456.51581226697</v>
      </c>
      <c r="M51" s="4"/>
      <c r="N51" s="8">
        <f t="shared" si="16"/>
        <v>-371733.83418773289</v>
      </c>
      <c r="O51" s="8">
        <f t="shared" si="17"/>
        <v>-3000</v>
      </c>
      <c r="P51" s="8">
        <f t="shared" si="18"/>
        <v>13558.57</v>
      </c>
      <c r="Q51" s="16">
        <f t="shared" si="19"/>
        <v>-361175.26418773289</v>
      </c>
      <c r="R51" s="4"/>
      <c r="S51" s="28"/>
      <c r="T51" s="22"/>
    </row>
    <row r="52" spans="2:22" x14ac:dyDescent="0.25">
      <c r="B52" s="34" t="s">
        <v>28</v>
      </c>
      <c r="C52" s="7" t="s">
        <v>29</v>
      </c>
      <c r="D52" s="8">
        <f>+'2018'!G52</f>
        <v>-455223.44999999995</v>
      </c>
      <c r="E52" s="8">
        <v>-7000</v>
      </c>
      <c r="F52" s="8">
        <v>0</v>
      </c>
      <c r="G52" s="16">
        <f t="shared" si="20"/>
        <v>-462223.44999999995</v>
      </c>
      <c r="I52" s="8">
        <f>+'2018'!L52</f>
        <v>172723.40820699275</v>
      </c>
      <c r="J52" s="8">
        <f>-[1]Summary!$M46</f>
        <v>9508.4599999999991</v>
      </c>
      <c r="K52" s="8">
        <v>0</v>
      </c>
      <c r="L52" s="16">
        <f t="shared" si="21"/>
        <v>182231.86820699275</v>
      </c>
      <c r="M52" s="3"/>
      <c r="N52" s="8">
        <f t="shared" si="16"/>
        <v>-282500.04179300717</v>
      </c>
      <c r="O52" s="8">
        <f t="shared" si="17"/>
        <v>-7000</v>
      </c>
      <c r="P52" s="8">
        <f t="shared" si="18"/>
        <v>9508.4599999999991</v>
      </c>
      <c r="Q52" s="16">
        <f t="shared" si="19"/>
        <v>-279991.58179300715</v>
      </c>
      <c r="R52" s="3"/>
      <c r="S52" s="28"/>
      <c r="T52" s="22"/>
    </row>
    <row r="53" spans="2:22" x14ac:dyDescent="0.25">
      <c r="B53" s="34" t="s">
        <v>30</v>
      </c>
      <c r="C53" s="7" t="s">
        <v>31</v>
      </c>
      <c r="D53" s="8">
        <f>+'2018'!G53</f>
        <v>0</v>
      </c>
      <c r="E53" s="8">
        <v>0</v>
      </c>
      <c r="F53" s="8">
        <v>0</v>
      </c>
      <c r="G53" s="16">
        <f t="shared" si="20"/>
        <v>0</v>
      </c>
      <c r="I53" s="8">
        <f>+'2018'!L53</f>
        <v>0</v>
      </c>
      <c r="J53" s="8">
        <f>-[1]Summary!$M47</f>
        <v>0</v>
      </c>
      <c r="K53" s="8">
        <v>0</v>
      </c>
      <c r="L53" s="16">
        <f t="shared" si="21"/>
        <v>0</v>
      </c>
      <c r="M53" s="3"/>
      <c r="N53" s="8">
        <f t="shared" si="16"/>
        <v>0</v>
      </c>
      <c r="O53" s="8">
        <f t="shared" si="17"/>
        <v>0</v>
      </c>
      <c r="P53" s="8">
        <f t="shared" si="18"/>
        <v>0</v>
      </c>
      <c r="Q53" s="16">
        <f t="shared" si="19"/>
        <v>0</v>
      </c>
      <c r="R53" s="3"/>
      <c r="S53" s="28"/>
      <c r="T53" s="22"/>
    </row>
    <row r="54" spans="2:22" x14ac:dyDescent="0.25">
      <c r="B54" s="35">
        <v>1860.15</v>
      </c>
      <c r="C54" s="7" t="s">
        <v>55</v>
      </c>
      <c r="D54" s="8">
        <f>+'2018'!G54</f>
        <v>-47842.06</v>
      </c>
      <c r="E54" s="8">
        <v>-9000</v>
      </c>
      <c r="F54" s="8">
        <v>0</v>
      </c>
      <c r="G54" s="16">
        <f t="shared" si="20"/>
        <v>-56842.06</v>
      </c>
      <c r="I54" s="8">
        <f>+'2018'!L54</f>
        <v>3836.8200000000006</v>
      </c>
      <c r="J54" s="8">
        <f>-[1]Summary!$M48</f>
        <v>1289.47</v>
      </c>
      <c r="K54" s="8">
        <v>0</v>
      </c>
      <c r="L54" s="16">
        <f t="shared" si="21"/>
        <v>5126.2900000000009</v>
      </c>
      <c r="M54" s="3"/>
      <c r="N54" s="8">
        <f t="shared" si="16"/>
        <v>-44005.24</v>
      </c>
      <c r="O54" s="8">
        <f t="shared" si="17"/>
        <v>-9000</v>
      </c>
      <c r="P54" s="8">
        <f t="shared" si="18"/>
        <v>1289.47</v>
      </c>
      <c r="Q54" s="16">
        <f t="shared" ref="Q54:Q55" si="22">SUM(N54:P54)</f>
        <v>-51715.77</v>
      </c>
      <c r="R54" s="3"/>
      <c r="S54" s="28"/>
      <c r="T54" s="22"/>
      <c r="U54" s="3"/>
      <c r="V54" s="14"/>
    </row>
    <row r="55" spans="2:22" x14ac:dyDescent="0.25">
      <c r="B55" s="34" t="s">
        <v>32</v>
      </c>
      <c r="C55" s="7" t="s">
        <v>33</v>
      </c>
      <c r="D55" s="8">
        <f>+'2018'!G55</f>
        <v>-12919.73</v>
      </c>
      <c r="E55" s="8">
        <v>0</v>
      </c>
      <c r="F55" s="8">
        <v>0</v>
      </c>
      <c r="G55" s="16">
        <f t="shared" si="20"/>
        <v>-12919.73</v>
      </c>
      <c r="I55" s="8">
        <f>+'2018'!L55</f>
        <v>21129.24</v>
      </c>
      <c r="J55" s="8">
        <f>-[1]Summary!$M49</f>
        <v>4127.72</v>
      </c>
      <c r="K55" s="8">
        <v>0</v>
      </c>
      <c r="L55" s="16">
        <f t="shared" si="21"/>
        <v>25256.960000000003</v>
      </c>
      <c r="M55" s="3"/>
      <c r="N55" s="8">
        <f t="shared" si="16"/>
        <v>8209.510000000002</v>
      </c>
      <c r="O55" s="8">
        <f t="shared" si="17"/>
        <v>0</v>
      </c>
      <c r="P55" s="8">
        <f t="shared" si="18"/>
        <v>4127.72</v>
      </c>
      <c r="Q55" s="16">
        <f t="shared" si="22"/>
        <v>12337.230000000003</v>
      </c>
      <c r="R55" s="3"/>
      <c r="S55" s="38"/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f>+'2018'!G56</f>
        <v>0</v>
      </c>
      <c r="E56" s="20">
        <v>0</v>
      </c>
      <c r="F56" s="20">
        <v>0</v>
      </c>
      <c r="G56" s="21">
        <f t="shared" ref="G56" si="23">SUM(D56:F56)</f>
        <v>0</v>
      </c>
      <c r="I56" s="20">
        <f>+'2018'!L56</f>
        <v>0</v>
      </c>
      <c r="J56" s="20">
        <v>0</v>
      </c>
      <c r="K56" s="20">
        <v>0</v>
      </c>
      <c r="L56" s="21">
        <f t="shared" si="21"/>
        <v>0</v>
      </c>
      <c r="M56" s="3"/>
      <c r="N56" s="20"/>
      <c r="O56" s="20">
        <v>0</v>
      </c>
      <c r="P56" s="20">
        <v>0</v>
      </c>
      <c r="Q56" s="21">
        <f t="shared" ref="Q56" si="24">SUM(N56:P56)</f>
        <v>0</v>
      </c>
      <c r="R56" s="3"/>
      <c r="S56" s="38"/>
      <c r="T56" s="3"/>
      <c r="U56" s="3"/>
      <c r="V56" s="14"/>
    </row>
    <row r="57" spans="2:22" x14ac:dyDescent="0.25">
      <c r="M57" s="3"/>
      <c r="R57" s="3"/>
      <c r="S57" s="38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-8301876.0200000005</v>
      </c>
      <c r="E58" s="21">
        <f>SUM(E44:E57)</f>
        <v>-100000</v>
      </c>
      <c r="F58" s="21">
        <f>SUM(F44:F57)</f>
        <v>0</v>
      </c>
      <c r="G58" s="21">
        <f>SUM(G44:G57)</f>
        <v>-8401876.0200000014</v>
      </c>
      <c r="H58" s="9"/>
      <c r="I58" s="21">
        <f>SUM(I44:I57)</f>
        <v>3047361.1884158649</v>
      </c>
      <c r="J58" s="21">
        <f>SUM(J44:J57)</f>
        <v>176878.52000000002</v>
      </c>
      <c r="K58" s="21">
        <f>SUM(K44:K57)</f>
        <v>0</v>
      </c>
      <c r="L58" s="21">
        <f>SUM(L44:L57)</f>
        <v>3224239.7084158654</v>
      </c>
      <c r="N58" s="21">
        <f>SUM(N44:N57)</f>
        <v>-5254514.8315841351</v>
      </c>
      <c r="O58" s="21">
        <f>SUM(O44:O57)</f>
        <v>-100000</v>
      </c>
      <c r="P58" s="21">
        <f>SUM(P44:P57)</f>
        <v>176878.52000000002</v>
      </c>
      <c r="Q58" s="21">
        <f>SUM(Q44:Q57)</f>
        <v>-5177636.3115841337</v>
      </c>
    </row>
    <row r="60" spans="2:22" x14ac:dyDescent="0.25">
      <c r="G60" s="4"/>
    </row>
    <row r="61" spans="2:22" x14ac:dyDescent="0.25">
      <c r="B61" t="s">
        <v>10</v>
      </c>
      <c r="D61" s="22">
        <f>+D22+D39+D58</f>
        <v>58361473.537999995</v>
      </c>
      <c r="E61" s="22">
        <f>+E22+E39+E58</f>
        <v>1882000</v>
      </c>
      <c r="F61" s="22">
        <f>+F22+F39+F58</f>
        <v>0</v>
      </c>
      <c r="G61" s="23">
        <f>+D61+E61+F61</f>
        <v>60243473.537999995</v>
      </c>
      <c r="I61" s="4">
        <f>+I22+I39+I58</f>
        <v>-29587636.654250801</v>
      </c>
      <c r="J61" s="4">
        <f>+J22+J39+J58</f>
        <v>-1438938.9933333332</v>
      </c>
      <c r="K61" s="4">
        <f>+K22+K39+K58</f>
        <v>0</v>
      </c>
      <c r="L61" s="13">
        <f>+I61+J61+K61</f>
        <v>-31026575.647584133</v>
      </c>
      <c r="N61" s="4">
        <f>+N22+N39+N58</f>
        <v>28785763.383749202</v>
      </c>
      <c r="O61" s="4">
        <f>+O22+O39+O58</f>
        <v>1882000</v>
      </c>
      <c r="P61" s="4">
        <f>+P22+P39+P58</f>
        <v>-1438938.9933333332</v>
      </c>
      <c r="Q61" s="13">
        <f>+N61+O61+P61</f>
        <v>29228824.39041587</v>
      </c>
    </row>
    <row r="62" spans="2:22" ht="15.75" thickBot="1" x14ac:dyDescent="0.3">
      <c r="B62" s="2" t="s">
        <v>61</v>
      </c>
      <c r="C62" s="2"/>
      <c r="D62" s="18">
        <f>+'2018'!G62</f>
        <v>0</v>
      </c>
      <c r="E62" s="18">
        <v>0</v>
      </c>
      <c r="F62" s="18">
        <v>0</v>
      </c>
      <c r="G62" s="19">
        <f>+D62+E62+F62</f>
        <v>0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0</v>
      </c>
      <c r="O62" s="18">
        <f>+E62+F62</f>
        <v>0</v>
      </c>
      <c r="P62" s="18">
        <f>+J62+K62</f>
        <v>0</v>
      </c>
      <c r="Q62" s="18">
        <f>+N62+O62+P62</f>
        <v>0</v>
      </c>
    </row>
    <row r="63" spans="2:22" x14ac:dyDescent="0.25">
      <c r="L63"/>
    </row>
    <row r="64" spans="2:22" ht="15.75" thickBot="1" x14ac:dyDescent="0.3">
      <c r="B64" s="10" t="s">
        <v>64</v>
      </c>
      <c r="C64" s="2"/>
      <c r="D64" s="19">
        <f>+D61+D62</f>
        <v>58361473.537999995</v>
      </c>
      <c r="E64" s="19">
        <f>+E61+E62</f>
        <v>1882000</v>
      </c>
      <c r="F64" s="19">
        <f>+F61+F62</f>
        <v>0</v>
      </c>
      <c r="G64" s="19">
        <f>+G61+G62</f>
        <v>60243473.537999995</v>
      </c>
      <c r="I64" s="19">
        <f>+I61+I62</f>
        <v>-29587636.654250801</v>
      </c>
      <c r="J64" s="19">
        <f>+J61+J62</f>
        <v>-1438938.9933333332</v>
      </c>
      <c r="K64" s="19">
        <f>+K61+K62</f>
        <v>0</v>
      </c>
      <c r="L64" s="19">
        <f>+L61+L62</f>
        <v>-31026575.647584133</v>
      </c>
      <c r="N64" s="19">
        <f>+N61+N62</f>
        <v>28785763.383749202</v>
      </c>
      <c r="O64" s="19">
        <f>+O61+O62</f>
        <v>1882000</v>
      </c>
      <c r="P64" s="19">
        <f>+P61+P62</f>
        <v>-1438938.9933333332</v>
      </c>
      <c r="Q64" s="19">
        <f>+Q61+Q62</f>
        <v>29228824.39041587</v>
      </c>
    </row>
    <row r="65" spans="5:17" x14ac:dyDescent="0.25">
      <c r="G65"/>
      <c r="L65"/>
      <c r="Q65"/>
    </row>
    <row r="66" spans="5:17" x14ac:dyDescent="0.25">
      <c r="G66"/>
      <c r="L66"/>
      <c r="Q66"/>
    </row>
    <row r="67" spans="5:17" x14ac:dyDescent="0.25">
      <c r="G67"/>
      <c r="L67"/>
      <c r="Q67"/>
    </row>
    <row r="68" spans="5:17" x14ac:dyDescent="0.25">
      <c r="G68"/>
      <c r="L68"/>
      <c r="Q68"/>
    </row>
    <row r="69" spans="5:17" x14ac:dyDescent="0.25">
      <c r="G69"/>
      <c r="L69"/>
      <c r="Q69"/>
    </row>
    <row r="70" spans="5:17" x14ac:dyDescent="0.25">
      <c r="G70"/>
      <c r="L70"/>
      <c r="Q70"/>
    </row>
    <row r="71" spans="5:17" x14ac:dyDescent="0.25">
      <c r="G71"/>
      <c r="L71"/>
      <c r="Q71"/>
    </row>
    <row r="72" spans="5:17" x14ac:dyDescent="0.25">
      <c r="G72"/>
      <c r="L72"/>
      <c r="Q72"/>
    </row>
    <row r="73" spans="5:17" x14ac:dyDescent="0.25">
      <c r="E73" s="22"/>
    </row>
    <row r="75" spans="5:17" x14ac:dyDescent="0.25">
      <c r="E75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8:D17 B21:K24 F17:I17 B18:D20 F20:I20 B25:D27 F25:K25 F8:I8 K8:Q8 F9:I9 K9:Q9 F10:I10 K10:Q10 F11:I11 K11:Q11 F12:I12 K12:Q12 F13:I13 K13:Q13 F14:I14 K14:Q14 F15:I15 K15:Q15 F16:I16 K16:Q16 K17:Q17 F18:I18 K18 F19:I19 K19 K20 F36:I36 F26:I26 K26 F27:I27 K27 F28:I28 K28 F29:I29 K29 F30:I30 K30 F31:I31 K31 F32:I32 K32 F33:I33 K33 F34:I34 K34 F35:I35 K35 K36 B29:D36 B28 D28 B44:B56" numberStoredAsText="1"/>
    <ignoredError sqref="L18:Q36" numberStoredAsText="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1"/>
  <sheetViews>
    <sheetView showGridLines="0" topLeftCell="A22" workbookViewId="0">
      <selection activeCell="C2" sqref="C2:S63"/>
    </sheetView>
  </sheetViews>
  <sheetFormatPr defaultRowHeight="15" x14ac:dyDescent="0.25"/>
  <cols>
    <col min="1" max="1" width="10.5703125" bestFit="1" customWidth="1"/>
    <col min="2" max="2" width="11.5703125" bestFit="1" customWidth="1"/>
    <col min="3" max="3" width="19.42578125" bestFit="1" customWidth="1"/>
    <col min="4" max="4" width="34.42578125" customWidth="1"/>
    <col min="5" max="5" width="15.42578125" bestFit="1" customWidth="1"/>
    <col min="6" max="6" width="11.5703125" bestFit="1" customWidth="1"/>
    <col min="7" max="7" width="9.7109375" bestFit="1" customWidth="1"/>
    <col min="8" max="8" width="1.5703125" customWidth="1"/>
    <col min="9" max="9" width="11.5703125" bestFit="1" customWidth="1"/>
    <col min="10" max="10" width="10.5703125" bestFit="1" customWidth="1"/>
    <col min="11" max="11" width="1.7109375" customWidth="1"/>
    <col min="12" max="12" width="11.5703125" bestFit="1" customWidth="1"/>
    <col min="13" max="13" width="10.5703125" bestFit="1" customWidth="1"/>
    <col min="14" max="14" width="1.7109375" customWidth="1"/>
    <col min="15" max="15" width="11.5703125" bestFit="1" customWidth="1"/>
    <col min="16" max="16" width="10.5703125" bestFit="1" customWidth="1"/>
    <col min="17" max="17" width="2.7109375" customWidth="1"/>
    <col min="18" max="18" width="11.5703125" bestFit="1" customWidth="1"/>
    <col min="19" max="19" width="11.28515625" bestFit="1" customWidth="1"/>
    <col min="20" max="20" width="2.7109375" customWidth="1"/>
    <col min="22" max="22" width="21.5703125" bestFit="1" customWidth="1"/>
    <col min="23" max="23" width="14.28515625" bestFit="1" customWidth="1"/>
    <col min="25" max="25" width="11.28515625" bestFit="1" customWidth="1"/>
  </cols>
  <sheetData>
    <row r="2" spans="3:25" ht="15.75" thickBot="1" x14ac:dyDescent="0.3">
      <c r="C2" s="71" t="s">
        <v>130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3:25" x14ac:dyDescent="0.25">
      <c r="E3" s="55">
        <v>2011</v>
      </c>
      <c r="F3" s="55">
        <v>2011</v>
      </c>
      <c r="G3" s="55">
        <v>2011</v>
      </c>
      <c r="I3" s="55">
        <v>2012</v>
      </c>
      <c r="J3" s="55">
        <v>2012</v>
      </c>
      <c r="L3" s="55">
        <v>2013</v>
      </c>
      <c r="M3" s="55">
        <f>+L3</f>
        <v>2013</v>
      </c>
      <c r="N3" s="55"/>
      <c r="O3" s="55">
        <v>2014</v>
      </c>
      <c r="P3" s="55">
        <f>+O3</f>
        <v>2014</v>
      </c>
      <c r="R3" s="55">
        <v>2015</v>
      </c>
      <c r="S3" s="55">
        <f>+R3</f>
        <v>2015</v>
      </c>
    </row>
    <row r="4" spans="3:25" x14ac:dyDescent="0.25">
      <c r="E4" s="55" t="s">
        <v>114</v>
      </c>
      <c r="F4" s="55" t="s">
        <v>127</v>
      </c>
      <c r="G4" s="55" t="s">
        <v>128</v>
      </c>
      <c r="I4" s="55" t="s">
        <v>127</v>
      </c>
      <c r="J4" s="55" t="s">
        <v>128</v>
      </c>
      <c r="L4" s="55" t="s">
        <v>127</v>
      </c>
      <c r="M4" s="55" t="s">
        <v>128</v>
      </c>
      <c r="N4" s="55"/>
      <c r="O4" s="55" t="s">
        <v>127</v>
      </c>
      <c r="P4" s="55" t="s">
        <v>128</v>
      </c>
      <c r="R4" s="55" t="s">
        <v>127</v>
      </c>
      <c r="S4" s="55" t="s">
        <v>128</v>
      </c>
    </row>
    <row r="5" spans="3:25" ht="15.75" thickBot="1" x14ac:dyDescent="0.3">
      <c r="C5" s="2"/>
      <c r="D5" s="2"/>
      <c r="E5" s="11" t="s">
        <v>126</v>
      </c>
      <c r="F5" s="11" t="s">
        <v>126</v>
      </c>
      <c r="G5" s="2"/>
      <c r="H5" s="2"/>
      <c r="I5" s="68" t="s">
        <v>126</v>
      </c>
      <c r="J5" s="2"/>
      <c r="K5" s="2"/>
      <c r="L5" s="68" t="s">
        <v>126</v>
      </c>
      <c r="M5" s="2"/>
      <c r="N5" s="2"/>
      <c r="O5" s="68" t="s">
        <v>126</v>
      </c>
      <c r="P5" s="2"/>
      <c r="Q5" s="2"/>
      <c r="R5" s="11" t="s">
        <v>129</v>
      </c>
      <c r="S5" s="2"/>
    </row>
    <row r="6" spans="3:25" x14ac:dyDescent="0.25">
      <c r="C6" s="9" t="s">
        <v>112</v>
      </c>
    </row>
    <row r="7" spans="3:25" x14ac:dyDescent="0.25">
      <c r="C7" s="9" t="s">
        <v>113</v>
      </c>
    </row>
    <row r="8" spans="3:25" x14ac:dyDescent="0.25">
      <c r="C8" s="57">
        <f>+'2011'!B7</f>
        <v>1806</v>
      </c>
      <c r="D8" s="53" t="str">
        <f>+'2011'!C7</f>
        <v>Land Rights / Right of Way</v>
      </c>
      <c r="E8" s="58">
        <v>6734</v>
      </c>
      <c r="F8" s="58">
        <f>+'2011'!G7</f>
        <v>6733.79</v>
      </c>
      <c r="G8" s="59">
        <f>+F8-E8</f>
        <v>-0.21000000000003638</v>
      </c>
      <c r="H8" s="58"/>
      <c r="I8" s="58">
        <f>+'2012'!$G7</f>
        <v>7637.8779999999997</v>
      </c>
      <c r="J8" s="58">
        <f>+I8-F8</f>
        <v>904.08799999999974</v>
      </c>
      <c r="K8" s="58"/>
      <c r="L8" s="58">
        <f>+'2013'!$G7</f>
        <v>7637.8779999999997</v>
      </c>
      <c r="M8" s="58">
        <f>+L8-I8</f>
        <v>0</v>
      </c>
      <c r="N8" s="65"/>
      <c r="O8" s="58">
        <f>+'2014'!$G7</f>
        <v>7637.8779999999997</v>
      </c>
      <c r="P8" s="58">
        <f>+O8-L8</f>
        <v>0</v>
      </c>
      <c r="Q8" s="58"/>
      <c r="R8" s="58">
        <f>+'2015'!$G7</f>
        <v>7637.8779999999997</v>
      </c>
      <c r="S8" s="58">
        <f>+R8-O8</f>
        <v>0</v>
      </c>
      <c r="T8" s="58"/>
      <c r="U8" s="44"/>
      <c r="V8" s="4"/>
      <c r="W8" s="4"/>
      <c r="X8" s="4"/>
      <c r="Y8" s="4"/>
    </row>
    <row r="9" spans="3:25" x14ac:dyDescent="0.25">
      <c r="C9" s="1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"/>
      <c r="W9" s="4"/>
      <c r="X9" s="4"/>
      <c r="Y9" s="4"/>
    </row>
    <row r="10" spans="3:25" s="9" customFormat="1" ht="14.25" customHeight="1" x14ac:dyDescent="0.25">
      <c r="C10" s="60" t="str">
        <f>+'2011'!B8</f>
        <v>1820.0000</v>
      </c>
      <c r="D10" s="53" t="str">
        <f>+'2011'!C8</f>
        <v>Distribution Station Equipment</v>
      </c>
      <c r="E10" s="58">
        <v>850125</v>
      </c>
      <c r="F10" s="58">
        <f>+'2011'!G8</f>
        <v>850124.96</v>
      </c>
      <c r="G10" s="59">
        <f>+F10-E10</f>
        <v>-4.0000000037252903E-2</v>
      </c>
      <c r="H10" s="58"/>
      <c r="I10" s="58">
        <f>+'2012'!$G8</f>
        <v>850124.96</v>
      </c>
      <c r="J10" s="58">
        <f>+I10-F10</f>
        <v>0</v>
      </c>
      <c r="K10" s="58"/>
      <c r="L10" s="58">
        <f>+'2013'!$G8</f>
        <v>850124.96</v>
      </c>
      <c r="M10" s="58">
        <f>+L10-I10</f>
        <v>0</v>
      </c>
      <c r="N10" s="65"/>
      <c r="O10" s="58">
        <f>+'2014'!$G8</f>
        <v>850124.96</v>
      </c>
      <c r="P10" s="58">
        <f>+O10-L10</f>
        <v>0</v>
      </c>
      <c r="Q10" s="58"/>
      <c r="R10" s="58">
        <f>+'2015'!$G8</f>
        <v>850124.96</v>
      </c>
      <c r="S10" s="58">
        <f>+R10-O10</f>
        <v>0</v>
      </c>
      <c r="T10" s="58"/>
      <c r="U10" s="52"/>
      <c r="V10" s="13"/>
      <c r="W10" s="13"/>
      <c r="X10" s="13"/>
      <c r="Y10" s="13"/>
    </row>
    <row r="11" spans="3:25" x14ac:dyDescent="0.25">
      <c r="C11" s="1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"/>
      <c r="W11" s="4"/>
      <c r="X11" s="4"/>
      <c r="Y11" s="4"/>
    </row>
    <row r="12" spans="3:25" x14ac:dyDescent="0.25">
      <c r="C12" s="1" t="str">
        <f>+'2011'!B9</f>
        <v>1830.0000</v>
      </c>
      <c r="D12" s="1" t="str">
        <f>+'2011'!C9</f>
        <v>Poles, Towers &amp; Fixtures</v>
      </c>
      <c r="E12" s="44">
        <f>7749705+578197*0.5-68360</f>
        <v>7970443.5</v>
      </c>
      <c r="F12" s="44">
        <f>+'2011'!G9</f>
        <v>8458646.129999999</v>
      </c>
      <c r="G12" s="56">
        <f>+F12-E12</f>
        <v>488202.62999999896</v>
      </c>
      <c r="H12" s="44"/>
      <c r="I12" s="44">
        <f>+'2012'!$G9</f>
        <v>8647443.5399999991</v>
      </c>
      <c r="J12" s="56">
        <f>+I12-F12</f>
        <v>188797.41000000015</v>
      </c>
      <c r="K12" s="44"/>
      <c r="L12" s="44">
        <f>+'2013'!$G9</f>
        <v>8934263.959999999</v>
      </c>
      <c r="M12" s="56">
        <f>+L12-I12</f>
        <v>286820.41999999993</v>
      </c>
      <c r="N12" s="56"/>
      <c r="O12" s="44">
        <f>+'2014'!$G9</f>
        <v>9271290.959999999</v>
      </c>
      <c r="P12" s="56">
        <f>+O12-L12</f>
        <v>337027</v>
      </c>
      <c r="Q12" s="44"/>
      <c r="R12" s="44">
        <f>+'2015'!$G9</f>
        <v>9597945.959999999</v>
      </c>
      <c r="S12" s="56">
        <f>+R12-O12</f>
        <v>326655</v>
      </c>
      <c r="T12" s="44"/>
      <c r="U12" s="44"/>
      <c r="V12" s="4"/>
      <c r="W12" s="4"/>
      <c r="X12" s="4"/>
      <c r="Y12" s="4"/>
    </row>
    <row r="13" spans="3:25" x14ac:dyDescent="0.25">
      <c r="C13" s="1" t="str">
        <f>+'2011'!B10</f>
        <v>1835.0000</v>
      </c>
      <c r="D13" s="1" t="str">
        <f>+'2011'!C10</f>
        <v>Overhead Conductors &amp; Devices</v>
      </c>
      <c r="E13" s="44">
        <f>7118388+423868*0.5</f>
        <v>7330322</v>
      </c>
      <c r="F13" s="44">
        <f>+'2011'!G10</f>
        <v>7482814.3399999999</v>
      </c>
      <c r="G13" s="56">
        <f>+F13-E13</f>
        <v>152492.33999999985</v>
      </c>
      <c r="H13" s="44"/>
      <c r="I13" s="44">
        <f>+'2012'!$G10</f>
        <v>7678112.6499999994</v>
      </c>
      <c r="J13" s="56">
        <f>+I13-F13</f>
        <v>195298.30999999959</v>
      </c>
      <c r="K13" s="44"/>
      <c r="L13" s="44">
        <f>+'2013'!$G10</f>
        <v>7870199.2599999998</v>
      </c>
      <c r="M13" s="56">
        <f>+L13-I13</f>
        <v>192086.61000000034</v>
      </c>
      <c r="N13" s="56"/>
      <c r="O13" s="44">
        <f>+'2014'!$G10</f>
        <v>8146956.2599999998</v>
      </c>
      <c r="P13" s="56">
        <f>+O13-L13</f>
        <v>276757</v>
      </c>
      <c r="Q13" s="44"/>
      <c r="R13" s="44">
        <f>+'2015'!$G10</f>
        <v>8415236.2599999998</v>
      </c>
      <c r="S13" s="56">
        <f>+R13-O13</f>
        <v>268280</v>
      </c>
      <c r="T13" s="44"/>
      <c r="U13" s="44"/>
      <c r="V13" s="4"/>
      <c r="W13" s="4"/>
      <c r="X13" s="4"/>
      <c r="Y13" s="4"/>
    </row>
    <row r="14" spans="3:25" x14ac:dyDescent="0.25">
      <c r="C14" s="1" t="str">
        <f>+'2011'!B11</f>
        <v>1840.0000</v>
      </c>
      <c r="D14" s="1" t="str">
        <f>+'2011'!C11</f>
        <v>Underground Conduit</v>
      </c>
      <c r="E14" s="44">
        <f>3808615+144034*0.5</f>
        <v>3880632</v>
      </c>
      <c r="F14" s="44">
        <f>+'2011'!G11</f>
        <v>3936611.71</v>
      </c>
      <c r="G14" s="56">
        <f>+F14-E14</f>
        <v>55979.709999999963</v>
      </c>
      <c r="H14" s="44"/>
      <c r="I14" s="44">
        <f>+'2012'!$G11</f>
        <v>4396355.1399999997</v>
      </c>
      <c r="J14" s="56">
        <f>+I14-F14</f>
        <v>459743.4299999997</v>
      </c>
      <c r="K14" s="44"/>
      <c r="L14" s="44">
        <f>+'2013'!$G11</f>
        <v>4681117.6899999995</v>
      </c>
      <c r="M14" s="56">
        <f>+L14-I14</f>
        <v>284762.54999999981</v>
      </c>
      <c r="N14" s="56"/>
      <c r="O14" s="44">
        <f>+'2014'!$G11</f>
        <v>5020039.6899999995</v>
      </c>
      <c r="P14" s="56">
        <f>+O14-L14</f>
        <v>338922</v>
      </c>
      <c r="Q14" s="44"/>
      <c r="R14" s="44">
        <f>+'2015'!$G11</f>
        <v>5349964.6899999995</v>
      </c>
      <c r="S14" s="56">
        <f>+R14-O14</f>
        <v>329925</v>
      </c>
      <c r="T14" s="44"/>
      <c r="U14" s="44"/>
      <c r="V14" s="4"/>
      <c r="W14" s="4"/>
      <c r="X14" s="4"/>
      <c r="Y14" s="4"/>
    </row>
    <row r="15" spans="3:25" x14ac:dyDescent="0.25">
      <c r="C15" s="47" t="str">
        <f>+'2011'!B12</f>
        <v>1845.0000</v>
      </c>
      <c r="D15" s="47" t="str">
        <f>+'2011'!C12</f>
        <v>Underground Conductors &amp; Devices</v>
      </c>
      <c r="E15" s="48">
        <f>7754759+289051*0.5</f>
        <v>7899284.5</v>
      </c>
      <c r="F15" s="44">
        <f>+'2011'!G12</f>
        <v>8017556.71</v>
      </c>
      <c r="G15" s="56">
        <f>+F15-E15</f>
        <v>118272.20999999996</v>
      </c>
      <c r="H15" s="48"/>
      <c r="I15" s="44">
        <f>+'2012'!$G12</f>
        <v>8576945.7200000007</v>
      </c>
      <c r="J15" s="56">
        <f>+I15-F15</f>
        <v>559389.01000000071</v>
      </c>
      <c r="K15" s="48"/>
      <c r="L15" s="44">
        <f>+'2013'!$G12</f>
        <v>8891318.2300000004</v>
      </c>
      <c r="M15" s="56">
        <f>+L15-I15</f>
        <v>314372.50999999978</v>
      </c>
      <c r="N15" s="56"/>
      <c r="O15" s="44">
        <f>+'2014'!$G12</f>
        <v>9183266.2300000004</v>
      </c>
      <c r="P15" s="56">
        <f>+O15-L15</f>
        <v>291948</v>
      </c>
      <c r="Q15" s="48"/>
      <c r="R15" s="44">
        <f>+'2015'!$G12</f>
        <v>9468643.2300000004</v>
      </c>
      <c r="S15" s="56">
        <f>+R15-O15</f>
        <v>285377</v>
      </c>
      <c r="T15" s="48"/>
      <c r="U15" s="44"/>
      <c r="V15" s="4"/>
      <c r="W15" s="4"/>
      <c r="X15" s="4"/>
      <c r="Y15" s="4"/>
    </row>
    <row r="16" spans="3:25" s="9" customFormat="1" x14ac:dyDescent="0.25">
      <c r="C16" s="61"/>
      <c r="D16" s="62"/>
      <c r="E16" s="63">
        <f>SUM(E12:E15)</f>
        <v>27080682</v>
      </c>
      <c r="F16" s="63">
        <f>SUM(F12:F15)</f>
        <v>27895628.890000001</v>
      </c>
      <c r="G16" s="63">
        <f>SUM(G12:G15)</f>
        <v>814946.88999999873</v>
      </c>
      <c r="H16" s="63"/>
      <c r="I16" s="63">
        <f>SUM(I12:I15)</f>
        <v>29298857.049999997</v>
      </c>
      <c r="J16" s="63">
        <f>SUM(J12:J15)</f>
        <v>1403228.1600000001</v>
      </c>
      <c r="K16" s="63"/>
      <c r="L16" s="63">
        <f>SUM(L12:L15)</f>
        <v>30376899.139999997</v>
      </c>
      <c r="M16" s="63">
        <f>SUM(M12:M15)</f>
        <v>1078042.0899999999</v>
      </c>
      <c r="N16" s="65"/>
      <c r="O16" s="63">
        <f>SUM(O12:O15)</f>
        <v>31621553.139999997</v>
      </c>
      <c r="P16" s="63">
        <f>SUM(P12:P15)</f>
        <v>1244654</v>
      </c>
      <c r="Q16" s="63"/>
      <c r="R16" s="63">
        <f>SUM(R12:R15)</f>
        <v>32831790.139999997</v>
      </c>
      <c r="S16" s="63">
        <f>SUM(S12:S15)</f>
        <v>1210237</v>
      </c>
      <c r="T16" s="63"/>
      <c r="U16" s="52"/>
      <c r="V16" s="13"/>
      <c r="W16" s="13"/>
      <c r="X16" s="13"/>
      <c r="Y16" s="13"/>
    </row>
    <row r="17" spans="1:25" x14ac:dyDescent="0.25">
      <c r="C17" s="1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"/>
      <c r="W17" s="4"/>
      <c r="X17" s="4"/>
      <c r="Y17" s="4"/>
    </row>
    <row r="18" spans="1:25" x14ac:dyDescent="0.25">
      <c r="C18" s="43" t="s">
        <v>115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"/>
      <c r="W18" s="4"/>
      <c r="X18" s="4"/>
      <c r="Y18" s="4"/>
    </row>
    <row r="19" spans="1:25" x14ac:dyDescent="0.25">
      <c r="A19">
        <v>430680</v>
      </c>
      <c r="B19" s="22">
        <f>+A19*1453452/A20</f>
        <v>68981.589099901234</v>
      </c>
      <c r="C19" s="1" t="str">
        <f>+'2011'!B13</f>
        <v>1850.1000</v>
      </c>
      <c r="D19" s="1" t="str">
        <f>+'2011'!C13</f>
        <v>Underground Transformers</v>
      </c>
      <c r="E19" s="44">
        <f>+'2011'!D13+70651*0.5</f>
        <v>1488777.9700000002</v>
      </c>
      <c r="F19" s="44">
        <f>+'2011'!G13</f>
        <v>1607179.12</v>
      </c>
      <c r="G19" s="56">
        <f>+F19-E19</f>
        <v>118401.14999999991</v>
      </c>
      <c r="H19" s="44"/>
      <c r="I19" s="44">
        <f>+'2012'!$G13</f>
        <v>1852759.87</v>
      </c>
      <c r="J19" s="56">
        <f>+I19-F19</f>
        <v>245580.75</v>
      </c>
      <c r="K19" s="44"/>
      <c r="L19" s="44">
        <f>+'2013'!$G13</f>
        <v>2124503.46</v>
      </c>
      <c r="M19" s="56">
        <f>+L19-I19</f>
        <v>271743.58999999985</v>
      </c>
      <c r="N19" s="56"/>
      <c r="O19" s="44">
        <f>+'2014'!$G13</f>
        <v>2403027.46</v>
      </c>
      <c r="P19" s="56">
        <f>+O19-L19</f>
        <v>278524</v>
      </c>
      <c r="Q19" s="44"/>
      <c r="R19" s="44">
        <f>+'2015'!$G13</f>
        <v>2673659.46</v>
      </c>
      <c r="S19" s="56">
        <f>+R19-O19</f>
        <v>270632</v>
      </c>
      <c r="T19" s="44"/>
      <c r="U19" s="44"/>
      <c r="V19" s="4"/>
      <c r="W19" s="4"/>
      <c r="X19" s="4"/>
      <c r="Y19" s="4"/>
    </row>
    <row r="20" spans="1:25" x14ac:dyDescent="0.25">
      <c r="A20" s="46">
        <f>+E19+E20</f>
        <v>9074489.5199999996</v>
      </c>
      <c r="B20" s="22">
        <f>+A19-B19</f>
        <v>361698.41090009874</v>
      </c>
      <c r="C20" s="47" t="str">
        <f>+'2011'!B14</f>
        <v>1850.2000</v>
      </c>
      <c r="D20" s="47" t="str">
        <f>+'2011'!C14</f>
        <v>Overhead Transformers</v>
      </c>
      <c r="E20" s="48">
        <f>+'2011'!D14+13646+360310*0.5-1006</f>
        <v>7585711.5499999998</v>
      </c>
      <c r="F20" s="44">
        <f>+'2011'!G14</f>
        <v>7546009.6899999995</v>
      </c>
      <c r="G20" s="56">
        <f>+F20-E20</f>
        <v>-39701.860000000335</v>
      </c>
      <c r="H20" s="48"/>
      <c r="I20" s="44">
        <f>+'2012'!$G14</f>
        <v>7639163.75</v>
      </c>
      <c r="J20" s="56">
        <f>+I20-F20</f>
        <v>93154.060000000522</v>
      </c>
      <c r="K20" s="48"/>
      <c r="L20" s="44">
        <f>+'2013'!$G14</f>
        <v>7714841.9100000001</v>
      </c>
      <c r="M20" s="56">
        <f>+L20-I20</f>
        <v>75678.160000000149</v>
      </c>
      <c r="N20" s="56"/>
      <c r="O20" s="44">
        <f>+'2014'!$G14</f>
        <v>7833802.9100000001</v>
      </c>
      <c r="P20" s="56">
        <f>+O20-L20</f>
        <v>118961</v>
      </c>
      <c r="Q20" s="48"/>
      <c r="R20" s="44">
        <f>+'2015'!$G14</f>
        <v>7949073.9100000001</v>
      </c>
      <c r="S20" s="56">
        <f>+R20-O20</f>
        <v>115271</v>
      </c>
      <c r="T20" s="48"/>
      <c r="U20" s="44"/>
      <c r="V20" s="4"/>
      <c r="W20" s="4"/>
      <c r="X20" s="4"/>
      <c r="Y20" s="4"/>
    </row>
    <row r="21" spans="1:25" s="9" customFormat="1" x14ac:dyDescent="0.25">
      <c r="C21" s="61"/>
      <c r="D21" s="62"/>
      <c r="E21" s="63">
        <f>SUM(E19:E20)</f>
        <v>9074489.5199999996</v>
      </c>
      <c r="F21" s="63">
        <f>SUM(F19:F20)</f>
        <v>9153188.8099999987</v>
      </c>
      <c r="G21" s="63">
        <f>SUM(G19:G20)</f>
        <v>78699.289999999572</v>
      </c>
      <c r="H21" s="63"/>
      <c r="I21" s="63">
        <f>SUM(I19:I20)</f>
        <v>9491923.620000001</v>
      </c>
      <c r="J21" s="63">
        <f>SUM(J19:J20)</f>
        <v>338734.81000000052</v>
      </c>
      <c r="K21" s="63"/>
      <c r="L21" s="63">
        <f>SUM(L19:L20)</f>
        <v>9839345.370000001</v>
      </c>
      <c r="M21" s="63">
        <f>SUM(M19:M20)</f>
        <v>347421.75</v>
      </c>
      <c r="N21" s="65"/>
      <c r="O21" s="63">
        <f>SUM(O19:O20)</f>
        <v>10236830.370000001</v>
      </c>
      <c r="P21" s="63">
        <f>SUM(P19:P20)</f>
        <v>397485</v>
      </c>
      <c r="Q21" s="63"/>
      <c r="R21" s="63">
        <f>SUM(R19:R20)</f>
        <v>10622733.370000001</v>
      </c>
      <c r="S21" s="63">
        <f>SUM(S19:S20)</f>
        <v>385903</v>
      </c>
      <c r="T21" s="63"/>
      <c r="U21" s="52"/>
      <c r="V21" s="13"/>
      <c r="W21" s="13"/>
      <c r="X21" s="13"/>
      <c r="Y21" s="13"/>
    </row>
    <row r="22" spans="1:25" x14ac:dyDescent="0.25">
      <c r="C22" s="1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"/>
      <c r="W22" s="4"/>
      <c r="X22" s="4"/>
      <c r="Y22" s="4"/>
    </row>
    <row r="23" spans="1:25" x14ac:dyDescent="0.25">
      <c r="C23" s="43" t="s">
        <v>116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" t="s">
        <v>112</v>
      </c>
      <c r="W23" s="4">
        <v>44584858.5</v>
      </c>
      <c r="X23" s="4"/>
      <c r="Y23" s="4">
        <f>+W23-E32</f>
        <v>-7.9999998211860657E-2</v>
      </c>
    </row>
    <row r="24" spans="1:25" x14ac:dyDescent="0.25">
      <c r="A24">
        <v>290417</v>
      </c>
      <c r="B24" s="22">
        <f>+A24*1453452/A25</f>
        <v>82361.631591370053</v>
      </c>
      <c r="C24" s="1" t="str">
        <f>+'2011'!B15</f>
        <v>1855.1000</v>
      </c>
      <c r="D24" s="1" t="str">
        <f>+'2011'!C15</f>
        <v>Overhead Services</v>
      </c>
      <c r="E24" s="44">
        <f>+'2011'!D15-31250+84770*0.5</f>
        <v>3992311.41</v>
      </c>
      <c r="F24" s="44">
        <f>+'2011'!G15</f>
        <v>4097276.35</v>
      </c>
      <c r="G24" s="56">
        <f t="shared" ref="G24:G29" si="0">+F24-E24</f>
        <v>104964.93999999994</v>
      </c>
      <c r="H24" s="44"/>
      <c r="I24" s="44">
        <f>+'2012'!$G15</f>
        <v>4179815.18</v>
      </c>
      <c r="J24" s="56">
        <f t="shared" ref="J24:J29" si="1">+I24-F24</f>
        <v>82538.830000000075</v>
      </c>
      <c r="K24" s="44"/>
      <c r="L24" s="44">
        <f>+'2013'!$G15</f>
        <v>4272208.87</v>
      </c>
      <c r="M24" s="56">
        <f t="shared" ref="M24:M29" si="2">+L24-I24</f>
        <v>92393.689999999944</v>
      </c>
      <c r="N24" s="56"/>
      <c r="O24" s="44">
        <f>+'2014'!$G15</f>
        <v>4387185.87</v>
      </c>
      <c r="P24" s="56">
        <f t="shared" ref="P24:P29" si="3">+O24-L24</f>
        <v>114977</v>
      </c>
      <c r="Q24" s="44"/>
      <c r="R24" s="44">
        <f>+'2015'!$G15</f>
        <v>4498718.87</v>
      </c>
      <c r="S24" s="56">
        <f t="shared" ref="S24:S29" si="4">+R24-O24</f>
        <v>111533</v>
      </c>
      <c r="T24" s="44"/>
      <c r="U24" s="44"/>
      <c r="V24" s="4" t="s">
        <v>117</v>
      </c>
      <c r="W24" s="4">
        <v>2603030</v>
      </c>
      <c r="X24" s="4"/>
      <c r="Y24" s="4">
        <f>+W24-E57</f>
        <v>0.33000000054016709</v>
      </c>
    </row>
    <row r="25" spans="1:25" x14ac:dyDescent="0.25">
      <c r="A25" s="46">
        <f>+E24+E25</f>
        <v>5125046.2300000004</v>
      </c>
      <c r="B25" s="22">
        <f>+A24-B24</f>
        <v>208055.36840862996</v>
      </c>
      <c r="C25" s="1" t="str">
        <f>+'2011'!B16</f>
        <v>1855.2000</v>
      </c>
      <c r="D25" s="1" t="str">
        <f>+'2011'!C16</f>
        <v>Underground Services</v>
      </c>
      <c r="E25" s="44">
        <f>+'2011'!D16+206363*0.5</f>
        <v>1132734.82</v>
      </c>
      <c r="F25" s="44">
        <f>+'2011'!G16</f>
        <v>1107564.23</v>
      </c>
      <c r="G25" s="56">
        <f t="shared" si="0"/>
        <v>-25170.590000000084</v>
      </c>
      <c r="H25" s="44"/>
      <c r="I25" s="44">
        <f>+'2012'!$G16</f>
        <v>1183576.18</v>
      </c>
      <c r="J25" s="56">
        <f t="shared" si="1"/>
        <v>76011.949999999953</v>
      </c>
      <c r="K25" s="44"/>
      <c r="L25" s="44">
        <f>+'2013'!$G16</f>
        <v>1237813.95</v>
      </c>
      <c r="M25" s="56">
        <f t="shared" si="2"/>
        <v>54237.770000000019</v>
      </c>
      <c r="N25" s="56"/>
      <c r="O25" s="44">
        <f>+'2014'!$G16</f>
        <v>1267679.95</v>
      </c>
      <c r="P25" s="56">
        <f t="shared" si="3"/>
        <v>29866</v>
      </c>
      <c r="Q25" s="44"/>
      <c r="R25" s="44">
        <f>+'2015'!$G16</f>
        <v>1297032.95</v>
      </c>
      <c r="S25" s="56">
        <f t="shared" si="4"/>
        <v>29353</v>
      </c>
      <c r="T25" s="44"/>
      <c r="U25" s="44"/>
      <c r="V25" s="4" t="s">
        <v>120</v>
      </c>
      <c r="W25" s="4">
        <v>-6954110</v>
      </c>
      <c r="X25" s="4"/>
      <c r="Y25" s="4">
        <f>+E61-W25</f>
        <v>0</v>
      </c>
    </row>
    <row r="26" spans="1:25" x14ac:dyDescent="0.25">
      <c r="C26" s="1" t="str">
        <f>+'2011'!B17</f>
        <v>1860.1000</v>
      </c>
      <c r="D26" s="1" t="str">
        <f>+'2011'!C17</f>
        <v>Stranded Meters</v>
      </c>
      <c r="E26" s="44">
        <f>+'2011'!D17+37714*0.5</f>
        <v>2290880.44</v>
      </c>
      <c r="F26" s="44">
        <f>+'2011'!G17</f>
        <v>2278507.2400000002</v>
      </c>
      <c r="G26" s="56">
        <f t="shared" si="0"/>
        <v>-12373.199999999721</v>
      </c>
      <c r="H26" s="44"/>
      <c r="I26" s="44">
        <f>+'2012'!$G17</f>
        <v>2278507.2400000002</v>
      </c>
      <c r="J26" s="56">
        <f t="shared" si="1"/>
        <v>0</v>
      </c>
      <c r="K26" s="44"/>
      <c r="L26" s="44">
        <f>+'2013'!$G17</f>
        <v>2278507.2400000002</v>
      </c>
      <c r="M26" s="56">
        <f t="shared" si="2"/>
        <v>0</v>
      </c>
      <c r="N26" s="56"/>
      <c r="O26" s="44">
        <f>+'2014'!$G17</f>
        <v>2278507.2400000002</v>
      </c>
      <c r="P26" s="56">
        <f t="shared" si="3"/>
        <v>0</v>
      </c>
      <c r="Q26" s="44"/>
      <c r="R26" s="44">
        <f>+'2015'!$G17</f>
        <v>0</v>
      </c>
      <c r="S26" s="56">
        <f t="shared" si="4"/>
        <v>-2278507.2400000002</v>
      </c>
      <c r="T26" s="44"/>
      <c r="U26" s="44"/>
      <c r="V26" s="4"/>
      <c r="W26" s="4"/>
      <c r="X26" s="4"/>
      <c r="Y26" s="4"/>
    </row>
    <row r="27" spans="1:25" x14ac:dyDescent="0.25">
      <c r="C27" s="31">
        <f>+'2011'!B18</f>
        <v>1860.15</v>
      </c>
      <c r="D27" s="1" t="str">
        <f>+'2011'!C18</f>
        <v>Smart Meters</v>
      </c>
      <c r="E27" s="44">
        <f>+'2011'!D18</f>
        <v>0</v>
      </c>
      <c r="F27" s="44">
        <f>+'2011'!G18</f>
        <v>0</v>
      </c>
      <c r="G27" s="56">
        <f t="shared" si="0"/>
        <v>0</v>
      </c>
      <c r="H27" s="44"/>
      <c r="I27" s="44">
        <f>+'2012'!$G18</f>
        <v>3100868.84</v>
      </c>
      <c r="J27" s="56">
        <f t="shared" si="1"/>
        <v>3100868.84</v>
      </c>
      <c r="K27" s="44"/>
      <c r="L27" s="44">
        <f>+'2013'!$G18</f>
        <v>3147343.79</v>
      </c>
      <c r="M27" s="56">
        <f t="shared" si="2"/>
        <v>46474.950000000186</v>
      </c>
      <c r="N27" s="56"/>
      <c r="O27" s="44">
        <f>+'2014'!$G18</f>
        <v>3160361.79</v>
      </c>
      <c r="P27" s="56">
        <f t="shared" si="3"/>
        <v>13018</v>
      </c>
      <c r="Q27" s="44"/>
      <c r="R27" s="44">
        <f>+'2015'!$G18</f>
        <v>3173335.79</v>
      </c>
      <c r="S27" s="56">
        <f t="shared" si="4"/>
        <v>12974</v>
      </c>
      <c r="T27" s="44"/>
      <c r="U27" s="44"/>
      <c r="V27" s="4" t="s">
        <v>122</v>
      </c>
      <c r="W27" s="4">
        <v>40233778.5</v>
      </c>
      <c r="X27" s="4"/>
      <c r="Y27" s="4"/>
    </row>
    <row r="28" spans="1:25" x14ac:dyDescent="0.25">
      <c r="C28" s="1" t="str">
        <f>+'2011'!B19</f>
        <v>1860.2000</v>
      </c>
      <c r="D28" s="1" t="str">
        <f>+'2011'!C19</f>
        <v>Interval Meters</v>
      </c>
      <c r="E28" s="44">
        <f>+'2011'!D19</f>
        <v>83282.61</v>
      </c>
      <c r="F28" s="44">
        <f>+'2011'!G19</f>
        <v>89517.75</v>
      </c>
      <c r="G28" s="56">
        <f t="shared" si="0"/>
        <v>6235.1399999999994</v>
      </c>
      <c r="H28" s="44"/>
      <c r="I28" s="44">
        <f>+'2012'!$G19</f>
        <v>93755.36</v>
      </c>
      <c r="J28" s="56">
        <f t="shared" si="1"/>
        <v>4237.6100000000006</v>
      </c>
      <c r="K28" s="44"/>
      <c r="L28" s="44">
        <f>+'2013'!$G19</f>
        <v>94211.66</v>
      </c>
      <c r="M28" s="56">
        <f t="shared" si="2"/>
        <v>456.30000000000291</v>
      </c>
      <c r="N28" s="56"/>
      <c r="O28" s="44">
        <f>+'2014'!$G19</f>
        <v>94211.66</v>
      </c>
      <c r="P28" s="56">
        <f t="shared" si="3"/>
        <v>0</v>
      </c>
      <c r="Q28" s="44"/>
      <c r="R28" s="44">
        <f>+'2015'!$G19</f>
        <v>94211.66</v>
      </c>
      <c r="S28" s="56">
        <f t="shared" si="4"/>
        <v>0</v>
      </c>
      <c r="T28" s="44"/>
      <c r="U28" s="44"/>
      <c r="V28" s="4" t="s">
        <v>61</v>
      </c>
      <c r="W28" s="4">
        <v>0</v>
      </c>
      <c r="X28" s="4"/>
      <c r="Y28" s="4"/>
    </row>
    <row r="29" spans="1:25" x14ac:dyDescent="0.25">
      <c r="A29" s="46">
        <f>SUM(E26:E29)</f>
        <v>2447781.8299999996</v>
      </c>
      <c r="C29" s="47" t="str">
        <f>+'2011'!B20</f>
        <v>1860.3000</v>
      </c>
      <c r="D29" s="47" t="str">
        <f>+'2011'!C20</f>
        <v>Wholesale Meters</v>
      </c>
      <c r="E29" s="48">
        <f>+'2011'!D20</f>
        <v>73618.78</v>
      </c>
      <c r="F29" s="44">
        <f>+'2011'!G20</f>
        <v>73618.78</v>
      </c>
      <c r="G29" s="56">
        <f t="shared" si="0"/>
        <v>0</v>
      </c>
      <c r="H29" s="48"/>
      <c r="I29" s="44">
        <f>+'2012'!$G20</f>
        <v>73618.78</v>
      </c>
      <c r="J29" s="56">
        <f t="shared" si="1"/>
        <v>0</v>
      </c>
      <c r="K29" s="48"/>
      <c r="L29" s="44">
        <f>+'2013'!$G20</f>
        <v>73618.78</v>
      </c>
      <c r="M29" s="56">
        <f t="shared" si="2"/>
        <v>0</v>
      </c>
      <c r="N29" s="56"/>
      <c r="O29" s="44">
        <f>+'2014'!$G20</f>
        <v>73618.78</v>
      </c>
      <c r="P29" s="56">
        <f t="shared" si="3"/>
        <v>0</v>
      </c>
      <c r="Q29" s="48"/>
      <c r="R29" s="44">
        <f>+'2015'!$G20</f>
        <v>73618.78</v>
      </c>
      <c r="S29" s="54">
        <f t="shared" si="4"/>
        <v>0</v>
      </c>
      <c r="T29" s="48"/>
      <c r="U29" s="44"/>
      <c r="V29" s="4"/>
      <c r="W29" s="4"/>
      <c r="X29" s="4"/>
      <c r="Y29" s="4"/>
    </row>
    <row r="30" spans="1:25" s="9" customFormat="1" x14ac:dyDescent="0.25">
      <c r="C30" s="61"/>
      <c r="D30" s="62"/>
      <c r="E30" s="63">
        <f>SUM(E24:E29)</f>
        <v>7572828.0600000005</v>
      </c>
      <c r="F30" s="63">
        <f>SUM(F24:F29)</f>
        <v>7646484.3500000006</v>
      </c>
      <c r="G30" s="63">
        <f>SUM(G24:G29)</f>
        <v>73656.290000000139</v>
      </c>
      <c r="H30" s="63"/>
      <c r="I30" s="63">
        <f>SUM(I24:I29)</f>
        <v>10910141.58</v>
      </c>
      <c r="J30" s="63">
        <f>SUM(J24:J29)</f>
        <v>3263657.23</v>
      </c>
      <c r="K30" s="63"/>
      <c r="L30" s="63">
        <f>SUM(L24:L29)</f>
        <v>11103704.290000001</v>
      </c>
      <c r="M30" s="63">
        <f>SUM(M24:M29)</f>
        <v>193562.71000000014</v>
      </c>
      <c r="N30" s="65"/>
      <c r="O30" s="63">
        <f>SUM(O24:O29)</f>
        <v>11261565.290000001</v>
      </c>
      <c r="P30" s="63">
        <f>SUM(P24:P29)</f>
        <v>157861</v>
      </c>
      <c r="Q30" s="63"/>
      <c r="R30" s="63">
        <f>SUM(R24:R29)</f>
        <v>9136918.0499999989</v>
      </c>
      <c r="S30" s="59">
        <f>SUM(S24:S29)</f>
        <v>-2124647.2400000002</v>
      </c>
      <c r="T30" s="63"/>
      <c r="U30" s="52"/>
      <c r="V30" s="13" t="s">
        <v>123</v>
      </c>
      <c r="W30" s="13">
        <v>40233778.5</v>
      </c>
      <c r="X30" s="13"/>
      <c r="Y30" s="13"/>
    </row>
    <row r="31" spans="1:25" x14ac:dyDescent="0.25">
      <c r="C31" s="1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"/>
      <c r="W31" s="4"/>
      <c r="X31" s="4"/>
      <c r="Y31" s="4"/>
    </row>
    <row r="32" spans="1:25" ht="15.75" thickBot="1" x14ac:dyDescent="0.3">
      <c r="C32" s="50" t="s">
        <v>121</v>
      </c>
      <c r="D32" s="10"/>
      <c r="E32" s="51">
        <f>+E8+E10+E16+E21+E30</f>
        <v>44584858.579999998</v>
      </c>
      <c r="F32" s="51">
        <f>+F8+F10+F16+F21+F30</f>
        <v>45552160.800000004</v>
      </c>
      <c r="G32" s="51">
        <f>+G8+G10+G16+G21+G30</f>
        <v>967302.21999999846</v>
      </c>
      <c r="H32" s="51"/>
      <c r="I32" s="51">
        <f>+I8+I10+I16+I21+I30</f>
        <v>50558685.088</v>
      </c>
      <c r="J32" s="51">
        <f>+J8+J10+J16+J21+J30</f>
        <v>5006524.2880000006</v>
      </c>
      <c r="K32" s="51"/>
      <c r="L32" s="51">
        <f>+L8+L10+L16+L21+L30</f>
        <v>52177711.637999997</v>
      </c>
      <c r="M32" s="51">
        <f>+M8+M10+M16+M21+M30</f>
        <v>1619026.55</v>
      </c>
      <c r="N32" s="65"/>
      <c r="O32" s="51">
        <f>+O8+O10+O16+O21+O30</f>
        <v>53977711.637999997</v>
      </c>
      <c r="P32" s="51">
        <f>+P8+P10+P16+P21+P30</f>
        <v>1800000</v>
      </c>
      <c r="Q32" s="51"/>
      <c r="R32" s="51">
        <f>+R8+R10+R16+R21+R30</f>
        <v>53449204.398000002</v>
      </c>
      <c r="S32" s="67">
        <f>+S8+S10+S16+S21+S30</f>
        <v>-528507.24000000022</v>
      </c>
      <c r="T32" s="51"/>
      <c r="U32" s="44"/>
      <c r="V32" s="4">
        <f>+S32-S26</f>
        <v>1750000</v>
      </c>
      <c r="W32" s="4"/>
      <c r="X32" s="4"/>
      <c r="Y32" s="4"/>
    </row>
    <row r="33" spans="3:25" x14ac:dyDescent="0.25"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">
        <f>+S26</f>
        <v>-2278507.2400000002</v>
      </c>
      <c r="W33" s="4"/>
      <c r="X33" s="4"/>
      <c r="Y33" s="4"/>
    </row>
    <row r="34" spans="3:25" x14ac:dyDescent="0.25">
      <c r="C34" s="9" t="s">
        <v>117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">
        <f>+V32+V33</f>
        <v>-528507.24000000022</v>
      </c>
      <c r="W34" s="4"/>
      <c r="X34" s="4"/>
      <c r="Y34" s="4"/>
    </row>
    <row r="35" spans="3:25" x14ac:dyDescent="0.25">
      <c r="C35" s="9" t="s">
        <v>113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"/>
      <c r="W35" s="4"/>
      <c r="X35" s="4"/>
      <c r="Y35" s="4"/>
    </row>
    <row r="36" spans="3:25" x14ac:dyDescent="0.25">
      <c r="C36" s="31">
        <f>+'2011'!B25</f>
        <v>1905</v>
      </c>
      <c r="D36" t="str">
        <f>+'2011'!C25</f>
        <v>Land and General Plant</v>
      </c>
      <c r="E36" s="44">
        <f>+'2011'!D25</f>
        <v>174187.53</v>
      </c>
      <c r="F36" s="44">
        <f>+'2011'!G25</f>
        <v>174187.53</v>
      </c>
      <c r="G36" s="44">
        <f>+F36-E36</f>
        <v>0</v>
      </c>
      <c r="H36" s="44"/>
      <c r="I36" s="44">
        <f>+'2012'!$G25</f>
        <v>174187.53</v>
      </c>
      <c r="J36" s="56">
        <f>+I36-F36</f>
        <v>0</v>
      </c>
      <c r="K36" s="44"/>
      <c r="L36" s="44">
        <f>+'2013'!$G25</f>
        <v>174187.53</v>
      </c>
      <c r="M36" s="56">
        <f>+L36-I36</f>
        <v>0</v>
      </c>
      <c r="N36" s="56"/>
      <c r="O36" s="44">
        <f>+'2014'!$G25</f>
        <v>174187.53</v>
      </c>
      <c r="P36" s="56">
        <f>+O36-L36</f>
        <v>0</v>
      </c>
      <c r="Q36" s="44"/>
      <c r="R36" s="44">
        <f>+'2015'!$G25</f>
        <v>174187.53</v>
      </c>
      <c r="S36" s="56">
        <f>+R36-O36</f>
        <v>0</v>
      </c>
      <c r="T36" s="44"/>
      <c r="U36" s="44"/>
      <c r="V36" s="4"/>
      <c r="W36" s="4"/>
      <c r="X36" s="4"/>
      <c r="Y36" s="4"/>
    </row>
    <row r="37" spans="3:25" x14ac:dyDescent="0.25">
      <c r="C37" t="str">
        <f>+'2011'!B26</f>
        <v>1908.0000</v>
      </c>
      <c r="D37" t="str">
        <f>+'2011'!C26</f>
        <v>Building &amp; Fixtures, General Plant</v>
      </c>
      <c r="E37" s="44">
        <f>+'2011'!D26</f>
        <v>2385249.7799999998</v>
      </c>
      <c r="F37" s="44">
        <f>+'2011'!G26</f>
        <v>2385249.7799999998</v>
      </c>
      <c r="G37" s="44">
        <f>+F37-E37</f>
        <v>0</v>
      </c>
      <c r="H37" s="44"/>
      <c r="I37" s="44">
        <f>+'2012'!$G26</f>
        <v>2385249.7799999998</v>
      </c>
      <c r="J37" s="56">
        <f>+I37-F37</f>
        <v>0</v>
      </c>
      <c r="K37" s="44"/>
      <c r="L37" s="44">
        <f>+'2013'!$G26</f>
        <v>2396552.27</v>
      </c>
      <c r="M37" s="56">
        <f>+L37-I37</f>
        <v>11302.490000000224</v>
      </c>
      <c r="N37" s="56"/>
      <c r="O37" s="44">
        <f>+'2014'!$G26</f>
        <v>2496552.27</v>
      </c>
      <c r="P37" s="56">
        <f>+O37-L37</f>
        <v>100000</v>
      </c>
      <c r="Q37" s="44"/>
      <c r="R37" s="44">
        <f>+'2015'!$G26</f>
        <v>2596552.27</v>
      </c>
      <c r="S37" s="56">
        <f>+R37-O37</f>
        <v>100000</v>
      </c>
      <c r="T37" s="44"/>
      <c r="U37" s="44"/>
      <c r="V37" s="4"/>
      <c r="W37" s="4"/>
      <c r="X37" s="4"/>
      <c r="Y37" s="4"/>
    </row>
    <row r="38" spans="3:25" x14ac:dyDescent="0.25">
      <c r="C38" s="49" t="str">
        <f>+'2011'!B27</f>
        <v>1908.1000</v>
      </c>
      <c r="D38" s="49" t="str">
        <f>+'2011'!C27</f>
        <v>Building and Fixtures, Security System</v>
      </c>
      <c r="E38" s="48">
        <f>+'2011'!D27</f>
        <v>0</v>
      </c>
      <c r="F38" s="48">
        <f>+'2011'!G27</f>
        <v>0</v>
      </c>
      <c r="G38" s="44">
        <f>+F38-E38</f>
        <v>0</v>
      </c>
      <c r="H38" s="48"/>
      <c r="I38" s="48">
        <f>+'2012'!$G27</f>
        <v>15493.24</v>
      </c>
      <c r="J38" s="56">
        <f>+I38-F38</f>
        <v>15493.24</v>
      </c>
      <c r="K38" s="48"/>
      <c r="L38" s="48">
        <f>+'2013'!$G27</f>
        <v>22164.09</v>
      </c>
      <c r="M38" s="56">
        <f>+L38-I38</f>
        <v>6670.85</v>
      </c>
      <c r="N38" s="56"/>
      <c r="O38" s="48">
        <f>+'2014'!$G27</f>
        <v>22164.09</v>
      </c>
      <c r="P38" s="56">
        <f>+O38-L38</f>
        <v>0</v>
      </c>
      <c r="Q38" s="48"/>
      <c r="R38" s="48">
        <f>+'2015'!$G27</f>
        <v>22164.09</v>
      </c>
      <c r="S38" s="56">
        <f>+R38-O38</f>
        <v>0</v>
      </c>
      <c r="T38" s="48"/>
      <c r="U38" s="44"/>
      <c r="V38" s="4"/>
      <c r="W38" s="4"/>
      <c r="X38" s="4"/>
      <c r="Y38" s="4"/>
    </row>
    <row r="39" spans="3:25" s="9" customFormat="1" x14ac:dyDescent="0.25">
      <c r="C39" s="62"/>
      <c r="D39" s="62"/>
      <c r="E39" s="63">
        <f>SUM(E36:E38)</f>
        <v>2559437.3099999996</v>
      </c>
      <c r="F39" s="63">
        <f>SUM(F36:F38)</f>
        <v>2559437.3099999996</v>
      </c>
      <c r="G39" s="63">
        <f>SUM(G36:G38)</f>
        <v>0</v>
      </c>
      <c r="H39" s="63"/>
      <c r="I39" s="63">
        <f>SUM(I36:I38)</f>
        <v>2574930.5499999998</v>
      </c>
      <c r="J39" s="63">
        <f>SUM(J36:J38)</f>
        <v>15493.24</v>
      </c>
      <c r="K39" s="63"/>
      <c r="L39" s="63">
        <f>SUM(L36:L38)</f>
        <v>2592903.8899999997</v>
      </c>
      <c r="M39" s="63">
        <f>SUM(M36:M38)</f>
        <v>17973.340000000222</v>
      </c>
      <c r="N39" s="65"/>
      <c r="O39" s="63">
        <f>SUM(O36:O38)</f>
        <v>2692903.8899999997</v>
      </c>
      <c r="P39" s="63">
        <f>SUM(P36:P38)</f>
        <v>100000</v>
      </c>
      <c r="Q39" s="63"/>
      <c r="R39" s="63">
        <f>SUM(R36:R38)</f>
        <v>2792903.8899999997</v>
      </c>
      <c r="S39" s="63">
        <f>SUM(S36:S38)</f>
        <v>100000</v>
      </c>
      <c r="T39" s="63"/>
      <c r="U39" s="52"/>
    </row>
    <row r="40" spans="3:25" x14ac:dyDescent="0.25">
      <c r="E40" s="44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</row>
    <row r="41" spans="3:25" x14ac:dyDescent="0.25">
      <c r="C41" s="9" t="s">
        <v>118</v>
      </c>
      <c r="E41" s="44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</row>
    <row r="42" spans="3:25" x14ac:dyDescent="0.25">
      <c r="C42" t="str">
        <f>+'2011'!B29</f>
        <v>1920.0000</v>
      </c>
      <c r="D42" t="str">
        <f>+'2011'!C29</f>
        <v>Computer Equipment</v>
      </c>
      <c r="E42" s="44">
        <f>+'2011'!D29</f>
        <v>0</v>
      </c>
      <c r="F42" s="44">
        <f>+'2011'!G29</f>
        <v>0</v>
      </c>
      <c r="G42" s="45">
        <f>+F42-E42</f>
        <v>0</v>
      </c>
      <c r="H42" s="45"/>
      <c r="I42" s="44">
        <f>+'2012'!$G29</f>
        <v>136793.62999999998</v>
      </c>
      <c r="J42" s="56">
        <f>+I42-F42</f>
        <v>136793.62999999998</v>
      </c>
      <c r="K42" s="45"/>
      <c r="L42" s="44">
        <f>+'2013'!$G29</f>
        <v>302556.79999999999</v>
      </c>
      <c r="M42" s="56">
        <f>+L42-I42</f>
        <v>165763.17000000001</v>
      </c>
      <c r="N42" s="56"/>
      <c r="O42" s="44">
        <f>+'2014'!$G29</f>
        <v>322056.8</v>
      </c>
      <c r="P42" s="56">
        <f>+O42-L42</f>
        <v>19500</v>
      </c>
      <c r="Q42" s="45"/>
      <c r="R42" s="44">
        <f>+'2015'!$G29</f>
        <v>407056.8</v>
      </c>
      <c r="S42" s="56">
        <f>+R42-O42</f>
        <v>85000</v>
      </c>
      <c r="T42" s="45"/>
      <c r="U42" s="45"/>
    </row>
    <row r="43" spans="3:25" x14ac:dyDescent="0.25">
      <c r="C43" t="str">
        <f>+'2011'!B30</f>
        <v>1925.0000</v>
      </c>
      <c r="D43" t="str">
        <f>+'2011'!C30</f>
        <v>Computer Software</v>
      </c>
      <c r="E43" s="44">
        <f>+'2011'!D30</f>
        <v>0</v>
      </c>
      <c r="F43" s="44">
        <f>+'2011'!G30</f>
        <v>0</v>
      </c>
      <c r="G43" s="45">
        <f>+F43-E43</f>
        <v>0</v>
      </c>
      <c r="H43" s="45"/>
      <c r="I43" s="44">
        <f>+'2012'!$G30</f>
        <v>122966.23</v>
      </c>
      <c r="J43" s="56">
        <f>+I43-F43</f>
        <v>122966.23</v>
      </c>
      <c r="K43" s="45"/>
      <c r="L43" s="44">
        <f>+'2013'!$G30</f>
        <v>138101.22999999998</v>
      </c>
      <c r="M43" s="56">
        <f>+L43-I43</f>
        <v>15134.999999999985</v>
      </c>
      <c r="N43" s="56"/>
      <c r="O43" s="44">
        <f>+'2014'!$G30</f>
        <v>214601.22999999998</v>
      </c>
      <c r="P43" s="56">
        <f>+O43-L43</f>
        <v>76500</v>
      </c>
      <c r="Q43" s="45"/>
      <c r="R43" s="44">
        <f>+'2015'!$G30</f>
        <v>227601.22999999998</v>
      </c>
      <c r="S43" s="56">
        <f>+R43-O43</f>
        <v>13000</v>
      </c>
      <c r="T43" s="45"/>
      <c r="U43" s="45"/>
    </row>
    <row r="44" spans="3:25" x14ac:dyDescent="0.25">
      <c r="C44" t="str">
        <f>+'2011'!B31</f>
        <v>1925.1000</v>
      </c>
      <c r="D44" t="str">
        <f>+'2011'!C31</f>
        <v>Harris/Cayenta Software</v>
      </c>
      <c r="E44" s="44">
        <f>+'2011'!D31</f>
        <v>0</v>
      </c>
      <c r="F44" s="44">
        <f>+'2011'!G31</f>
        <v>0</v>
      </c>
      <c r="G44" s="45">
        <f>+F44-E44</f>
        <v>0</v>
      </c>
      <c r="H44" s="45"/>
      <c r="I44" s="44">
        <f>+'2012'!$G31</f>
        <v>353134.18</v>
      </c>
      <c r="J44" s="56">
        <f>+I44-F44</f>
        <v>353134.18</v>
      </c>
      <c r="K44" s="45"/>
      <c r="L44" s="44">
        <f>+'2013'!$G31</f>
        <v>353134.18</v>
      </c>
      <c r="M44" s="56">
        <f>+L44-I44</f>
        <v>0</v>
      </c>
      <c r="N44" s="56"/>
      <c r="O44" s="44">
        <f>+'2014'!$G31</f>
        <v>373134.18</v>
      </c>
      <c r="P44" s="56">
        <f>+O44-L44</f>
        <v>20000</v>
      </c>
      <c r="Q44" s="45"/>
      <c r="R44" s="44">
        <f>+'2015'!$G31</f>
        <v>373134.18</v>
      </c>
      <c r="S44" s="56">
        <f>+R44-O44</f>
        <v>0</v>
      </c>
      <c r="T44" s="45"/>
      <c r="U44" s="45"/>
    </row>
    <row r="45" spans="3:25" s="9" customFormat="1" x14ac:dyDescent="0.25">
      <c r="C45" s="62"/>
      <c r="D45" s="62"/>
      <c r="E45" s="63">
        <f>SUM(E42:E44)</f>
        <v>0</v>
      </c>
      <c r="F45" s="63">
        <f>SUM(F42:F44)</f>
        <v>0</v>
      </c>
      <c r="G45" s="63">
        <f>SUM(G42:G44)</f>
        <v>0</v>
      </c>
      <c r="H45" s="63"/>
      <c r="I45" s="63">
        <f>SUM(I42:I44)</f>
        <v>612894.04</v>
      </c>
      <c r="J45" s="63">
        <f>SUM(J42:J44)</f>
        <v>612894.04</v>
      </c>
      <c r="K45" s="63"/>
      <c r="L45" s="63">
        <f>SUM(L42:L44)</f>
        <v>793792.21</v>
      </c>
      <c r="M45" s="63">
        <f>SUM(M42:M44)</f>
        <v>180898.16999999998</v>
      </c>
      <c r="N45" s="65"/>
      <c r="O45" s="63">
        <f>SUM(O42:O44)</f>
        <v>909792.21</v>
      </c>
      <c r="P45" s="63">
        <f>SUM(P42:P44)</f>
        <v>116000</v>
      </c>
      <c r="Q45" s="63"/>
      <c r="R45" s="63">
        <f>SUM(R42:R44)</f>
        <v>1007792.21</v>
      </c>
      <c r="S45" s="63">
        <f>SUM(S42:S44)</f>
        <v>98000</v>
      </c>
      <c r="T45" s="63"/>
      <c r="U45" s="52"/>
    </row>
    <row r="46" spans="3:25" x14ac:dyDescent="0.25">
      <c r="E46" s="44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3:25" x14ac:dyDescent="0.25">
      <c r="C47" s="9" t="s">
        <v>119</v>
      </c>
      <c r="E47" s="44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</row>
    <row r="48" spans="3:25" x14ac:dyDescent="0.25">
      <c r="C48" s="32" t="str">
        <f>+'2011'!B28</f>
        <v>1915.0000</v>
      </c>
      <c r="D48" s="32" t="str">
        <f>+'2011'!C28</f>
        <v>Office Furniture &amp; Equipmet</v>
      </c>
      <c r="E48" s="44">
        <f>+'2011'!D28</f>
        <v>0</v>
      </c>
      <c r="F48" s="44">
        <f>+'2011'!G28</f>
        <v>0</v>
      </c>
      <c r="G48" s="45">
        <f t="shared" ref="G48:G54" si="5">+F48-E48</f>
        <v>0</v>
      </c>
      <c r="H48" s="45"/>
      <c r="I48" s="44">
        <f>+'2012'!$G28</f>
        <v>71936.87</v>
      </c>
      <c r="J48" s="56">
        <f t="shared" ref="J48:J54" si="6">+I48-F48</f>
        <v>71936.87</v>
      </c>
      <c r="K48" s="45"/>
      <c r="L48" s="44">
        <f>+'2013'!$G28</f>
        <v>71936.87</v>
      </c>
      <c r="M48" s="56">
        <f t="shared" ref="M48:M54" si="7">+L48-I48</f>
        <v>0</v>
      </c>
      <c r="N48" s="56"/>
      <c r="O48" s="44">
        <f>+'2014'!$G28</f>
        <v>141936.87</v>
      </c>
      <c r="P48" s="56">
        <f t="shared" ref="P48:P54" si="8">+O48-L48</f>
        <v>70000</v>
      </c>
      <c r="Q48" s="45"/>
      <c r="R48" s="44">
        <f>+'2015'!$G28</f>
        <v>211936.87</v>
      </c>
      <c r="S48" s="56">
        <f t="shared" ref="S48:S54" si="9">+R48-O48</f>
        <v>70000</v>
      </c>
      <c r="T48" s="45"/>
      <c r="U48" s="45"/>
    </row>
    <row r="49" spans="3:21" x14ac:dyDescent="0.25">
      <c r="C49" s="31">
        <f>+'2011'!B32</f>
        <v>1930</v>
      </c>
      <c r="D49" s="31" t="str">
        <f>+'2011'!C32</f>
        <v>Vehicles</v>
      </c>
      <c r="E49" s="44">
        <f>+'2011'!D32</f>
        <v>0</v>
      </c>
      <c r="F49" s="44">
        <f>+'2011'!G32</f>
        <v>0</v>
      </c>
      <c r="G49" s="45">
        <f t="shared" si="5"/>
        <v>0</v>
      </c>
      <c r="H49" s="45"/>
      <c r="I49" s="44">
        <f>+'2012'!$G32</f>
        <v>679340</v>
      </c>
      <c r="J49" s="56">
        <f t="shared" si="6"/>
        <v>679340</v>
      </c>
      <c r="K49" s="45"/>
      <c r="L49" s="44">
        <f>+'2013'!$G32</f>
        <v>888423.48</v>
      </c>
      <c r="M49" s="56">
        <f t="shared" si="7"/>
        <v>209083.47999999998</v>
      </c>
      <c r="N49" s="56"/>
      <c r="O49" s="44">
        <f>+'2014'!$G32</f>
        <v>1241215.54</v>
      </c>
      <c r="P49" s="56">
        <f t="shared" si="8"/>
        <v>352792.06000000006</v>
      </c>
      <c r="Q49" s="45"/>
      <c r="R49" s="44">
        <f>+'2015'!$G32</f>
        <v>1366215.54</v>
      </c>
      <c r="S49" s="56">
        <f t="shared" si="9"/>
        <v>125000</v>
      </c>
      <c r="T49" s="45"/>
      <c r="U49" s="45"/>
    </row>
    <row r="50" spans="3:21" x14ac:dyDescent="0.25">
      <c r="C50" s="32" t="str">
        <f>+'2011'!B33</f>
        <v>1940.0000</v>
      </c>
      <c r="D50" s="32" t="str">
        <f>+'2011'!C33</f>
        <v>Tools and Equipment</v>
      </c>
      <c r="E50" s="44">
        <f>+'2011'!D33</f>
        <v>0</v>
      </c>
      <c r="F50" s="44">
        <f>+'2011'!G33</f>
        <v>0</v>
      </c>
      <c r="G50" s="45">
        <f t="shared" si="5"/>
        <v>0</v>
      </c>
      <c r="H50" s="45"/>
      <c r="I50" s="44">
        <f>+'2012'!$G33</f>
        <v>377238.9</v>
      </c>
      <c r="J50" s="56">
        <f t="shared" si="6"/>
        <v>377238.9</v>
      </c>
      <c r="K50" s="45"/>
      <c r="L50" s="44">
        <f>+'2013'!$G33</f>
        <v>400127.30000000005</v>
      </c>
      <c r="M50" s="56">
        <f t="shared" si="7"/>
        <v>22888.400000000023</v>
      </c>
      <c r="N50" s="56"/>
      <c r="O50" s="44">
        <f>+'2014'!$G33</f>
        <v>428127.30000000005</v>
      </c>
      <c r="P50" s="56">
        <f t="shared" si="8"/>
        <v>28000</v>
      </c>
      <c r="Q50" s="45"/>
      <c r="R50" s="44">
        <f>+'2015'!$G33</f>
        <v>448127.30000000005</v>
      </c>
      <c r="S50" s="56">
        <f t="shared" si="9"/>
        <v>20000</v>
      </c>
      <c r="T50" s="45"/>
      <c r="U50" s="45"/>
    </row>
    <row r="51" spans="3:21" x14ac:dyDescent="0.25">
      <c r="C51" s="32" t="str">
        <f>+'2011'!B34</f>
        <v>1955.0000</v>
      </c>
      <c r="D51" s="32" t="str">
        <f>+'2011'!C34</f>
        <v>Communication Equipment</v>
      </c>
      <c r="E51" s="44">
        <f>+'2011'!D34</f>
        <v>0</v>
      </c>
      <c r="F51" s="44">
        <f>+'2011'!G34</f>
        <v>0</v>
      </c>
      <c r="G51" s="45">
        <f t="shared" si="5"/>
        <v>0</v>
      </c>
      <c r="H51" s="45"/>
      <c r="I51" s="44">
        <f>+'2012'!$G34</f>
        <v>12465.77</v>
      </c>
      <c r="J51" s="56">
        <f t="shared" si="6"/>
        <v>12465.77</v>
      </c>
      <c r="K51" s="45"/>
      <c r="L51" s="44">
        <f>+'2013'!$G34</f>
        <v>12465.77</v>
      </c>
      <c r="M51" s="56">
        <f t="shared" si="7"/>
        <v>0</v>
      </c>
      <c r="N51" s="56"/>
      <c r="O51" s="44">
        <f>+'2014'!$G34</f>
        <v>12465.77</v>
      </c>
      <c r="P51" s="56">
        <f t="shared" si="8"/>
        <v>0</v>
      </c>
      <c r="Q51" s="45"/>
      <c r="R51" s="44">
        <f>+'2015'!$G34</f>
        <v>12465.77</v>
      </c>
      <c r="S51" s="56">
        <f t="shared" si="9"/>
        <v>0</v>
      </c>
      <c r="T51" s="45"/>
      <c r="U51" s="45"/>
    </row>
    <row r="52" spans="3:21" x14ac:dyDescent="0.25">
      <c r="C52" s="32" t="str">
        <f>+'2011'!B35</f>
        <v>1960.1000</v>
      </c>
      <c r="D52" s="32" t="str">
        <f>+'2011'!C35</f>
        <v>Mobile Substation</v>
      </c>
      <c r="E52" s="44">
        <f>+'2011'!D35</f>
        <v>0</v>
      </c>
      <c r="F52" s="44">
        <f>+'2011'!G35</f>
        <v>0</v>
      </c>
      <c r="G52" s="45">
        <f t="shared" si="5"/>
        <v>0</v>
      </c>
      <c r="H52" s="45"/>
      <c r="I52" s="44">
        <f>+'2012'!$G35</f>
        <v>200000</v>
      </c>
      <c r="J52" s="56">
        <f t="shared" si="6"/>
        <v>200000</v>
      </c>
      <c r="K52" s="45"/>
      <c r="L52" s="44">
        <f>+'2013'!$G35</f>
        <v>200000</v>
      </c>
      <c r="M52" s="56">
        <f t="shared" si="7"/>
        <v>0</v>
      </c>
      <c r="N52" s="56"/>
      <c r="O52" s="44">
        <f>+'2014'!$G35</f>
        <v>200000</v>
      </c>
      <c r="P52" s="56">
        <f t="shared" si="8"/>
        <v>0</v>
      </c>
      <c r="Q52" s="45"/>
      <c r="R52" s="44">
        <f>+'2015'!$G35</f>
        <v>200000</v>
      </c>
      <c r="S52" s="56">
        <f t="shared" si="9"/>
        <v>0</v>
      </c>
      <c r="T52" s="45"/>
      <c r="U52" s="45"/>
    </row>
    <row r="53" spans="3:21" x14ac:dyDescent="0.25">
      <c r="C53" s="31">
        <f>+'2011'!B36</f>
        <v>1980</v>
      </c>
      <c r="D53" s="31" t="str">
        <f>+'2011'!C36</f>
        <v>System Supervisory - SCADA</v>
      </c>
      <c r="E53" s="44">
        <f>+'2011'!D36</f>
        <v>43592.36</v>
      </c>
      <c r="F53" s="44">
        <f>+'2011'!G36</f>
        <v>43592.36</v>
      </c>
      <c r="G53" s="45">
        <f t="shared" si="5"/>
        <v>0</v>
      </c>
      <c r="H53" s="45"/>
      <c r="I53" s="44">
        <f>+'2012'!$G36</f>
        <v>58001.21</v>
      </c>
      <c r="J53" s="56">
        <f t="shared" si="6"/>
        <v>14408.849999999999</v>
      </c>
      <c r="K53" s="45"/>
      <c r="L53" s="44">
        <f>+'2013'!$G36</f>
        <v>58001.21</v>
      </c>
      <c r="M53" s="56">
        <f t="shared" si="7"/>
        <v>0</v>
      </c>
      <c r="N53" s="56"/>
      <c r="O53" s="44">
        <f>+'2014'!$G36</f>
        <v>58001.21</v>
      </c>
      <c r="P53" s="56">
        <f t="shared" si="8"/>
        <v>0</v>
      </c>
      <c r="Q53" s="45"/>
      <c r="R53" s="44">
        <f>+'2015'!$G36</f>
        <v>108001.20999999999</v>
      </c>
      <c r="S53" s="56">
        <f t="shared" si="9"/>
        <v>49999.999999999993</v>
      </c>
      <c r="T53" s="45"/>
      <c r="U53" s="45"/>
    </row>
    <row r="54" spans="3:21" x14ac:dyDescent="0.25">
      <c r="C54" s="31">
        <f>+'2011'!B37</f>
        <v>1980.1</v>
      </c>
      <c r="D54" s="31" t="str">
        <f>+'2011'!C37</f>
        <v>GIS System</v>
      </c>
      <c r="E54" s="44">
        <f>+'2011'!D37</f>
        <v>0</v>
      </c>
      <c r="F54" s="44">
        <f>+'2011'!G37</f>
        <v>0</v>
      </c>
      <c r="G54" s="45">
        <f t="shared" si="5"/>
        <v>0</v>
      </c>
      <c r="H54" s="45"/>
      <c r="I54" s="44">
        <f>+'2012'!$G37</f>
        <v>397907.52</v>
      </c>
      <c r="J54" s="56">
        <f t="shared" si="6"/>
        <v>397907.52</v>
      </c>
      <c r="K54" s="45"/>
      <c r="L54" s="44">
        <f>+'2013'!$G37</f>
        <v>467702.37</v>
      </c>
      <c r="M54" s="56">
        <f t="shared" si="7"/>
        <v>69794.849999999977</v>
      </c>
      <c r="N54" s="56"/>
      <c r="O54" s="44">
        <f>+'2014'!$G37</f>
        <v>617702.37</v>
      </c>
      <c r="P54" s="56">
        <f t="shared" si="8"/>
        <v>150000</v>
      </c>
      <c r="Q54" s="45"/>
      <c r="R54" s="44">
        <f>+'2015'!$G37</f>
        <v>667702.37</v>
      </c>
      <c r="S54" s="56">
        <f t="shared" si="9"/>
        <v>50000</v>
      </c>
      <c r="T54" s="45"/>
      <c r="U54" s="45"/>
    </row>
    <row r="55" spans="3:21" s="9" customFormat="1" x14ac:dyDescent="0.25">
      <c r="C55" s="62"/>
      <c r="D55" s="62"/>
      <c r="E55" s="63">
        <f>SUM(E48:E54)</f>
        <v>43592.36</v>
      </c>
      <c r="F55" s="63">
        <f>SUM(F48:F54)</f>
        <v>43592.36</v>
      </c>
      <c r="G55" s="63">
        <f>SUM(G48:G54)</f>
        <v>0</v>
      </c>
      <c r="H55" s="63"/>
      <c r="I55" s="63">
        <f>SUM(I48:I54)</f>
        <v>1796890.27</v>
      </c>
      <c r="J55" s="63">
        <f>SUM(J48:J54)</f>
        <v>1753297.9100000001</v>
      </c>
      <c r="K55" s="63"/>
      <c r="L55" s="63">
        <f>SUM(L48:L54)</f>
        <v>2098657</v>
      </c>
      <c r="M55" s="63">
        <f>SUM(M48:M54)</f>
        <v>301766.73</v>
      </c>
      <c r="N55" s="65"/>
      <c r="O55" s="63">
        <f>SUM(O48:O54)</f>
        <v>2699449.06</v>
      </c>
      <c r="P55" s="63">
        <f>SUM(P48:P54)</f>
        <v>600792.06000000006</v>
      </c>
      <c r="Q55" s="63"/>
      <c r="R55" s="63">
        <f>SUM(R48:R54)</f>
        <v>3014449.0600000005</v>
      </c>
      <c r="S55" s="63">
        <f>SUM(S48:S54)</f>
        <v>315000</v>
      </c>
      <c r="T55" s="63"/>
      <c r="U55" s="52"/>
    </row>
    <row r="56" spans="3:21" x14ac:dyDescent="0.25"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</row>
    <row r="57" spans="3:21" ht="15.75" thickBot="1" x14ac:dyDescent="0.3">
      <c r="C57" s="10" t="s">
        <v>124</v>
      </c>
      <c r="D57" s="10"/>
      <c r="E57" s="51">
        <f>+E39+E45+E55</f>
        <v>2603029.6699999995</v>
      </c>
      <c r="F57" s="51">
        <f>+F39+F45+F55</f>
        <v>2603029.6699999995</v>
      </c>
      <c r="G57" s="51">
        <f>+G39+G45+G55</f>
        <v>0</v>
      </c>
      <c r="H57" s="51"/>
      <c r="I57" s="51">
        <f>+I39+I45+I55</f>
        <v>4984714.8599999994</v>
      </c>
      <c r="J57" s="51">
        <f>+J39+J45+J55</f>
        <v>2381685.1900000004</v>
      </c>
      <c r="K57" s="51"/>
      <c r="L57" s="51">
        <f>+L39+L45+L55</f>
        <v>5485353.0999999996</v>
      </c>
      <c r="M57" s="51">
        <f>+M39+M45+M55</f>
        <v>500638.24000000022</v>
      </c>
      <c r="N57" s="65"/>
      <c r="O57" s="51">
        <f>+O39+O45+O55</f>
        <v>6302145.1600000001</v>
      </c>
      <c r="P57" s="51">
        <f>+P39+P45+P55</f>
        <v>816792.06</v>
      </c>
      <c r="Q57" s="51"/>
      <c r="R57" s="51">
        <f>+R39+R45+R55</f>
        <v>6815145.1600000001</v>
      </c>
      <c r="S57" s="51">
        <f>+S39+S45+S55</f>
        <v>513000</v>
      </c>
      <c r="T57" s="51"/>
      <c r="U57" s="45"/>
    </row>
    <row r="58" spans="3:21" x14ac:dyDescent="0.25"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spans="3:21" s="9" customFormat="1" x14ac:dyDescent="0.25">
      <c r="C59" s="64">
        <v>2055</v>
      </c>
      <c r="D59" s="9" t="s">
        <v>61</v>
      </c>
      <c r="E59" s="52">
        <v>0</v>
      </c>
      <c r="F59" s="52">
        <f>+'2011'!G62</f>
        <v>150101</v>
      </c>
      <c r="G59" s="52">
        <f>+F59-E59</f>
        <v>150101</v>
      </c>
      <c r="H59" s="52"/>
      <c r="I59" s="52">
        <f>+'2012'!$G62</f>
        <v>114689</v>
      </c>
      <c r="J59" s="66">
        <f>+I59-F59</f>
        <v>-35412</v>
      </c>
      <c r="K59" s="52"/>
      <c r="L59" s="52">
        <f>+'2013'!$G62</f>
        <v>88742.06</v>
      </c>
      <c r="M59" s="66">
        <f>+L59-I59</f>
        <v>-25946.940000000002</v>
      </c>
      <c r="N59" s="52"/>
      <c r="O59" s="52">
        <f>+'2014'!$G62</f>
        <v>0</v>
      </c>
      <c r="P59" s="66">
        <f>+O59-L59</f>
        <v>-88742.06</v>
      </c>
      <c r="Q59" s="52"/>
      <c r="R59" s="52">
        <f>+'2015'!$G62</f>
        <v>0</v>
      </c>
      <c r="S59" s="52">
        <f>+R59-O59</f>
        <v>0</v>
      </c>
      <c r="T59" s="52"/>
      <c r="U59" s="52"/>
    </row>
    <row r="60" spans="3:21" x14ac:dyDescent="0.25"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</row>
    <row r="61" spans="3:21" s="9" customFormat="1" x14ac:dyDescent="0.25">
      <c r="C61" s="57">
        <v>1995</v>
      </c>
      <c r="D61" s="53" t="s">
        <v>120</v>
      </c>
      <c r="E61" s="59">
        <f>-6828610-251000*0.5</f>
        <v>-6954110</v>
      </c>
      <c r="F61" s="59">
        <f>+'2011'!G58</f>
        <v>-7177501.8450135794</v>
      </c>
      <c r="G61" s="59">
        <f>+F61-E61</f>
        <v>-223391.84501357935</v>
      </c>
      <c r="H61" s="59"/>
      <c r="I61" s="59">
        <f>+'2012'!$G58</f>
        <v>-7501524.9899999993</v>
      </c>
      <c r="J61" s="59">
        <f>+I61-F61</f>
        <v>-324023.14498641994</v>
      </c>
      <c r="K61" s="59"/>
      <c r="L61" s="59">
        <f>+'2013'!$G58</f>
        <v>-8097668.7700000005</v>
      </c>
      <c r="M61" s="59">
        <f>+L61-I61</f>
        <v>-596143.78000000119</v>
      </c>
      <c r="N61" s="66"/>
      <c r="O61" s="59">
        <f>+'2014'!$G58</f>
        <v>-8197668.7700000005</v>
      </c>
      <c r="P61" s="59">
        <f>+O61-L61</f>
        <v>-100000</v>
      </c>
      <c r="Q61" s="59"/>
      <c r="R61" s="59">
        <f>+'2015'!$G58</f>
        <v>-8001876.0200000005</v>
      </c>
      <c r="S61" s="59">
        <f>+R61-O61</f>
        <v>195792.75</v>
      </c>
      <c r="T61" s="59"/>
      <c r="U61" s="52"/>
    </row>
    <row r="62" spans="3:21" x14ac:dyDescent="0.25"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</row>
    <row r="63" spans="3:21" ht="15.75" thickBot="1" x14ac:dyDescent="0.3">
      <c r="C63" s="10" t="s">
        <v>125</v>
      </c>
      <c r="D63" s="10"/>
      <c r="E63" s="51">
        <f>+E32+E57+E59+E61</f>
        <v>40233778.25</v>
      </c>
      <c r="F63" s="51">
        <f>+F32+F57+F59+F61</f>
        <v>41127789.624986425</v>
      </c>
      <c r="G63" s="51">
        <f>+G32+G57+G59+G61</f>
        <v>894011.37498641899</v>
      </c>
      <c r="H63" s="51"/>
      <c r="I63" s="51">
        <f>+I32+I57+I59+I61</f>
        <v>48156563.957999997</v>
      </c>
      <c r="J63" s="51">
        <f>+J32+J57+J59+J61</f>
        <v>7028774.3330135811</v>
      </c>
      <c r="K63" s="51"/>
      <c r="L63" s="51">
        <f>+L32+L57+L59+L61</f>
        <v>49654138.027999997</v>
      </c>
      <c r="M63" s="51">
        <f>+M32+M57+M59+M61</f>
        <v>1497574.0699999989</v>
      </c>
      <c r="N63" s="65"/>
      <c r="O63" s="51">
        <f>+O32+O57+O59+O61</f>
        <v>52082188.02799999</v>
      </c>
      <c r="P63" s="51">
        <f>+P32+P57+P59+P61</f>
        <v>2428050</v>
      </c>
      <c r="Q63" s="51"/>
      <c r="R63" s="51">
        <f>+R32+R57+R59+R61</f>
        <v>52262473.537999995</v>
      </c>
      <c r="S63" s="51">
        <f>+S32+S57+S59+S61</f>
        <v>180285.50999999978</v>
      </c>
      <c r="T63" s="51"/>
      <c r="U63" s="45"/>
    </row>
    <row r="64" spans="3:21" x14ac:dyDescent="0.25"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</row>
    <row r="65" spans="5:21" x14ac:dyDescent="0.25"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>
        <f>+R63-O63</f>
        <v>180285.51000000536</v>
      </c>
      <c r="S65" s="45"/>
      <c r="T65" s="45"/>
      <c r="U65" s="45"/>
    </row>
    <row r="66" spans="5:21" x14ac:dyDescent="0.25"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5:21" x14ac:dyDescent="0.25"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5:21" x14ac:dyDescent="0.25"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5:21" x14ac:dyDescent="0.25"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5:21" x14ac:dyDescent="0.25"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5:21" x14ac:dyDescent="0.25"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5:21" x14ac:dyDescent="0.25"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5:21" x14ac:dyDescent="0.25"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5:21" x14ac:dyDescent="0.25"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5:21" x14ac:dyDescent="0.25"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5:21" x14ac:dyDescent="0.25"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5:21" x14ac:dyDescent="0.25"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5:21" x14ac:dyDescent="0.25"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</row>
    <row r="79" spans="5:21" x14ac:dyDescent="0.25"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5:21" x14ac:dyDescent="0.25"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</row>
    <row r="81" spans="5:21" x14ac:dyDescent="0.25"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</row>
  </sheetData>
  <mergeCells count="1">
    <mergeCell ref="C2:S2"/>
  </mergeCells>
  <pageMargins left="0.11811023622047245" right="0.11811023622047245" top="0.15748031496062992" bottom="0.15748031496062992" header="0.31496062992125984" footer="0.31496062992125984"/>
  <pageSetup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88"/>
  <sheetViews>
    <sheetView showGridLines="0" topLeftCell="A31" workbookViewId="0">
      <selection activeCell="B3" sqref="B3:Q64"/>
    </sheetView>
  </sheetViews>
  <sheetFormatPr defaultRowHeight="15" x14ac:dyDescent="0.25"/>
  <cols>
    <col min="2" max="2" width="9.5703125" bestFit="1" customWidth="1"/>
    <col min="3" max="3" width="35.42578125" bestFit="1" customWidth="1"/>
    <col min="4" max="4" width="15" bestFit="1" customWidth="1"/>
    <col min="5" max="5" width="15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2" max="12" width="15" style="9" bestFit="1" customWidth="1"/>
    <col min="13" max="13" width="2.7109375" customWidth="1"/>
    <col min="14" max="14" width="14.28515625" bestFit="1" customWidth="1"/>
    <col min="15" max="15" width="13.28515625" bestFit="1" customWidth="1"/>
    <col min="16" max="16" width="14" bestFit="1" customWidth="1"/>
    <col min="17" max="17" width="14.28515625" style="9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C2" s="9"/>
    </row>
    <row r="3" spans="2:22" x14ac:dyDescent="0.25">
      <c r="B3" s="9" t="s">
        <v>109</v>
      </c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f>+'2010'!G7</f>
        <v>6733.79</v>
      </c>
      <c r="E7" s="4">
        <v>0</v>
      </c>
      <c r="F7" s="4">
        <v>0</v>
      </c>
      <c r="G7" s="13">
        <f>SUM(D7:F7)</f>
        <v>6733.79</v>
      </c>
      <c r="H7" s="4"/>
      <c r="I7" s="4"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20" si="0">+D7+I7</f>
        <v>6733.79</v>
      </c>
      <c r="O7" s="4">
        <f t="shared" ref="O7:O20" si="1">+E7+F7</f>
        <v>0</v>
      </c>
      <c r="P7" s="4">
        <f>+J7+K7</f>
        <v>0</v>
      </c>
      <c r="Q7" s="13">
        <f>SUM(N7:P7)</f>
        <v>6733.79</v>
      </c>
      <c r="R7" s="4"/>
    </row>
    <row r="8" spans="2:22" x14ac:dyDescent="0.25">
      <c r="B8" s="6" t="s">
        <v>12</v>
      </c>
      <c r="C8" t="s">
        <v>13</v>
      </c>
      <c r="D8" s="4">
        <f>+'2010'!G8</f>
        <v>850124.96</v>
      </c>
      <c r="E8" s="4">
        <v>0</v>
      </c>
      <c r="F8" s="4">
        <v>0</v>
      </c>
      <c r="G8" s="13">
        <f>SUM(D8:F8)</f>
        <v>850124.96</v>
      </c>
      <c r="H8" s="4"/>
      <c r="I8" s="4">
        <v>-826606.66</v>
      </c>
      <c r="J8" s="4">
        <f>-831275.62-I8</f>
        <v>-4668.9599999999627</v>
      </c>
      <c r="K8" s="4">
        <v>0</v>
      </c>
      <c r="L8" s="13">
        <f>SUM(I8:K8)</f>
        <v>-831275.62</v>
      </c>
      <c r="M8" s="4"/>
      <c r="N8" s="4">
        <f t="shared" si="0"/>
        <v>23518.29999999993</v>
      </c>
      <c r="O8" s="4">
        <f t="shared" si="1"/>
        <v>0</v>
      </c>
      <c r="P8" s="4">
        <f>+J8+K8</f>
        <v>-4668.9599999999627</v>
      </c>
      <c r="Q8" s="13">
        <f>SUM(N8:P8)</f>
        <v>18849.339999999967</v>
      </c>
      <c r="R8" s="4"/>
    </row>
    <row r="9" spans="2:22" x14ac:dyDescent="0.25">
      <c r="B9" t="s">
        <v>14</v>
      </c>
      <c r="C9" t="s">
        <v>15</v>
      </c>
      <c r="D9" s="4">
        <f>+'2010'!G9</f>
        <v>7783182.5700000003</v>
      </c>
      <c r="E9" s="4">
        <f>867202.58+769608.4+417767.18+764509.46+5639558.51-D9</f>
        <v>675463.55999999866</v>
      </c>
      <c r="F9" s="4">
        <v>0</v>
      </c>
      <c r="G9" s="13">
        <f t="shared" ref="G9:G38" si="2">SUM(D9:F9)</f>
        <v>8458646.129999999</v>
      </c>
      <c r="H9" s="4"/>
      <c r="I9" s="4">
        <v>-3571192.63</v>
      </c>
      <c r="J9" s="4">
        <f>-3876606.02-I9</f>
        <v>-305413.39000000013</v>
      </c>
      <c r="K9" s="4">
        <v>0</v>
      </c>
      <c r="L9" s="13">
        <f t="shared" ref="L9:L38" si="3">SUM(I9:K9)</f>
        <v>-3876606.02</v>
      </c>
      <c r="M9" s="4"/>
      <c r="N9" s="4">
        <f t="shared" si="0"/>
        <v>4211989.9400000004</v>
      </c>
      <c r="O9" s="4">
        <f t="shared" si="1"/>
        <v>675463.55999999866</v>
      </c>
      <c r="P9" s="4">
        <f t="shared" ref="P9:P38" si="4">+J9+K9</f>
        <v>-305413.39000000013</v>
      </c>
      <c r="Q9" s="13">
        <f t="shared" ref="Q9:Q38" si="5">SUM(N9:P9)</f>
        <v>4582040.1099999994</v>
      </c>
      <c r="R9" s="4"/>
    </row>
    <row r="10" spans="2:22" x14ac:dyDescent="0.25">
      <c r="B10" t="s">
        <v>16</v>
      </c>
      <c r="C10" t="s">
        <v>17</v>
      </c>
      <c r="D10" s="4">
        <f>+'2010'!G10</f>
        <v>7161738.96</v>
      </c>
      <c r="E10" s="4">
        <f>855917.97+589653.13+402167.44+56030.68+5579045.12-D10</f>
        <v>321075.37999999989</v>
      </c>
      <c r="F10" s="4">
        <v>0</v>
      </c>
      <c r="G10" s="13">
        <f t="shared" si="2"/>
        <v>7482814.3399999999</v>
      </c>
      <c r="H10" s="4"/>
      <c r="I10" s="4">
        <v>-3648531.81</v>
      </c>
      <c r="J10" s="4">
        <f>-3933150.74-I10</f>
        <v>-284618.93000000017</v>
      </c>
      <c r="K10" s="4">
        <v>0</v>
      </c>
      <c r="L10" s="13">
        <f t="shared" si="3"/>
        <v>-3933150.74</v>
      </c>
      <c r="M10" s="4"/>
      <c r="N10" s="4">
        <f t="shared" si="0"/>
        <v>3513207.15</v>
      </c>
      <c r="O10" s="4">
        <f t="shared" si="1"/>
        <v>321075.37999999989</v>
      </c>
      <c r="P10" s="4">
        <f t="shared" si="4"/>
        <v>-284618.93000000017</v>
      </c>
      <c r="Q10" s="13">
        <f t="shared" si="5"/>
        <v>3549663.5999999996</v>
      </c>
      <c r="R10" s="4"/>
    </row>
    <row r="11" spans="2:22" x14ac:dyDescent="0.25">
      <c r="B11" t="s">
        <v>18</v>
      </c>
      <c r="C11" t="s">
        <v>19</v>
      </c>
      <c r="D11" s="4">
        <f>+'2010'!G11</f>
        <v>3822469.1100000003</v>
      </c>
      <c r="E11" s="4">
        <f>14921.79+230380.54+3.07+1164806.17+2526500.14-D11</f>
        <v>114142.59999999963</v>
      </c>
      <c r="F11" s="4">
        <v>0</v>
      </c>
      <c r="G11" s="13">
        <f t="shared" si="2"/>
        <v>3936611.71</v>
      </c>
      <c r="H11" s="4"/>
      <c r="I11" s="4">
        <v>-1773048.68</v>
      </c>
      <c r="J11" s="4">
        <f>-1906280.26-I11</f>
        <v>-133231.58000000007</v>
      </c>
      <c r="K11" s="4">
        <v>0</v>
      </c>
      <c r="L11" s="13">
        <f t="shared" si="3"/>
        <v>-1906280.26</v>
      </c>
      <c r="M11" s="4"/>
      <c r="N11" s="4">
        <f t="shared" si="0"/>
        <v>2049420.4300000004</v>
      </c>
      <c r="O11" s="4">
        <f t="shared" si="1"/>
        <v>114142.59999999963</v>
      </c>
      <c r="P11" s="4">
        <f t="shared" si="4"/>
        <v>-133231.58000000007</v>
      </c>
      <c r="Q11" s="13">
        <f t="shared" si="5"/>
        <v>2030331.4500000002</v>
      </c>
      <c r="R11" s="4"/>
    </row>
    <row r="12" spans="2:22" x14ac:dyDescent="0.25">
      <c r="B12" t="s">
        <v>20</v>
      </c>
      <c r="C12" t="s">
        <v>21</v>
      </c>
      <c r="D12" s="4">
        <f>+'2010'!G12</f>
        <v>7760133.6799999997</v>
      </c>
      <c r="E12" s="4">
        <f>202979.98+646568.96+65430.71+1697232.82+5405344.24-D12</f>
        <v>257423.03000000026</v>
      </c>
      <c r="F12" s="4">
        <v>0</v>
      </c>
      <c r="G12" s="13">
        <f t="shared" si="2"/>
        <v>8017556.71</v>
      </c>
      <c r="H12" s="4"/>
      <c r="I12" s="4">
        <v>-3453990.34</v>
      </c>
      <c r="J12" s="4">
        <f>-3749509.8-I12</f>
        <v>-295519.45999999996</v>
      </c>
      <c r="K12" s="4">
        <v>0</v>
      </c>
      <c r="L12" s="13">
        <f t="shared" si="3"/>
        <v>-3749509.8</v>
      </c>
      <c r="M12" s="4"/>
      <c r="N12" s="4">
        <f t="shared" si="0"/>
        <v>4306143.34</v>
      </c>
      <c r="O12" s="4">
        <f t="shared" si="1"/>
        <v>257423.03000000026</v>
      </c>
      <c r="P12" s="4">
        <f t="shared" si="4"/>
        <v>-295519.45999999996</v>
      </c>
      <c r="Q12" s="13">
        <f t="shared" si="5"/>
        <v>4268046.91</v>
      </c>
      <c r="R12" s="4"/>
    </row>
    <row r="13" spans="2:22" x14ac:dyDescent="0.25">
      <c r="B13" t="s">
        <v>22</v>
      </c>
      <c r="C13" t="s">
        <v>23</v>
      </c>
      <c r="D13" s="4">
        <f>+'2010'!G13</f>
        <v>1453452.4700000002</v>
      </c>
      <c r="E13" s="4">
        <f>163263.3+1230270.42+69271.3+144374.1-D13</f>
        <v>153726.64999999991</v>
      </c>
      <c r="F13" s="4">
        <v>0</v>
      </c>
      <c r="G13" s="13">
        <f t="shared" si="2"/>
        <v>1607179.12</v>
      </c>
      <c r="H13" s="4"/>
      <c r="I13" s="4">
        <v>-212322.95</v>
      </c>
      <c r="J13" s="4">
        <f>-276610.11-I13</f>
        <v>-64287.159999999974</v>
      </c>
      <c r="K13" s="4">
        <v>0</v>
      </c>
      <c r="L13" s="13">
        <f t="shared" si="3"/>
        <v>-276610.11</v>
      </c>
      <c r="M13" s="4"/>
      <c r="N13" s="4">
        <f t="shared" si="0"/>
        <v>1241129.5200000003</v>
      </c>
      <c r="O13" s="4">
        <f t="shared" si="1"/>
        <v>153726.64999999991</v>
      </c>
      <c r="P13" s="4">
        <f t="shared" si="4"/>
        <v>-64287.159999999974</v>
      </c>
      <c r="Q13" s="13">
        <f t="shared" si="5"/>
        <v>1330569.0100000002</v>
      </c>
      <c r="R13" s="4"/>
    </row>
    <row r="14" spans="2:22" x14ac:dyDescent="0.25">
      <c r="B14" t="s">
        <v>24</v>
      </c>
      <c r="C14" t="s">
        <v>25</v>
      </c>
      <c r="D14" s="4">
        <f>+'2010'!G14</f>
        <v>7392916.5499999998</v>
      </c>
      <c r="E14" s="4">
        <f>209978.62+530060+101466.96+12830.72+6691673.39-D14</f>
        <v>153093.13999999966</v>
      </c>
      <c r="F14" s="4">
        <v>0</v>
      </c>
      <c r="G14" s="27">
        <f t="shared" si="2"/>
        <v>7546009.6899999995</v>
      </c>
      <c r="H14" s="4"/>
      <c r="I14" s="4">
        <v>-4352947.82</v>
      </c>
      <c r="J14" s="4">
        <f>-4616796.84-I14</f>
        <v>-263849.01999999955</v>
      </c>
      <c r="K14" s="4">
        <v>0</v>
      </c>
      <c r="L14" s="13">
        <f t="shared" si="3"/>
        <v>-4616796.84</v>
      </c>
      <c r="M14" s="4"/>
      <c r="N14" s="4">
        <f t="shared" si="0"/>
        <v>3039968.7299999995</v>
      </c>
      <c r="O14" s="4">
        <f t="shared" si="1"/>
        <v>153093.13999999966</v>
      </c>
      <c r="P14" s="4">
        <f t="shared" si="4"/>
        <v>-263849.01999999955</v>
      </c>
      <c r="Q14" s="13">
        <f t="shared" si="5"/>
        <v>2929212.8499999996</v>
      </c>
      <c r="R14" s="4"/>
    </row>
    <row r="15" spans="2:22" x14ac:dyDescent="0.25">
      <c r="B15" t="s">
        <v>26</v>
      </c>
      <c r="C15" t="s">
        <v>27</v>
      </c>
      <c r="D15" s="4">
        <f>+'2010'!G15</f>
        <v>3981176.41</v>
      </c>
      <c r="E15" s="17">
        <f>526232.59+164329.94+172496.58+10702.97+3223514.27-D15</f>
        <v>116099.93999999994</v>
      </c>
      <c r="F15" s="4">
        <v>0</v>
      </c>
      <c r="G15" s="13">
        <f t="shared" si="2"/>
        <v>4097276.35</v>
      </c>
      <c r="H15" s="4"/>
      <c r="I15" s="4">
        <v>-1999173.67</v>
      </c>
      <c r="J15" s="4">
        <f>-2148914.09-I15</f>
        <v>-149740.41999999993</v>
      </c>
      <c r="K15" s="4">
        <v>0</v>
      </c>
      <c r="L15" s="13">
        <f t="shared" si="3"/>
        <v>-2148914.09</v>
      </c>
      <c r="M15" s="4"/>
      <c r="N15" s="4">
        <f t="shared" si="0"/>
        <v>1982002.7400000002</v>
      </c>
      <c r="O15" s="4">
        <f t="shared" si="1"/>
        <v>116099.93999999994</v>
      </c>
      <c r="P15" s="4">
        <f t="shared" si="4"/>
        <v>-149740.41999999993</v>
      </c>
      <c r="Q15" s="13">
        <f t="shared" si="5"/>
        <v>1948362.2600000002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+'2010'!G16</f>
        <v>1029553.3200000001</v>
      </c>
      <c r="E16" s="4">
        <f>419355.15+38202.16+149676.52+500330.4-D16</f>
        <v>78010.909999999916</v>
      </c>
      <c r="F16" s="4">
        <v>0</v>
      </c>
      <c r="G16" s="27">
        <f t="shared" si="2"/>
        <v>1107564.23</v>
      </c>
      <c r="H16" s="4"/>
      <c r="I16" s="4">
        <v>-142349.53</v>
      </c>
      <c r="J16" s="4">
        <f>-186652.1-I16</f>
        <v>-44302.570000000007</v>
      </c>
      <c r="K16" s="4">
        <v>0</v>
      </c>
      <c r="L16" s="13">
        <f t="shared" si="3"/>
        <v>-186652.1</v>
      </c>
      <c r="M16" s="4"/>
      <c r="N16" s="4">
        <f t="shared" si="0"/>
        <v>887203.79</v>
      </c>
      <c r="O16" s="4">
        <f t="shared" si="1"/>
        <v>78010.909999999916</v>
      </c>
      <c r="P16" s="4">
        <f t="shared" si="4"/>
        <v>-44302.570000000007</v>
      </c>
      <c r="Q16" s="13">
        <f t="shared" si="5"/>
        <v>920912.12999999989</v>
      </c>
      <c r="R16" s="4"/>
      <c r="U16" s="26"/>
    </row>
    <row r="17" spans="2:22" x14ac:dyDescent="0.25">
      <c r="B17" t="s">
        <v>30</v>
      </c>
      <c r="C17" t="s">
        <v>31</v>
      </c>
      <c r="D17" s="4">
        <f>+'2010'!G17</f>
        <v>2272023.44</v>
      </c>
      <c r="E17" s="4">
        <f>166890.13+1346.91+18239.41+2077997.02+14033.77-D17</f>
        <v>6483.8000000002794</v>
      </c>
      <c r="F17" s="4">
        <v>0</v>
      </c>
      <c r="G17" s="13">
        <f t="shared" si="2"/>
        <v>2278507.2400000002</v>
      </c>
      <c r="H17" s="4"/>
      <c r="I17" s="4">
        <v>-1426919.38</v>
      </c>
      <c r="J17" s="4">
        <f>-1495879.88-I17</f>
        <v>-68960.5</v>
      </c>
      <c r="K17" s="4">
        <v>0</v>
      </c>
      <c r="L17" s="13">
        <f t="shared" si="3"/>
        <v>-1495879.88</v>
      </c>
      <c r="M17" s="4"/>
      <c r="N17" s="4">
        <f t="shared" si="0"/>
        <v>845104.06</v>
      </c>
      <c r="O17" s="4">
        <f t="shared" si="1"/>
        <v>6483.8000000002794</v>
      </c>
      <c r="P17" s="4">
        <f t="shared" si="4"/>
        <v>-68960.5</v>
      </c>
      <c r="Q17" s="13">
        <f t="shared" si="5"/>
        <v>782627.36000000034</v>
      </c>
      <c r="R17" s="4"/>
      <c r="T17" s="5">
        <f>+N17</f>
        <v>845104.06</v>
      </c>
      <c r="U17" s="26">
        <f>+T17/T19</f>
        <v>0.91918778255969691</v>
      </c>
      <c r="V17" s="13">
        <f>+U17*N53</f>
        <v>-189262.79056099374</v>
      </c>
    </row>
    <row r="18" spans="2:22" x14ac:dyDescent="0.25">
      <c r="B18" s="1">
        <v>1860.15</v>
      </c>
      <c r="C18" t="s">
        <v>55</v>
      </c>
      <c r="D18" s="4">
        <f>+'2010'!G18</f>
        <v>0</v>
      </c>
      <c r="E18" s="4">
        <v>0</v>
      </c>
      <c r="F18" s="4"/>
      <c r="G18" s="13">
        <f t="shared" si="2"/>
        <v>0</v>
      </c>
      <c r="H18" s="4"/>
      <c r="I18" s="4">
        <v>0</v>
      </c>
      <c r="J18" s="4">
        <v>0</v>
      </c>
      <c r="K18" s="4">
        <v>0</v>
      </c>
      <c r="L18" s="13">
        <f t="shared" ref="L18" si="6">SUM(I18:K18)</f>
        <v>0</v>
      </c>
      <c r="M18" s="4"/>
      <c r="N18" s="4">
        <f t="shared" si="0"/>
        <v>0</v>
      </c>
      <c r="O18" s="4">
        <f t="shared" si="1"/>
        <v>0</v>
      </c>
      <c r="P18" s="4">
        <f t="shared" si="4"/>
        <v>0</v>
      </c>
      <c r="Q18" s="13">
        <f t="shared" ref="Q18" si="7">SUM(N18:P18)</f>
        <v>0</v>
      </c>
      <c r="R18" s="4"/>
      <c r="T18" s="5">
        <f>+N19</f>
        <v>74299</v>
      </c>
      <c r="U18" s="26">
        <f>+T18/T19</f>
        <v>8.081221744030305E-2</v>
      </c>
      <c r="V18" s="13">
        <f>+N53-V17</f>
        <v>-16639.413702368533</v>
      </c>
    </row>
    <row r="19" spans="2:22" x14ac:dyDescent="0.25">
      <c r="B19" t="s">
        <v>32</v>
      </c>
      <c r="C19" t="s">
        <v>33</v>
      </c>
      <c r="D19" s="4">
        <f>+'2010'!G19</f>
        <v>83282.61</v>
      </c>
      <c r="E19" s="4">
        <f>4721.35+45613.53+389.96+38792.91-D19</f>
        <v>6235.1399999999994</v>
      </c>
      <c r="F19" s="4">
        <v>0</v>
      </c>
      <c r="G19" s="13">
        <f t="shared" si="2"/>
        <v>89517.75</v>
      </c>
      <c r="H19" s="4"/>
      <c r="I19" s="4">
        <v>-8983.61</v>
      </c>
      <c r="J19" s="4">
        <f>-12564.32-I19</f>
        <v>-3580.7099999999991</v>
      </c>
      <c r="K19" s="4">
        <v>0</v>
      </c>
      <c r="L19" s="13">
        <f t="shared" si="3"/>
        <v>-12564.32</v>
      </c>
      <c r="M19" s="4"/>
      <c r="N19" s="4">
        <f t="shared" si="0"/>
        <v>74299</v>
      </c>
      <c r="O19" s="4">
        <f t="shared" si="1"/>
        <v>6235.1399999999994</v>
      </c>
      <c r="P19" s="4">
        <f t="shared" si="4"/>
        <v>-3580.7099999999991</v>
      </c>
      <c r="Q19" s="13">
        <f t="shared" si="5"/>
        <v>76953.429999999993</v>
      </c>
      <c r="R19" s="4"/>
      <c r="T19" s="5">
        <f>+T17+T18</f>
        <v>919403.06</v>
      </c>
      <c r="U19" s="26"/>
    </row>
    <row r="20" spans="2:22" ht="15.75" thickBot="1" x14ac:dyDescent="0.3">
      <c r="B20" s="2" t="s">
        <v>34</v>
      </c>
      <c r="C20" s="2" t="s">
        <v>35</v>
      </c>
      <c r="D20" s="18">
        <f>+'2010'!G20</f>
        <v>73618.78</v>
      </c>
      <c r="E20" s="18">
        <f>4334.49+726.09+68558.2-D20</f>
        <v>0</v>
      </c>
      <c r="F20" s="18">
        <v>0</v>
      </c>
      <c r="G20" s="19">
        <f t="shared" si="2"/>
        <v>73618.78</v>
      </c>
      <c r="H20" s="18"/>
      <c r="I20" s="18">
        <v>-7873.81</v>
      </c>
      <c r="J20" s="18">
        <f>-10818.55-I20</f>
        <v>-2944.7399999999989</v>
      </c>
      <c r="K20" s="18">
        <v>0</v>
      </c>
      <c r="L20" s="19">
        <f t="shared" si="3"/>
        <v>-10818.55</v>
      </c>
      <c r="M20" s="18"/>
      <c r="N20" s="18">
        <f t="shared" si="0"/>
        <v>65744.97</v>
      </c>
      <c r="O20" s="18">
        <f t="shared" si="1"/>
        <v>0</v>
      </c>
      <c r="P20" s="18">
        <f t="shared" si="4"/>
        <v>-2944.7399999999989</v>
      </c>
      <c r="Q20" s="19">
        <f t="shared" si="5"/>
        <v>62800.23</v>
      </c>
      <c r="R20" s="18"/>
      <c r="V20" s="13">
        <f>+V17+V18</f>
        <v>-205902.20426336228</v>
      </c>
    </row>
    <row r="21" spans="2:22" x14ac:dyDescent="0.25">
      <c r="D21" s="4"/>
      <c r="E21" s="4"/>
      <c r="F21" s="4"/>
      <c r="G21" s="13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2:22" s="9" customFormat="1" ht="15.75" thickBot="1" x14ac:dyDescent="0.3">
      <c r="B22" s="10" t="s">
        <v>57</v>
      </c>
      <c r="C22" s="10"/>
      <c r="D22" s="19">
        <f>SUM(D7:D21)</f>
        <v>43670406.649999999</v>
      </c>
      <c r="E22" s="19">
        <f>SUM(E7:E21)</f>
        <v>1881754.149999998</v>
      </c>
      <c r="F22" s="19">
        <f>SUM(F7:F21)</f>
        <v>0</v>
      </c>
      <c r="G22" s="19">
        <f>SUM(G7:G21)</f>
        <v>45552160.800000004</v>
      </c>
      <c r="H22" s="19"/>
      <c r="I22" s="19">
        <f>SUM(I7:I21)</f>
        <v>-21423940.890000001</v>
      </c>
      <c r="J22" s="19">
        <f>SUM(J7:J21)</f>
        <v>-1621117.4399999997</v>
      </c>
      <c r="K22" s="19">
        <f>SUM(K7:K21)</f>
        <v>0</v>
      </c>
      <c r="L22" s="19">
        <f>SUM(L7:L21)</f>
        <v>-23045058.329999998</v>
      </c>
      <c r="M22" s="19"/>
      <c r="N22" s="19">
        <f>SUM(N7:N21)</f>
        <v>22246465.759999994</v>
      </c>
      <c r="O22" s="19">
        <f>SUM(O7:O21)</f>
        <v>1881754.149999998</v>
      </c>
      <c r="P22" s="19">
        <f>SUM(P7:P21)</f>
        <v>-1621117.4399999997</v>
      </c>
      <c r="Q22" s="19">
        <f>SUM(Q7:Q21)</f>
        <v>22507102.469999999</v>
      </c>
      <c r="R22" s="19"/>
    </row>
    <row r="23" spans="2:22" x14ac:dyDescent="0.25">
      <c r="D23" s="4"/>
      <c r="E23" s="4"/>
      <c r="F23" s="4"/>
      <c r="G23" s="13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2:22" x14ac:dyDescent="0.25">
      <c r="D24" s="4"/>
      <c r="E24" s="4"/>
      <c r="F24" s="4"/>
      <c r="G24" s="13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2:22" x14ac:dyDescent="0.25">
      <c r="B25" s="31">
        <v>1905</v>
      </c>
      <c r="C25" t="s">
        <v>56</v>
      </c>
      <c r="D25" s="4">
        <v>174187.53</v>
      </c>
      <c r="E25" s="4"/>
      <c r="F25" s="4">
        <v>0</v>
      </c>
      <c r="G25" s="13">
        <f t="shared" ref="G25" si="8">SUM(D25:F25)</f>
        <v>174187.53</v>
      </c>
      <c r="H25" s="4"/>
      <c r="I25" s="4">
        <v>0</v>
      </c>
      <c r="J25" s="4"/>
      <c r="K25" s="4">
        <v>0</v>
      </c>
      <c r="L25" s="13">
        <f t="shared" ref="L25" si="9">SUM(I25:K25)</f>
        <v>0</v>
      </c>
      <c r="M25" s="4"/>
      <c r="N25" s="4">
        <f t="shared" ref="N25:N31" si="10">+D25+I25</f>
        <v>174187.53</v>
      </c>
      <c r="O25" s="4">
        <f t="shared" ref="O25:O38" si="11">+E25+F25</f>
        <v>0</v>
      </c>
      <c r="P25" s="4">
        <f t="shared" ref="P25" si="12">+J25+K25</f>
        <v>0</v>
      </c>
      <c r="Q25" s="13">
        <f t="shared" ref="Q25" si="13">SUM(N25:P25)</f>
        <v>174187.53</v>
      </c>
      <c r="R25" s="4"/>
    </row>
    <row r="26" spans="2:22" x14ac:dyDescent="0.25">
      <c r="B26" s="32" t="s">
        <v>36</v>
      </c>
      <c r="C26" t="s">
        <v>37</v>
      </c>
      <c r="D26" s="4">
        <v>2385249.7799999998</v>
      </c>
      <c r="E26" s="4">
        <f>2385249.78-D26</f>
        <v>0</v>
      </c>
      <c r="F26" s="4">
        <v>0</v>
      </c>
      <c r="G26" s="13">
        <f t="shared" si="2"/>
        <v>2385249.7799999998</v>
      </c>
      <c r="H26" s="4"/>
      <c r="I26" s="4">
        <v>-850574.08</v>
      </c>
      <c r="J26" s="4">
        <f>-900206.89-I26</f>
        <v>-49632.810000000056</v>
      </c>
      <c r="K26" s="4">
        <v>0</v>
      </c>
      <c r="L26" s="13">
        <f t="shared" si="3"/>
        <v>-900206.89</v>
      </c>
      <c r="M26" s="4"/>
      <c r="N26" s="4">
        <f t="shared" si="10"/>
        <v>1534675.6999999997</v>
      </c>
      <c r="O26" s="4">
        <f t="shared" si="11"/>
        <v>0</v>
      </c>
      <c r="P26" s="4">
        <f t="shared" si="4"/>
        <v>-49632.810000000056</v>
      </c>
      <c r="Q26" s="13">
        <f t="shared" si="5"/>
        <v>1485042.8899999997</v>
      </c>
      <c r="R26" s="4"/>
    </row>
    <row r="27" spans="2:22" x14ac:dyDescent="0.25">
      <c r="B27" s="32" t="s">
        <v>38</v>
      </c>
      <c r="C27" t="s">
        <v>39</v>
      </c>
      <c r="D27" s="4">
        <v>0</v>
      </c>
      <c r="E27" s="4"/>
      <c r="F27" s="4">
        <v>0</v>
      </c>
      <c r="G27" s="13">
        <f t="shared" si="2"/>
        <v>0</v>
      </c>
      <c r="H27" s="4"/>
      <c r="I27" s="4">
        <v>0</v>
      </c>
      <c r="J27" s="4">
        <v>0</v>
      </c>
      <c r="K27" s="4">
        <v>0</v>
      </c>
      <c r="L27" s="13">
        <f t="shared" si="3"/>
        <v>0</v>
      </c>
      <c r="M27" s="4"/>
      <c r="N27" s="4">
        <f t="shared" si="10"/>
        <v>0</v>
      </c>
      <c r="O27" s="4">
        <f t="shared" si="11"/>
        <v>0</v>
      </c>
      <c r="P27" s="4">
        <f t="shared" si="4"/>
        <v>0</v>
      </c>
      <c r="Q27" s="13">
        <f t="shared" si="5"/>
        <v>0</v>
      </c>
      <c r="R27" s="4"/>
    </row>
    <row r="28" spans="2:22" x14ac:dyDescent="0.25">
      <c r="B28" s="32" t="s">
        <v>40</v>
      </c>
      <c r="C28" t="s">
        <v>41</v>
      </c>
      <c r="D28" s="4">
        <v>0</v>
      </c>
      <c r="E28" s="4"/>
      <c r="F28" s="4">
        <v>0</v>
      </c>
      <c r="G28" s="27">
        <f t="shared" si="2"/>
        <v>0</v>
      </c>
      <c r="H28" s="4"/>
      <c r="I28" s="4">
        <v>0</v>
      </c>
      <c r="J28" s="4">
        <v>0</v>
      </c>
      <c r="K28" s="4">
        <v>0</v>
      </c>
      <c r="L28" s="13">
        <f t="shared" si="3"/>
        <v>0</v>
      </c>
      <c r="M28" s="4"/>
      <c r="N28" s="4">
        <f t="shared" si="10"/>
        <v>0</v>
      </c>
      <c r="O28" s="4">
        <f t="shared" si="11"/>
        <v>0</v>
      </c>
      <c r="P28" s="4">
        <f t="shared" si="4"/>
        <v>0</v>
      </c>
      <c r="Q28" s="13">
        <f t="shared" si="5"/>
        <v>0</v>
      </c>
      <c r="R28" s="4"/>
    </row>
    <row r="29" spans="2:22" x14ac:dyDescent="0.25">
      <c r="B29" s="32" t="s">
        <v>42</v>
      </c>
      <c r="C29" t="s">
        <v>43</v>
      </c>
      <c r="D29" s="4">
        <v>0</v>
      </c>
      <c r="E29" s="4"/>
      <c r="F29" s="4">
        <v>0</v>
      </c>
      <c r="G29" s="13">
        <f t="shared" si="2"/>
        <v>0</v>
      </c>
      <c r="H29" s="4"/>
      <c r="I29" s="4">
        <v>0</v>
      </c>
      <c r="J29" s="4">
        <v>0</v>
      </c>
      <c r="K29" s="4">
        <v>0</v>
      </c>
      <c r="L29" s="13">
        <f t="shared" si="3"/>
        <v>0</v>
      </c>
      <c r="M29" s="4"/>
      <c r="N29" s="4">
        <f t="shared" si="10"/>
        <v>0</v>
      </c>
      <c r="O29" s="4">
        <f t="shared" si="11"/>
        <v>0</v>
      </c>
      <c r="P29" s="4">
        <f t="shared" si="4"/>
        <v>0</v>
      </c>
      <c r="Q29" s="13">
        <f t="shared" si="5"/>
        <v>0</v>
      </c>
      <c r="R29" s="4"/>
    </row>
    <row r="30" spans="2:22" x14ac:dyDescent="0.25">
      <c r="B30" s="32" t="s">
        <v>44</v>
      </c>
      <c r="C30" t="s">
        <v>45</v>
      </c>
      <c r="D30" s="4">
        <v>0</v>
      </c>
      <c r="E30" s="4"/>
      <c r="F30" s="4">
        <v>0</v>
      </c>
      <c r="G30" s="13">
        <f t="shared" si="2"/>
        <v>0</v>
      </c>
      <c r="H30" s="4"/>
      <c r="I30" s="4">
        <v>0</v>
      </c>
      <c r="J30" s="4">
        <v>0</v>
      </c>
      <c r="K30" s="4">
        <v>0</v>
      </c>
      <c r="L30" s="13">
        <f t="shared" si="3"/>
        <v>0</v>
      </c>
      <c r="M30" s="4"/>
      <c r="N30" s="4">
        <f t="shared" si="10"/>
        <v>0</v>
      </c>
      <c r="O30" s="4">
        <f t="shared" si="11"/>
        <v>0</v>
      </c>
      <c r="P30" s="4">
        <f t="shared" si="4"/>
        <v>0</v>
      </c>
      <c r="Q30" s="13">
        <f t="shared" si="5"/>
        <v>0</v>
      </c>
      <c r="R30" s="4"/>
    </row>
    <row r="31" spans="2:22" x14ac:dyDescent="0.25">
      <c r="B31" s="32" t="s">
        <v>46</v>
      </c>
      <c r="C31" t="s">
        <v>47</v>
      </c>
      <c r="D31" s="4">
        <v>0</v>
      </c>
      <c r="E31" s="4"/>
      <c r="F31" s="4">
        <v>0</v>
      </c>
      <c r="G31" s="13">
        <f t="shared" si="2"/>
        <v>0</v>
      </c>
      <c r="H31" s="4"/>
      <c r="I31" s="4">
        <v>0</v>
      </c>
      <c r="J31" s="4">
        <v>0</v>
      </c>
      <c r="K31" s="4">
        <v>0</v>
      </c>
      <c r="L31" s="13">
        <f t="shared" si="3"/>
        <v>0</v>
      </c>
      <c r="M31" s="4"/>
      <c r="N31" s="4">
        <f t="shared" si="10"/>
        <v>0</v>
      </c>
      <c r="O31" s="4">
        <f t="shared" si="11"/>
        <v>0</v>
      </c>
      <c r="P31" s="4">
        <f t="shared" si="4"/>
        <v>0</v>
      </c>
      <c r="Q31" s="13">
        <f t="shared" si="5"/>
        <v>0</v>
      </c>
      <c r="R31" s="4"/>
    </row>
    <row r="32" spans="2:22" x14ac:dyDescent="0.25">
      <c r="B32" s="31">
        <v>1930</v>
      </c>
      <c r="C32" t="s">
        <v>59</v>
      </c>
      <c r="D32" s="4"/>
      <c r="E32" s="4"/>
      <c r="F32" s="4"/>
      <c r="G32" s="13"/>
      <c r="H32" s="4"/>
      <c r="I32" s="4"/>
      <c r="J32" s="4">
        <v>0</v>
      </c>
      <c r="K32" s="4"/>
      <c r="L32" s="13">
        <f t="shared" si="3"/>
        <v>0</v>
      </c>
      <c r="M32" s="4"/>
      <c r="N32" s="4"/>
      <c r="O32" s="4">
        <f t="shared" si="11"/>
        <v>0</v>
      </c>
      <c r="P32" s="4">
        <f t="shared" si="4"/>
        <v>0</v>
      </c>
      <c r="Q32" s="13">
        <f t="shared" ref="Q32" si="14">SUM(N32:P32)</f>
        <v>0</v>
      </c>
      <c r="R32" s="4"/>
    </row>
    <row r="33" spans="2:18" x14ac:dyDescent="0.25">
      <c r="B33" s="32" t="s">
        <v>48</v>
      </c>
      <c r="C33" t="s">
        <v>49</v>
      </c>
      <c r="D33" s="4">
        <v>0</v>
      </c>
      <c r="E33" s="4"/>
      <c r="F33" s="4">
        <v>0</v>
      </c>
      <c r="G33" s="27">
        <f t="shared" si="2"/>
        <v>0</v>
      </c>
      <c r="H33" s="4"/>
      <c r="I33" s="4">
        <v>0</v>
      </c>
      <c r="J33" s="4">
        <v>0</v>
      </c>
      <c r="K33" s="4">
        <v>0</v>
      </c>
      <c r="L33" s="13">
        <f t="shared" si="3"/>
        <v>0</v>
      </c>
      <c r="M33" s="4"/>
      <c r="N33" s="4">
        <f t="shared" ref="N33:N38" si="15">+D33+I33</f>
        <v>0</v>
      </c>
      <c r="O33" s="4">
        <f t="shared" si="11"/>
        <v>0</v>
      </c>
      <c r="P33" s="4">
        <f t="shared" si="4"/>
        <v>0</v>
      </c>
      <c r="Q33" s="13">
        <f t="shared" si="5"/>
        <v>0</v>
      </c>
      <c r="R33" s="4"/>
    </row>
    <row r="34" spans="2:18" x14ac:dyDescent="0.25">
      <c r="B34" s="32" t="s">
        <v>50</v>
      </c>
      <c r="C34" t="s">
        <v>51</v>
      </c>
      <c r="D34" s="4">
        <v>0</v>
      </c>
      <c r="E34" s="4"/>
      <c r="F34" s="4">
        <v>0</v>
      </c>
      <c r="G34" s="13">
        <f t="shared" si="2"/>
        <v>0</v>
      </c>
      <c r="H34" s="4"/>
      <c r="I34" s="4">
        <v>0</v>
      </c>
      <c r="J34" s="4">
        <v>0</v>
      </c>
      <c r="K34" s="4">
        <v>0</v>
      </c>
      <c r="L34" s="13">
        <f t="shared" si="3"/>
        <v>0</v>
      </c>
      <c r="M34" s="4"/>
      <c r="N34" s="4">
        <f t="shared" si="15"/>
        <v>0</v>
      </c>
      <c r="O34" s="4">
        <f t="shared" si="11"/>
        <v>0</v>
      </c>
      <c r="P34" s="4">
        <f t="shared" si="4"/>
        <v>0</v>
      </c>
      <c r="Q34" s="13">
        <f t="shared" si="5"/>
        <v>0</v>
      </c>
      <c r="R34" s="4"/>
    </row>
    <row r="35" spans="2:18" x14ac:dyDescent="0.25">
      <c r="B35" s="32" t="s">
        <v>52</v>
      </c>
      <c r="C35" t="s">
        <v>53</v>
      </c>
      <c r="D35" s="4">
        <v>0</v>
      </c>
      <c r="E35" s="4"/>
      <c r="F35" s="4">
        <v>0</v>
      </c>
      <c r="G35" s="13">
        <f t="shared" si="2"/>
        <v>0</v>
      </c>
      <c r="H35" s="4"/>
      <c r="I35" s="4">
        <v>0</v>
      </c>
      <c r="J35" s="4">
        <v>0</v>
      </c>
      <c r="K35" s="4">
        <v>0</v>
      </c>
      <c r="L35" s="13">
        <f t="shared" si="3"/>
        <v>0</v>
      </c>
      <c r="M35" s="4"/>
      <c r="N35" s="4">
        <f t="shared" si="15"/>
        <v>0</v>
      </c>
      <c r="O35" s="4">
        <f t="shared" si="11"/>
        <v>0</v>
      </c>
      <c r="P35" s="4">
        <f t="shared" si="4"/>
        <v>0</v>
      </c>
      <c r="Q35" s="13">
        <f t="shared" si="5"/>
        <v>0</v>
      </c>
      <c r="R35" s="4"/>
    </row>
    <row r="36" spans="2:18" x14ac:dyDescent="0.25">
      <c r="B36" s="31">
        <v>1980</v>
      </c>
      <c r="C36" t="s">
        <v>54</v>
      </c>
      <c r="D36" s="4">
        <v>43592.36</v>
      </c>
      <c r="E36" s="4">
        <v>0</v>
      </c>
      <c r="F36" s="4"/>
      <c r="G36" s="13">
        <f t="shared" si="2"/>
        <v>43592.36</v>
      </c>
      <c r="H36" s="4"/>
      <c r="I36" s="4">
        <v>-28788.48</v>
      </c>
      <c r="J36" s="4">
        <f>-31694.61-I36</f>
        <v>-2906.130000000001</v>
      </c>
      <c r="K36" s="4"/>
      <c r="L36" s="13">
        <f t="shared" si="3"/>
        <v>-31694.61</v>
      </c>
      <c r="M36" s="4"/>
      <c r="N36" s="4">
        <f t="shared" si="15"/>
        <v>14803.880000000001</v>
      </c>
      <c r="O36" s="4">
        <f t="shared" si="11"/>
        <v>0</v>
      </c>
      <c r="P36" s="4">
        <f t="shared" si="4"/>
        <v>-2906.130000000001</v>
      </c>
      <c r="Q36" s="13">
        <f t="shared" ref="Q36" si="16">SUM(N36:P36)</f>
        <v>11897.75</v>
      </c>
      <c r="R36" s="4"/>
    </row>
    <row r="37" spans="2:18" ht="15.75" thickBot="1" x14ac:dyDescent="0.3">
      <c r="B37" s="33">
        <v>1980.1</v>
      </c>
      <c r="C37" s="2" t="s">
        <v>66</v>
      </c>
      <c r="D37" s="18">
        <v>0</v>
      </c>
      <c r="E37" s="18">
        <v>0</v>
      </c>
      <c r="F37" s="18">
        <v>0</v>
      </c>
      <c r="G37" s="19">
        <f t="shared" si="2"/>
        <v>0</v>
      </c>
      <c r="H37" s="18"/>
      <c r="I37" s="18">
        <v>0</v>
      </c>
      <c r="J37" s="18">
        <v>0</v>
      </c>
      <c r="K37" s="18">
        <v>0</v>
      </c>
      <c r="L37" s="19">
        <f t="shared" si="3"/>
        <v>0</v>
      </c>
      <c r="M37" s="18"/>
      <c r="N37" s="18">
        <f t="shared" si="15"/>
        <v>0</v>
      </c>
      <c r="O37" s="18">
        <f t="shared" si="11"/>
        <v>0</v>
      </c>
      <c r="P37" s="18">
        <f t="shared" si="4"/>
        <v>0</v>
      </c>
      <c r="Q37" s="19">
        <f t="shared" si="5"/>
        <v>0</v>
      </c>
      <c r="R37" s="18"/>
    </row>
    <row r="38" spans="2:18" x14ac:dyDescent="0.25">
      <c r="D38" s="4"/>
      <c r="E38" s="4"/>
      <c r="F38" s="4">
        <v>0</v>
      </c>
      <c r="G38" s="13">
        <f t="shared" si="2"/>
        <v>0</v>
      </c>
      <c r="H38" s="4"/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5"/>
        <v>0</v>
      </c>
      <c r="O38" s="4">
        <f t="shared" si="11"/>
        <v>0</v>
      </c>
      <c r="P38" s="4">
        <f t="shared" si="4"/>
        <v>0</v>
      </c>
      <c r="Q38" s="13">
        <f t="shared" si="5"/>
        <v>0</v>
      </c>
      <c r="R38" s="4"/>
    </row>
    <row r="39" spans="2:18" s="9" customFormat="1" ht="15.75" thickBot="1" x14ac:dyDescent="0.3">
      <c r="B39" s="10" t="s">
        <v>58</v>
      </c>
      <c r="C39" s="10"/>
      <c r="D39" s="19">
        <f>SUM(D25:D38)</f>
        <v>2603029.6699999995</v>
      </c>
      <c r="E39" s="19">
        <f>SUM(E25:E38)</f>
        <v>0</v>
      </c>
      <c r="F39" s="19">
        <f>SUM(F25:F38)</f>
        <v>0</v>
      </c>
      <c r="G39" s="19">
        <f>SUM(G25:G38)</f>
        <v>2603029.6699999995</v>
      </c>
      <c r="H39" s="19"/>
      <c r="I39" s="19">
        <f>SUM(I25:I38)</f>
        <v>-879362.55999999994</v>
      </c>
      <c r="J39" s="19">
        <f>SUM(J25:J38)</f>
        <v>-52538.940000000061</v>
      </c>
      <c r="K39" s="19">
        <f>SUM(K25:K38)</f>
        <v>0</v>
      </c>
      <c r="L39" s="19">
        <f>SUM(L25:L38)</f>
        <v>-931901.5</v>
      </c>
      <c r="M39" s="19"/>
      <c r="N39" s="19">
        <f>SUM(N25:N38)</f>
        <v>1723667.1099999996</v>
      </c>
      <c r="O39" s="19">
        <f>SUM(O25:O38)</f>
        <v>0</v>
      </c>
      <c r="P39" s="19">
        <f>SUM(P25:P38)</f>
        <v>-52538.940000000061</v>
      </c>
      <c r="Q39" s="19">
        <f>SUM(Q25:Q38)</f>
        <v>1671128.1699999997</v>
      </c>
      <c r="R39" s="19"/>
    </row>
    <row r="40" spans="2:18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2:18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2:18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2:18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</row>
    <row r="44" spans="2:18" x14ac:dyDescent="0.25">
      <c r="B44" s="24" t="s">
        <v>12</v>
      </c>
      <c r="C44" s="7" t="s">
        <v>13</v>
      </c>
      <c r="D44" s="8">
        <v>0</v>
      </c>
      <c r="E44" s="7"/>
      <c r="F44" s="7"/>
      <c r="G44" s="15"/>
      <c r="I44" s="8">
        <v>0</v>
      </c>
      <c r="J44" s="7"/>
      <c r="K44" s="7"/>
      <c r="L44" s="16"/>
      <c r="M44" s="4"/>
      <c r="N44" s="8"/>
      <c r="O44" s="8"/>
      <c r="P44" s="8"/>
      <c r="Q44" s="16"/>
      <c r="R44" s="4"/>
    </row>
    <row r="45" spans="2:18" x14ac:dyDescent="0.25">
      <c r="B45" s="34" t="s">
        <v>14</v>
      </c>
      <c r="C45" s="7" t="s">
        <v>15</v>
      </c>
      <c r="D45" s="8">
        <v>-1315066.478072999</v>
      </c>
      <c r="E45" s="8">
        <f>-271865.51*'2012'!E45/'2012'!$E$58</f>
        <v>-3374.9919270009395</v>
      </c>
      <c r="F45" s="8">
        <v>0</v>
      </c>
      <c r="G45" s="16">
        <f t="shared" ref="G45:G55" si="17">SUM(D45:F45)</f>
        <v>-1318441.47</v>
      </c>
      <c r="I45" s="8">
        <v>309901.92105877248</v>
      </c>
      <c r="J45" s="8">
        <f t="shared" ref="J45:J54" si="18">287320.17*G45/$G$58</f>
        <v>52778.088459653081</v>
      </c>
      <c r="K45" s="8">
        <v>0</v>
      </c>
      <c r="L45" s="16">
        <f t="shared" ref="L45:L55" si="19">SUM(I45:K45)</f>
        <v>362680.00951842556</v>
      </c>
      <c r="M45" s="4"/>
      <c r="N45" s="8">
        <f t="shared" ref="N45:N55" si="20">+D45+I45</f>
        <v>-1005164.5570142266</v>
      </c>
      <c r="O45" s="8">
        <f t="shared" ref="O45:O55" si="21">+E45+F45</f>
        <v>-3374.9919270009395</v>
      </c>
      <c r="P45" s="8">
        <f t="shared" ref="P45:P55" si="22">+J45+K45</f>
        <v>52778.088459653081</v>
      </c>
      <c r="Q45" s="16">
        <f t="shared" ref="Q45:Q53" si="23">SUM(N45:P45)</f>
        <v>-955761.46048157441</v>
      </c>
      <c r="R45" s="4"/>
    </row>
    <row r="46" spans="2:18" x14ac:dyDescent="0.25">
      <c r="B46" s="34" t="s">
        <v>16</v>
      </c>
      <c r="C46" s="7" t="s">
        <v>17</v>
      </c>
      <c r="D46" s="8">
        <v>-1129322.6736978572</v>
      </c>
      <c r="E46" s="8">
        <f>-271865.51*'2012'!E46/'2012'!$E$58</f>
        <v>-1301.5063021427079</v>
      </c>
      <c r="F46" s="8">
        <v>0</v>
      </c>
      <c r="G46" s="16">
        <f t="shared" si="17"/>
        <v>-1130624.18</v>
      </c>
      <c r="I46" s="8">
        <v>265755.14601910952</v>
      </c>
      <c r="J46" s="8">
        <f t="shared" si="18"/>
        <v>45259.637492032714</v>
      </c>
      <c r="K46" s="8">
        <v>0</v>
      </c>
      <c r="L46" s="16">
        <f t="shared" si="19"/>
        <v>311014.78351114225</v>
      </c>
      <c r="M46" s="4"/>
      <c r="N46" s="8">
        <f t="shared" si="20"/>
        <v>-863567.52767874766</v>
      </c>
      <c r="O46" s="8">
        <f t="shared" si="21"/>
        <v>-1301.5063021427079</v>
      </c>
      <c r="P46" s="8">
        <f t="shared" si="22"/>
        <v>45259.637492032714</v>
      </c>
      <c r="Q46" s="16">
        <f t="shared" si="23"/>
        <v>-819609.39648885769</v>
      </c>
      <c r="R46" s="4"/>
    </row>
    <row r="47" spans="2:18" x14ac:dyDescent="0.25">
      <c r="B47" s="34" t="s">
        <v>18</v>
      </c>
      <c r="C47" s="7" t="s">
        <v>19</v>
      </c>
      <c r="D47" s="8">
        <v>-715170.98163101496</v>
      </c>
      <c r="E47" s="8">
        <f>-271865.51*'2012'!E47/'2012'!$E$58</f>
        <v>-36392.518368985089</v>
      </c>
      <c r="F47" s="8">
        <v>0</v>
      </c>
      <c r="G47" s="16">
        <f t="shared" si="17"/>
        <v>-751563.5</v>
      </c>
      <c r="I47" s="8">
        <v>176656.28527875021</v>
      </c>
      <c r="J47" s="8">
        <f t="shared" si="18"/>
        <v>30085.58649633986</v>
      </c>
      <c r="K47" s="8">
        <v>0</v>
      </c>
      <c r="L47" s="16">
        <f t="shared" si="19"/>
        <v>206741.87177509005</v>
      </c>
      <c r="M47" s="4"/>
      <c r="N47" s="8">
        <f t="shared" si="20"/>
        <v>-538514.69635226473</v>
      </c>
      <c r="O47" s="8">
        <f t="shared" si="21"/>
        <v>-36392.518368985089</v>
      </c>
      <c r="P47" s="8">
        <f t="shared" si="22"/>
        <v>30085.58649633986</v>
      </c>
      <c r="Q47" s="16">
        <f t="shared" si="23"/>
        <v>-544821.62822490989</v>
      </c>
      <c r="R47" s="4"/>
    </row>
    <row r="48" spans="2:18" x14ac:dyDescent="0.25">
      <c r="B48" s="34" t="s">
        <v>20</v>
      </c>
      <c r="C48" s="7" t="s">
        <v>21</v>
      </c>
      <c r="D48" s="8">
        <v>-1286055.5129216218</v>
      </c>
      <c r="E48" s="8">
        <f>-271865.51*'2012'!E48/'2012'!$E$58</f>
        <v>-43748.027078378305</v>
      </c>
      <c r="F48" s="8">
        <v>0</v>
      </c>
      <c r="G48" s="16">
        <f t="shared" si="17"/>
        <v>-1329803.54</v>
      </c>
      <c r="I48" s="8">
        <v>312572.59503279749</v>
      </c>
      <c r="J48" s="8">
        <f t="shared" si="18"/>
        <v>53232.919674530422</v>
      </c>
      <c r="K48" s="8">
        <v>0</v>
      </c>
      <c r="L48" s="16">
        <f t="shared" si="19"/>
        <v>365805.51470732794</v>
      </c>
      <c r="M48" s="4"/>
      <c r="N48" s="8">
        <f t="shared" si="20"/>
        <v>-973482.91788882436</v>
      </c>
      <c r="O48" s="8">
        <f t="shared" si="21"/>
        <v>-43748.027078378305</v>
      </c>
      <c r="P48" s="8">
        <f t="shared" si="22"/>
        <v>53232.919674530422</v>
      </c>
      <c r="Q48" s="16">
        <f t="shared" si="23"/>
        <v>-963998.02529267222</v>
      </c>
      <c r="R48" s="4"/>
    </row>
    <row r="49" spans="2:22" x14ac:dyDescent="0.25">
      <c r="B49" s="34" t="s">
        <v>22</v>
      </c>
      <c r="C49" s="7" t="s">
        <v>23</v>
      </c>
      <c r="D49" s="8">
        <v>-660485.90026101458</v>
      </c>
      <c r="E49" s="8">
        <f>-271865.51*'2012'!E49/'2012'!$E$58</f>
        <v>-167713.74973898541</v>
      </c>
      <c r="F49" s="8">
        <v>0</v>
      </c>
      <c r="G49" s="16">
        <f t="shared" si="17"/>
        <v>-828199.65</v>
      </c>
      <c r="I49" s="8">
        <v>194669.74332596123</v>
      </c>
      <c r="J49" s="8">
        <f t="shared" si="18"/>
        <v>33153.382523650231</v>
      </c>
      <c r="K49" s="8">
        <v>0</v>
      </c>
      <c r="L49" s="16">
        <f t="shared" si="19"/>
        <v>227823.12584961148</v>
      </c>
      <c r="M49" s="4"/>
      <c r="N49" s="8">
        <f t="shared" si="20"/>
        <v>-465816.15693505335</v>
      </c>
      <c r="O49" s="8">
        <f t="shared" si="21"/>
        <v>-167713.74973898541</v>
      </c>
      <c r="P49" s="8">
        <f t="shared" si="22"/>
        <v>33153.382523650231</v>
      </c>
      <c r="Q49" s="16">
        <f t="shared" si="23"/>
        <v>-600376.52415038855</v>
      </c>
      <c r="R49" s="4"/>
    </row>
    <row r="50" spans="2:22" x14ac:dyDescent="0.25">
      <c r="B50" s="34" t="s">
        <v>24</v>
      </c>
      <c r="C50" s="7" t="s">
        <v>25</v>
      </c>
      <c r="D50" s="8">
        <v>-528856.84</v>
      </c>
      <c r="E50" s="8">
        <f>-271865.51*'2012'!E50/'2012'!$E$58</f>
        <v>0</v>
      </c>
      <c r="F50" s="8">
        <v>0</v>
      </c>
      <c r="G50" s="16">
        <f t="shared" si="17"/>
        <v>-528856.84</v>
      </c>
      <c r="I50" s="8">
        <v>124308.70418621758</v>
      </c>
      <c r="J50" s="8">
        <f t="shared" si="18"/>
        <v>21170.490855398071</v>
      </c>
      <c r="K50" s="8">
        <v>0</v>
      </c>
      <c r="L50" s="16">
        <f t="shared" si="19"/>
        <v>145479.19504161566</v>
      </c>
      <c r="M50" s="4"/>
      <c r="N50" s="8">
        <f t="shared" si="20"/>
        <v>-404548.1358137824</v>
      </c>
      <c r="O50" s="8">
        <f t="shared" si="21"/>
        <v>0</v>
      </c>
      <c r="P50" s="8">
        <f t="shared" si="22"/>
        <v>21170.490855398071</v>
      </c>
      <c r="Q50" s="16">
        <f t="shared" si="23"/>
        <v>-383377.64495838434</v>
      </c>
      <c r="R50" s="4"/>
    </row>
    <row r="51" spans="2:22" x14ac:dyDescent="0.25">
      <c r="B51" s="34" t="s">
        <v>26</v>
      </c>
      <c r="C51" s="7" t="s">
        <v>27</v>
      </c>
      <c r="D51" s="8">
        <v>-590059.48085525469</v>
      </c>
      <c r="E51" s="8">
        <f>-271865.51*'2012'!E51/'2012'!$E$58</f>
        <v>-6658.4091447453202</v>
      </c>
      <c r="F51" s="8">
        <v>0</v>
      </c>
      <c r="G51" s="16">
        <f t="shared" si="17"/>
        <v>-596717.89</v>
      </c>
      <c r="I51" s="8">
        <v>140259.5599796609</v>
      </c>
      <c r="J51" s="8">
        <f t="shared" si="18"/>
        <v>23887.01379658328</v>
      </c>
      <c r="K51" s="8">
        <v>0</v>
      </c>
      <c r="L51" s="16">
        <f t="shared" si="19"/>
        <v>164146.57377624419</v>
      </c>
      <c r="M51" s="4"/>
      <c r="N51" s="8">
        <f t="shared" si="20"/>
        <v>-449799.92087559379</v>
      </c>
      <c r="O51" s="8">
        <f t="shared" si="21"/>
        <v>-6658.4091447453202</v>
      </c>
      <c r="P51" s="8">
        <f t="shared" si="22"/>
        <v>23887.01379658328</v>
      </c>
      <c r="Q51" s="16">
        <f t="shared" si="23"/>
        <v>-432571.31622375583</v>
      </c>
      <c r="R51" s="4"/>
    </row>
    <row r="52" spans="2:22" x14ac:dyDescent="0.25">
      <c r="B52" s="34" t="s">
        <v>28</v>
      </c>
      <c r="C52" s="7" t="s">
        <v>29</v>
      </c>
      <c r="D52" s="8">
        <v>-395830.38754665822</v>
      </c>
      <c r="E52" s="8">
        <f>-271865.51*'2012'!E52/'2012'!$E$58</f>
        <v>-7173.9724533417357</v>
      </c>
      <c r="F52" s="8">
        <v>0</v>
      </c>
      <c r="G52" s="16">
        <f t="shared" si="17"/>
        <v>-403004.36</v>
      </c>
      <c r="I52" s="8">
        <v>94726.863649898049</v>
      </c>
      <c r="J52" s="8">
        <f t="shared" si="18"/>
        <v>16132.532422319722</v>
      </c>
      <c r="K52" s="8">
        <v>0</v>
      </c>
      <c r="L52" s="16">
        <f t="shared" si="19"/>
        <v>110859.39607221777</v>
      </c>
      <c r="M52" s="3"/>
      <c r="N52" s="8">
        <f t="shared" si="20"/>
        <v>-301103.52389676019</v>
      </c>
      <c r="O52" s="8">
        <f t="shared" si="21"/>
        <v>-7173.9724533417357</v>
      </c>
      <c r="P52" s="8">
        <f t="shared" si="22"/>
        <v>16132.532422319722</v>
      </c>
      <c r="Q52" s="16">
        <f t="shared" si="23"/>
        <v>-292144.96392778226</v>
      </c>
      <c r="R52" s="3"/>
    </row>
    <row r="53" spans="2:22" x14ac:dyDescent="0.25">
      <c r="B53" s="34" t="s">
        <v>30</v>
      </c>
      <c r="C53" s="7" t="s">
        <v>31</v>
      </c>
      <c r="D53" s="8">
        <v>-269171.40250000003</v>
      </c>
      <c r="E53" s="8">
        <f>-271865.51*'2012'!E53/'2012'!$E$58</f>
        <v>0</v>
      </c>
      <c r="F53" s="8">
        <v>0</v>
      </c>
      <c r="G53" s="16">
        <f t="shared" si="17"/>
        <v>-269171.40250000003</v>
      </c>
      <c r="I53" s="8">
        <v>63269.198236637756</v>
      </c>
      <c r="J53" s="8">
        <f t="shared" si="18"/>
        <v>10775.110170005413</v>
      </c>
      <c r="K53" s="8">
        <v>0</v>
      </c>
      <c r="L53" s="16">
        <f t="shared" si="19"/>
        <v>74044.308406643162</v>
      </c>
      <c r="M53" s="3"/>
      <c r="N53" s="8">
        <f t="shared" si="20"/>
        <v>-205902.20426336228</v>
      </c>
      <c r="O53" s="8">
        <f t="shared" si="21"/>
        <v>0</v>
      </c>
      <c r="P53" s="8">
        <f t="shared" si="22"/>
        <v>10775.110170005413</v>
      </c>
      <c r="Q53" s="16">
        <f t="shared" si="23"/>
        <v>-195127.09409335686</v>
      </c>
      <c r="R53" s="3"/>
    </row>
    <row r="54" spans="2:22" x14ac:dyDescent="0.25">
      <c r="B54" s="35">
        <v>1860.15</v>
      </c>
      <c r="C54" s="7" t="s">
        <v>55</v>
      </c>
      <c r="D54" s="8">
        <v>-21119.012513579488</v>
      </c>
      <c r="E54" s="8">
        <f>-271865.51*'2012'!E54/'2012'!$E$58</f>
        <v>0</v>
      </c>
      <c r="F54" s="8">
        <v>0</v>
      </c>
      <c r="G54" s="16">
        <f t="shared" si="17"/>
        <v>-21119.012513579488</v>
      </c>
      <c r="I54" s="8">
        <v>6257.3932321949424</v>
      </c>
      <c r="J54" s="8">
        <f t="shared" si="18"/>
        <v>845.40810948719513</v>
      </c>
      <c r="K54" s="8">
        <v>0</v>
      </c>
      <c r="L54" s="16">
        <f t="shared" si="19"/>
        <v>7102.8013416821377</v>
      </c>
      <c r="M54" s="3"/>
      <c r="N54" s="8">
        <f t="shared" si="20"/>
        <v>-14861.619281384545</v>
      </c>
      <c r="O54" s="8">
        <f t="shared" si="21"/>
        <v>0</v>
      </c>
      <c r="P54" s="8">
        <f t="shared" si="22"/>
        <v>845.40810948719513</v>
      </c>
      <c r="Q54" s="16">
        <f t="shared" ref="Q54:Q55" si="24">SUM(N54:P54)</f>
        <v>-14016.21117189735</v>
      </c>
      <c r="R54" s="3"/>
      <c r="S54" s="3"/>
      <c r="T54" s="3"/>
      <c r="U54" s="3"/>
      <c r="V54" s="14"/>
    </row>
    <row r="55" spans="2:22" x14ac:dyDescent="0.25">
      <c r="B55" s="34" t="s">
        <v>32</v>
      </c>
      <c r="C55" s="7" t="s">
        <v>33</v>
      </c>
      <c r="D55" s="8">
        <v>0</v>
      </c>
      <c r="E55" s="8">
        <v>0</v>
      </c>
      <c r="F55" s="8">
        <v>0</v>
      </c>
      <c r="G55" s="16">
        <f t="shared" si="17"/>
        <v>0</v>
      </c>
      <c r="I55" s="8"/>
      <c r="J55" s="8">
        <v>0</v>
      </c>
      <c r="K55" s="8">
        <v>0</v>
      </c>
      <c r="L55" s="16">
        <f t="shared" si="19"/>
        <v>0</v>
      </c>
      <c r="M55" s="3"/>
      <c r="N55" s="8">
        <f t="shared" si="20"/>
        <v>0</v>
      </c>
      <c r="O55" s="8">
        <f t="shared" si="21"/>
        <v>0</v>
      </c>
      <c r="P55" s="8">
        <f t="shared" si="22"/>
        <v>0</v>
      </c>
      <c r="Q55" s="16">
        <f t="shared" si="24"/>
        <v>0</v>
      </c>
      <c r="R55" s="3"/>
      <c r="S55" s="3"/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v>0</v>
      </c>
      <c r="E56" s="20">
        <v>0</v>
      </c>
      <c r="F56" s="20">
        <v>0</v>
      </c>
      <c r="G56" s="21">
        <f t="shared" ref="G56" si="25">SUM(D56:F56)</f>
        <v>0</v>
      </c>
      <c r="I56" s="20"/>
      <c r="J56" s="20">
        <v>0</v>
      </c>
      <c r="K56" s="20">
        <v>0</v>
      </c>
      <c r="L56" s="21"/>
      <c r="M56" s="3"/>
      <c r="N56" s="20"/>
      <c r="O56" s="20">
        <v>0</v>
      </c>
      <c r="P56" s="20">
        <v>0</v>
      </c>
      <c r="Q56" s="21">
        <f t="shared" ref="Q56" si="26">SUM(N56:P56)</f>
        <v>0</v>
      </c>
      <c r="R56" s="3"/>
      <c r="S56" s="3"/>
      <c r="T56" s="3"/>
      <c r="U56" s="3"/>
      <c r="V56" s="14"/>
    </row>
    <row r="57" spans="2:22" x14ac:dyDescent="0.25">
      <c r="M57" s="3"/>
      <c r="R57" s="3"/>
      <c r="S57" s="3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-6911138.6699999999</v>
      </c>
      <c r="E58" s="21">
        <f>SUM(E44:E57)</f>
        <v>-266363.17501357954</v>
      </c>
      <c r="F58" s="21">
        <f>SUM(F44:F57)</f>
        <v>0</v>
      </c>
      <c r="G58" s="21">
        <f>SUM(G44:G57)</f>
        <v>-7177501.8450135794</v>
      </c>
      <c r="H58" s="9"/>
      <c r="I58" s="21">
        <f>SUM(I44:I57)</f>
        <v>1688377.4100000001</v>
      </c>
      <c r="J58" s="21">
        <f>SUM(J44:J57)</f>
        <v>287320.17</v>
      </c>
      <c r="K58" s="21">
        <f>SUM(K44:K57)</f>
        <v>0</v>
      </c>
      <c r="L58" s="21">
        <f>SUM(L44:L57)</f>
        <v>1975697.5800000003</v>
      </c>
      <c r="N58" s="21">
        <f>SUM(N44:N57)</f>
        <v>-5222761.26</v>
      </c>
      <c r="O58" s="21">
        <f>SUM(O44:O57)</f>
        <v>-266363.17501357954</v>
      </c>
      <c r="P58" s="21">
        <f>SUM(P44:P57)</f>
        <v>287320.17</v>
      </c>
      <c r="Q58" s="21">
        <f>SUM(Q44:Q57)</f>
        <v>-5201804.2650135793</v>
      </c>
    </row>
    <row r="59" spans="2:22" x14ac:dyDescent="0.25">
      <c r="D59" s="5"/>
      <c r="E59" s="5"/>
      <c r="J59" s="37">
        <v>287320.17</v>
      </c>
    </row>
    <row r="60" spans="2:22" x14ac:dyDescent="0.25">
      <c r="G60" s="4"/>
    </row>
    <row r="61" spans="2:22" x14ac:dyDescent="0.25">
      <c r="B61" t="s">
        <v>10</v>
      </c>
      <c r="D61" s="22">
        <f>+D22+D39+D58</f>
        <v>39362297.649999999</v>
      </c>
      <c r="E61" s="22">
        <f>+E22+E39+E58</f>
        <v>1615390.9749864186</v>
      </c>
      <c r="F61" s="22">
        <f>+F22+F39+F58</f>
        <v>0</v>
      </c>
      <c r="G61" s="23">
        <f>+D61+E61+F61</f>
        <v>40977688.624986418</v>
      </c>
      <c r="I61" s="4">
        <f>+I22+I39+I58</f>
        <v>-20614926.039999999</v>
      </c>
      <c r="J61" s="4">
        <f>+J22+J39+J58</f>
        <v>-1386336.21</v>
      </c>
      <c r="K61" s="4">
        <f>+K22+K39+K58</f>
        <v>0</v>
      </c>
      <c r="L61" s="13">
        <f>+I61+J61+K61</f>
        <v>-22001262.25</v>
      </c>
      <c r="N61" s="4">
        <f>+N22+N39+N58</f>
        <v>18747371.609999992</v>
      </c>
      <c r="O61" s="4">
        <f>+O22+O39+O58</f>
        <v>1615390.9749864186</v>
      </c>
      <c r="P61" s="4">
        <f>+P22+P39+P58</f>
        <v>-1386336.21</v>
      </c>
      <c r="Q61" s="13">
        <f>+N61+O61+P61</f>
        <v>18976426.37498641</v>
      </c>
    </row>
    <row r="62" spans="2:22" ht="15.75" thickBot="1" x14ac:dyDescent="0.3">
      <c r="B62" s="2" t="s">
        <v>61</v>
      </c>
      <c r="C62" s="2"/>
      <c r="D62" s="18">
        <v>0</v>
      </c>
      <c r="E62" s="18">
        <v>150101</v>
      </c>
      <c r="F62" s="18">
        <v>0</v>
      </c>
      <c r="G62" s="19">
        <f>+D62+E62+F62</f>
        <v>150101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0</v>
      </c>
      <c r="O62" s="18">
        <f>+E62+F62</f>
        <v>150101</v>
      </c>
      <c r="P62" s="18">
        <f>+J62+K62</f>
        <v>0</v>
      </c>
      <c r="Q62" s="18">
        <f>+N62+O62+P62</f>
        <v>150101</v>
      </c>
    </row>
    <row r="63" spans="2:22" x14ac:dyDescent="0.25">
      <c r="L63"/>
    </row>
    <row r="64" spans="2:22" ht="15.75" thickBot="1" x14ac:dyDescent="0.3">
      <c r="B64" s="10"/>
      <c r="C64" s="2"/>
      <c r="D64" s="19">
        <f>+D61+D62</f>
        <v>39362297.649999999</v>
      </c>
      <c r="E64" s="19">
        <f>+E61+E62</f>
        <v>1765491.9749864186</v>
      </c>
      <c r="F64" s="19">
        <f>+F61+F62</f>
        <v>0</v>
      </c>
      <c r="G64" s="19">
        <f>+G61+G62</f>
        <v>41127789.624986418</v>
      </c>
      <c r="I64" s="19">
        <f>+I61+I62</f>
        <v>-20614926.039999999</v>
      </c>
      <c r="J64" s="19">
        <f>+J61+J62</f>
        <v>-1386336.21</v>
      </c>
      <c r="K64" s="19">
        <f>+K61+K62</f>
        <v>0</v>
      </c>
      <c r="L64" s="19">
        <f>+L61+L62</f>
        <v>-22001262.25</v>
      </c>
      <c r="N64" s="19">
        <f>+N61+N62</f>
        <v>18747371.609999992</v>
      </c>
      <c r="O64" s="19">
        <f>+O61+O62</f>
        <v>1765491.9749864186</v>
      </c>
      <c r="P64" s="19">
        <f>+P61+P62</f>
        <v>-1386336.21</v>
      </c>
      <c r="Q64" s="19">
        <f>+Q61+Q62</f>
        <v>19126527.37498641</v>
      </c>
    </row>
    <row r="66" spans="3:17" x14ac:dyDescent="0.25">
      <c r="E66" s="22">
        <f>+E64+F64</f>
        <v>1765491.9749864186</v>
      </c>
      <c r="Q66" s="23">
        <v>24146558</v>
      </c>
    </row>
    <row r="67" spans="3:17" x14ac:dyDescent="0.25">
      <c r="E67" s="22"/>
      <c r="Q67" s="23">
        <f>+Q66-Q64</f>
        <v>5020030.6250135899</v>
      </c>
    </row>
    <row r="68" spans="3:17" x14ac:dyDescent="0.25">
      <c r="C68" t="s">
        <v>67</v>
      </c>
      <c r="D68" s="28"/>
      <c r="E68" s="28">
        <f>+E39+E22</f>
        <v>1881754.149999998</v>
      </c>
      <c r="F68" s="28"/>
      <c r="G68" s="29"/>
      <c r="H68" s="28"/>
      <c r="I68" s="28"/>
      <c r="J68" s="28"/>
      <c r="K68" s="28"/>
      <c r="L68" s="29"/>
      <c r="M68" s="28"/>
      <c r="N68" s="28"/>
      <c r="O68" s="28"/>
      <c r="P68" s="28"/>
      <c r="Q68" s="29"/>
    </row>
    <row r="69" spans="3:17" x14ac:dyDescent="0.25">
      <c r="C69" t="s">
        <v>68</v>
      </c>
      <c r="D69" s="22"/>
      <c r="E69" s="30">
        <v>3267776.08</v>
      </c>
      <c r="G69" s="28">
        <v>1991005</v>
      </c>
      <c r="I69" s="5"/>
      <c r="N69" s="5"/>
    </row>
    <row r="71" spans="3:17" x14ac:dyDescent="0.25">
      <c r="C71" t="s">
        <v>69</v>
      </c>
      <c r="E71" s="22">
        <f>+E68-E69</f>
        <v>-1386021.930000002</v>
      </c>
      <c r="F71" t="s">
        <v>70</v>
      </c>
    </row>
    <row r="73" spans="3:17" x14ac:dyDescent="0.25">
      <c r="C73" t="s">
        <v>72</v>
      </c>
      <c r="E73" s="22">
        <f>+E64+F64-E69</f>
        <v>-1502284.1050135815</v>
      </c>
      <c r="F73" t="s">
        <v>71</v>
      </c>
    </row>
    <row r="74" spans="3:17" x14ac:dyDescent="0.25">
      <c r="C74" t="s">
        <v>73</v>
      </c>
    </row>
    <row r="75" spans="3:17" x14ac:dyDescent="0.25">
      <c r="C75" t="s">
        <v>74</v>
      </c>
      <c r="E75" s="22"/>
    </row>
    <row r="79" spans="3:17" x14ac:dyDescent="0.25">
      <c r="C79" t="s">
        <v>100</v>
      </c>
      <c r="F79" s="9"/>
    </row>
    <row r="80" spans="3:17" x14ac:dyDescent="0.25">
      <c r="C80" s="23">
        <v>180921</v>
      </c>
      <c r="D80" s="22" t="s">
        <v>93</v>
      </c>
      <c r="E80" s="22">
        <f>+G7+G25</f>
        <v>180921.32</v>
      </c>
      <c r="F80" s="23"/>
    </row>
    <row r="81" spans="3:6" x14ac:dyDescent="0.25">
      <c r="C81" s="13">
        <v>2385250</v>
      </c>
      <c r="D81" t="s">
        <v>94</v>
      </c>
      <c r="E81" s="5">
        <f>+G26</f>
        <v>2385249.7799999998</v>
      </c>
      <c r="F81" s="13"/>
    </row>
    <row r="82" spans="3:6" x14ac:dyDescent="0.25">
      <c r="C82" s="13">
        <v>17899909</v>
      </c>
      <c r="D82" s="22" t="s">
        <v>95</v>
      </c>
      <c r="E82" s="22">
        <f>+G9+G10+G11+G15+G16+G58</f>
        <v>17905410.914986424</v>
      </c>
      <c r="F82" s="23" t="s">
        <v>102</v>
      </c>
    </row>
    <row r="83" spans="3:6" x14ac:dyDescent="0.25">
      <c r="C83" s="23">
        <v>9153189</v>
      </c>
      <c r="D83" t="s">
        <v>96</v>
      </c>
      <c r="E83" s="22">
        <f>+G13+G14</f>
        <v>9153188.8099999987</v>
      </c>
      <c r="F83" s="23"/>
    </row>
    <row r="84" spans="3:6" x14ac:dyDescent="0.25">
      <c r="C84" s="23">
        <v>2441644</v>
      </c>
      <c r="D84" s="22" t="s">
        <v>97</v>
      </c>
      <c r="E84" s="22">
        <f>+G17+G18+G19+G20</f>
        <v>2441643.77</v>
      </c>
      <c r="F84" s="23"/>
    </row>
    <row r="85" spans="3:6" x14ac:dyDescent="0.25">
      <c r="C85" s="23">
        <v>8867682</v>
      </c>
      <c r="D85" t="s">
        <v>98</v>
      </c>
      <c r="E85" s="22">
        <f>+G8+G12</f>
        <v>8867681.6699999999</v>
      </c>
      <c r="F85" s="23"/>
    </row>
    <row r="86" spans="3:6" x14ac:dyDescent="0.25">
      <c r="C86" s="13">
        <v>43592</v>
      </c>
      <c r="D86" s="22" t="s">
        <v>99</v>
      </c>
      <c r="E86" s="5">
        <f>+G36</f>
        <v>43592.36</v>
      </c>
      <c r="F86" s="13"/>
    </row>
    <row r="87" spans="3:6" x14ac:dyDescent="0.25">
      <c r="C87" s="23">
        <v>150101</v>
      </c>
      <c r="D87" t="s">
        <v>61</v>
      </c>
      <c r="E87" s="5">
        <f>+G62</f>
        <v>150101</v>
      </c>
      <c r="F87" s="9"/>
    </row>
    <row r="88" spans="3:6" x14ac:dyDescent="0.25">
      <c r="C88" s="22">
        <f>SUM(C80:C87)</f>
        <v>41122288</v>
      </c>
      <c r="E88" s="22">
        <f>SUM(E80:E87)</f>
        <v>41127789.624986425</v>
      </c>
      <c r="F88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44:B56 B8:B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93"/>
  <sheetViews>
    <sheetView showGridLines="0" tabSelected="1" topLeftCell="E45" workbookViewId="0">
      <selection activeCell="Q61" sqref="Q61"/>
    </sheetView>
  </sheetViews>
  <sheetFormatPr defaultRowHeight="15" x14ac:dyDescent="0.25"/>
  <cols>
    <col min="1" max="1" width="12" customWidth="1"/>
    <col min="2" max="2" width="10.5703125" customWidth="1"/>
    <col min="3" max="3" width="35.42578125" bestFit="1" customWidth="1"/>
    <col min="4" max="5" width="14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2" max="12" width="15" style="9" bestFit="1" customWidth="1"/>
    <col min="13" max="13" width="2.7109375" customWidth="1"/>
    <col min="14" max="14" width="14.28515625" bestFit="1" customWidth="1"/>
    <col min="15" max="15" width="13.28515625" bestFit="1" customWidth="1"/>
    <col min="16" max="16" width="14" bestFit="1" customWidth="1"/>
    <col min="17" max="17" width="14.28515625" style="9" bestFit="1" customWidth="1"/>
    <col min="18" max="18" width="2.7109375" customWidth="1"/>
    <col min="19" max="19" width="11.5703125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2:22" x14ac:dyDescent="0.25">
      <c r="B3" s="42" t="s">
        <v>110</v>
      </c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31">
        <v>1806</v>
      </c>
      <c r="C7" t="s">
        <v>7</v>
      </c>
      <c r="D7" s="4">
        <f>+'2011'!G7</f>
        <v>6733.79</v>
      </c>
      <c r="E7" s="4">
        <v>904.08799999999997</v>
      </c>
      <c r="F7" s="4">
        <v>0</v>
      </c>
      <c r="G7" s="13">
        <f>SUM(D7:F7)</f>
        <v>7637.8779999999997</v>
      </c>
      <c r="I7" s="4"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20" si="0">+D7+I7</f>
        <v>6733.79</v>
      </c>
      <c r="O7" s="4">
        <f t="shared" ref="O7:O20" si="1">+E7+F7</f>
        <v>904.08799999999997</v>
      </c>
      <c r="P7" s="4">
        <f>+J7+K7</f>
        <v>0</v>
      </c>
      <c r="Q7" s="13">
        <f>SUM(N7:P7)</f>
        <v>7637.8779999999997</v>
      </c>
      <c r="R7" s="4"/>
    </row>
    <row r="8" spans="2:22" x14ac:dyDescent="0.25">
      <c r="B8" s="6" t="s">
        <v>12</v>
      </c>
      <c r="C8" t="s">
        <v>13</v>
      </c>
      <c r="D8" s="4">
        <f>+'2011'!G8</f>
        <v>850124.96</v>
      </c>
      <c r="E8" s="4">
        <v>0</v>
      </c>
      <c r="F8" s="4">
        <v>0</v>
      </c>
      <c r="G8" s="13">
        <f>SUM(D8:F8)</f>
        <v>850124.96</v>
      </c>
      <c r="I8" s="4">
        <f>+'2011'!L8</f>
        <v>-831275.62</v>
      </c>
      <c r="J8" s="4">
        <v>-835.9</v>
      </c>
      <c r="K8" s="4">
        <v>0</v>
      </c>
      <c r="L8" s="13">
        <f>SUM(I8:K8)</f>
        <v>-832111.52</v>
      </c>
      <c r="M8" s="4"/>
      <c r="N8" s="4">
        <f t="shared" si="0"/>
        <v>18849.339999999967</v>
      </c>
      <c r="O8" s="4">
        <f t="shared" si="1"/>
        <v>0</v>
      </c>
      <c r="P8" s="4">
        <f>+J8+K8</f>
        <v>-835.9</v>
      </c>
      <c r="Q8" s="13">
        <f>SUM(N8:P8)</f>
        <v>18013.439999999966</v>
      </c>
      <c r="R8" s="4"/>
    </row>
    <row r="9" spans="2:22" x14ac:dyDescent="0.25">
      <c r="B9" t="s">
        <v>14</v>
      </c>
      <c r="C9" t="s">
        <v>15</v>
      </c>
      <c r="D9" s="4">
        <f>+'2011'!G9</f>
        <v>8458646.129999999</v>
      </c>
      <c r="E9" s="4">
        <v>188797.41</v>
      </c>
      <c r="F9" s="4">
        <v>0</v>
      </c>
      <c r="G9" s="13">
        <f t="shared" ref="G9:G38" si="2">SUM(D9:F9)</f>
        <v>8647443.5399999991</v>
      </c>
      <c r="I9" s="4">
        <f>+'2011'!L9</f>
        <v>-3876606.02</v>
      </c>
      <c r="J9" s="4">
        <v>-120686.08</v>
      </c>
      <c r="K9" s="4">
        <v>0</v>
      </c>
      <c r="L9" s="13">
        <f t="shared" ref="L9:L38" si="3">SUM(I9:K9)</f>
        <v>-3997292.1</v>
      </c>
      <c r="M9" s="4"/>
      <c r="N9" s="4">
        <f t="shared" si="0"/>
        <v>4582040.1099999994</v>
      </c>
      <c r="O9" s="4">
        <f t="shared" si="1"/>
        <v>188797.41</v>
      </c>
      <c r="P9" s="4">
        <f t="shared" ref="P9:P38" si="4">+J9+K9</f>
        <v>-120686.08</v>
      </c>
      <c r="Q9" s="13">
        <f t="shared" ref="Q9:Q38" si="5">SUM(N9:P9)</f>
        <v>4650151.4399999995</v>
      </c>
      <c r="R9" s="4"/>
    </row>
    <row r="10" spans="2:22" x14ac:dyDescent="0.25">
      <c r="B10" t="s">
        <v>16</v>
      </c>
      <c r="C10" t="s">
        <v>17</v>
      </c>
      <c r="D10" s="4">
        <f>+'2011'!G10</f>
        <v>7482814.3399999999</v>
      </c>
      <c r="E10" s="4">
        <v>195298.31</v>
      </c>
      <c r="F10" s="4">
        <v>0</v>
      </c>
      <c r="G10" s="13">
        <f t="shared" si="2"/>
        <v>7678112.6499999994</v>
      </c>
      <c r="I10" s="4">
        <f>+'2011'!L10</f>
        <v>-3933150.74</v>
      </c>
      <c r="J10" s="4">
        <v>-69636.3</v>
      </c>
      <c r="K10" s="4">
        <v>0</v>
      </c>
      <c r="L10" s="13">
        <f t="shared" si="3"/>
        <v>-4002787.04</v>
      </c>
      <c r="M10" s="4"/>
      <c r="N10" s="4">
        <f t="shared" si="0"/>
        <v>3549663.5999999996</v>
      </c>
      <c r="O10" s="4">
        <f t="shared" si="1"/>
        <v>195298.31</v>
      </c>
      <c r="P10" s="4">
        <f t="shared" si="4"/>
        <v>-69636.3</v>
      </c>
      <c r="Q10" s="13">
        <f t="shared" si="5"/>
        <v>3675325.61</v>
      </c>
      <c r="R10" s="4"/>
    </row>
    <row r="11" spans="2:22" x14ac:dyDescent="0.25">
      <c r="B11" t="s">
        <v>18</v>
      </c>
      <c r="C11" t="s">
        <v>19</v>
      </c>
      <c r="D11" s="4">
        <f>+'2011'!G11</f>
        <v>3936611.71</v>
      </c>
      <c r="E11" s="4">
        <v>459743.43</v>
      </c>
      <c r="F11" s="4">
        <v>0</v>
      </c>
      <c r="G11" s="13">
        <f t="shared" si="2"/>
        <v>4396355.1399999997</v>
      </c>
      <c r="I11" s="4">
        <f>+'2011'!L11</f>
        <v>-1906280.26</v>
      </c>
      <c r="J11" s="4">
        <v>-83918.58</v>
      </c>
      <c r="K11" s="4">
        <v>0</v>
      </c>
      <c r="L11" s="13">
        <f t="shared" si="3"/>
        <v>-1990198.84</v>
      </c>
      <c r="M11" s="4"/>
      <c r="N11" s="4">
        <f t="shared" si="0"/>
        <v>2030331.45</v>
      </c>
      <c r="O11" s="4">
        <f t="shared" si="1"/>
        <v>459743.43</v>
      </c>
      <c r="P11" s="4">
        <f t="shared" si="4"/>
        <v>-83918.58</v>
      </c>
      <c r="Q11" s="13">
        <f t="shared" si="5"/>
        <v>2406156.2999999998</v>
      </c>
      <c r="R11" s="4"/>
    </row>
    <row r="12" spans="2:22" x14ac:dyDescent="0.25">
      <c r="B12" t="s">
        <v>20</v>
      </c>
      <c r="C12" t="s">
        <v>21</v>
      </c>
      <c r="D12" s="4">
        <f>+'2011'!G12</f>
        <v>8017556.71</v>
      </c>
      <c r="E12" s="4">
        <v>559389.01</v>
      </c>
      <c r="F12" s="4">
        <v>0</v>
      </c>
      <c r="G12" s="13">
        <f t="shared" si="2"/>
        <v>8576945.7200000007</v>
      </c>
      <c r="I12" s="4">
        <f>+'2011'!L12</f>
        <v>-3749509.8</v>
      </c>
      <c r="J12" s="4">
        <v>-141840.07</v>
      </c>
      <c r="K12" s="4">
        <v>0</v>
      </c>
      <c r="L12" s="13">
        <f t="shared" si="3"/>
        <v>-3891349.8699999996</v>
      </c>
      <c r="M12" s="4"/>
      <c r="N12" s="4">
        <f t="shared" si="0"/>
        <v>4268046.91</v>
      </c>
      <c r="O12" s="4">
        <f t="shared" si="1"/>
        <v>559389.01</v>
      </c>
      <c r="P12" s="4">
        <f t="shared" si="4"/>
        <v>-141840.07</v>
      </c>
      <c r="Q12" s="13">
        <f t="shared" si="5"/>
        <v>4685595.8499999996</v>
      </c>
      <c r="R12" s="4"/>
    </row>
    <row r="13" spans="2:22" x14ac:dyDescent="0.25">
      <c r="B13" t="s">
        <v>22</v>
      </c>
      <c r="C13" t="s">
        <v>23</v>
      </c>
      <c r="D13" s="4">
        <f>+'2011'!G13</f>
        <v>1607179.12</v>
      </c>
      <c r="E13" s="4">
        <v>245580.75</v>
      </c>
      <c r="F13" s="4">
        <v>0</v>
      </c>
      <c r="G13" s="13">
        <f t="shared" si="2"/>
        <v>1852759.87</v>
      </c>
      <c r="I13" s="4">
        <f>+'2011'!L13</f>
        <v>-276610.11</v>
      </c>
      <c r="J13" s="4">
        <v>-43351.77</v>
      </c>
      <c r="K13" s="4">
        <v>0</v>
      </c>
      <c r="L13" s="13">
        <f t="shared" si="3"/>
        <v>-319961.88</v>
      </c>
      <c r="M13" s="4"/>
      <c r="N13" s="4">
        <f t="shared" si="0"/>
        <v>1330569.0100000002</v>
      </c>
      <c r="O13" s="4">
        <f t="shared" si="1"/>
        <v>245580.75</v>
      </c>
      <c r="P13" s="4">
        <f t="shared" si="4"/>
        <v>-43351.77</v>
      </c>
      <c r="Q13" s="13">
        <f t="shared" si="5"/>
        <v>1532797.9900000002</v>
      </c>
      <c r="R13" s="4"/>
    </row>
    <row r="14" spans="2:22" x14ac:dyDescent="0.25">
      <c r="B14" t="s">
        <v>24</v>
      </c>
      <c r="C14" t="s">
        <v>25</v>
      </c>
      <c r="D14" s="4">
        <f>+'2011'!G14</f>
        <v>7546009.6899999995</v>
      </c>
      <c r="E14" s="4">
        <f>7639163.75-7546009.09-0.6</f>
        <v>93154.060000000143</v>
      </c>
      <c r="F14" s="4">
        <v>0</v>
      </c>
      <c r="G14" s="27">
        <f t="shared" si="2"/>
        <v>7639163.75</v>
      </c>
      <c r="I14" s="4">
        <f>+'2011'!L14</f>
        <v>-4616796.84</v>
      </c>
      <c r="J14" s="4">
        <v>-105756.68</v>
      </c>
      <c r="K14" s="4">
        <v>0</v>
      </c>
      <c r="L14" s="13">
        <f t="shared" si="3"/>
        <v>-4722553.5199999996</v>
      </c>
      <c r="M14" s="4"/>
      <c r="N14" s="4">
        <f t="shared" si="0"/>
        <v>2929212.8499999996</v>
      </c>
      <c r="O14" s="4">
        <f t="shared" si="1"/>
        <v>93154.060000000143</v>
      </c>
      <c r="P14" s="4">
        <f t="shared" si="4"/>
        <v>-105756.68</v>
      </c>
      <c r="Q14" s="13">
        <f t="shared" si="5"/>
        <v>2916610.2299999995</v>
      </c>
      <c r="R14" s="4"/>
    </row>
    <row r="15" spans="2:22" x14ac:dyDescent="0.25">
      <c r="B15" t="s">
        <v>26</v>
      </c>
      <c r="C15" t="s">
        <v>27</v>
      </c>
      <c r="D15" s="4">
        <f>+'2011'!G15</f>
        <v>4097276.35</v>
      </c>
      <c r="E15" s="4">
        <v>82538.83</v>
      </c>
      <c r="F15" s="4">
        <v>0</v>
      </c>
      <c r="G15" s="13">
        <f t="shared" si="2"/>
        <v>4179815.18</v>
      </c>
      <c r="I15" s="4">
        <f>+'2011'!L15</f>
        <v>-2148914.09</v>
      </c>
      <c r="J15" s="4">
        <v>-60322.47</v>
      </c>
      <c r="K15" s="4">
        <v>0</v>
      </c>
      <c r="L15" s="13">
        <f t="shared" si="3"/>
        <v>-2209236.56</v>
      </c>
      <c r="M15" s="4"/>
      <c r="N15" s="4">
        <f t="shared" si="0"/>
        <v>1948362.2600000002</v>
      </c>
      <c r="O15" s="4">
        <f t="shared" si="1"/>
        <v>82538.83</v>
      </c>
      <c r="P15" s="4">
        <f t="shared" si="4"/>
        <v>-60322.47</v>
      </c>
      <c r="Q15" s="13">
        <f t="shared" si="5"/>
        <v>1970578.6200000003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+'2011'!G16</f>
        <v>1107564.23</v>
      </c>
      <c r="E16" s="4">
        <f>1183576.18-1107564.23</f>
        <v>76011.949999999953</v>
      </c>
      <c r="F16" s="4">
        <v>0</v>
      </c>
      <c r="G16" s="27">
        <f t="shared" si="2"/>
        <v>1183576.18</v>
      </c>
      <c r="I16" s="4">
        <f>+'2011'!L16</f>
        <v>-186652.1</v>
      </c>
      <c r="J16" s="4">
        <v>-27602.57</v>
      </c>
      <c r="K16" s="4">
        <v>0</v>
      </c>
      <c r="L16" s="13">
        <f t="shared" si="3"/>
        <v>-214254.67</v>
      </c>
      <c r="M16" s="4"/>
      <c r="N16" s="4">
        <f t="shared" si="0"/>
        <v>920912.13</v>
      </c>
      <c r="O16" s="4">
        <f t="shared" si="1"/>
        <v>76011.949999999953</v>
      </c>
      <c r="P16" s="4">
        <f t="shared" si="4"/>
        <v>-27602.57</v>
      </c>
      <c r="Q16" s="13">
        <f t="shared" si="5"/>
        <v>969321.51</v>
      </c>
      <c r="R16" s="4"/>
      <c r="U16" s="26"/>
    </row>
    <row r="17" spans="1:22" x14ac:dyDescent="0.25">
      <c r="B17" t="s">
        <v>30</v>
      </c>
      <c r="C17" t="s">
        <v>31</v>
      </c>
      <c r="D17" s="4">
        <f>+'2011'!G17</f>
        <v>2278507.2400000002</v>
      </c>
      <c r="E17" s="4">
        <v>0</v>
      </c>
      <c r="F17" s="4">
        <v>0</v>
      </c>
      <c r="G17" s="13">
        <f t="shared" si="2"/>
        <v>2278507.2400000002</v>
      </c>
      <c r="I17" s="4">
        <f>+'2011'!L17</f>
        <v>-1495879.88</v>
      </c>
      <c r="J17" s="4">
        <v>-66603.360000000001</v>
      </c>
      <c r="K17" s="4">
        <v>0</v>
      </c>
      <c r="L17" s="13">
        <f t="shared" si="3"/>
        <v>-1562483.24</v>
      </c>
      <c r="M17" s="4"/>
      <c r="N17" s="4">
        <f t="shared" si="0"/>
        <v>782627.36000000034</v>
      </c>
      <c r="O17" s="4">
        <f t="shared" si="1"/>
        <v>0</v>
      </c>
      <c r="P17" s="4">
        <f t="shared" si="4"/>
        <v>-66603.360000000001</v>
      </c>
      <c r="Q17" s="13">
        <f t="shared" si="5"/>
        <v>716024.00000000035</v>
      </c>
      <c r="R17" s="4"/>
      <c r="T17" s="5">
        <f>+N17</f>
        <v>782627.36000000034</v>
      </c>
      <c r="U17" s="26">
        <f>+T17/T19</f>
        <v>0.91047562847466623</v>
      </c>
      <c r="V17" s="13">
        <f>+U17*N53</f>
        <v>-195237.33918805272</v>
      </c>
    </row>
    <row r="18" spans="1:22" x14ac:dyDescent="0.25">
      <c r="B18" s="40" t="s">
        <v>108</v>
      </c>
      <c r="C18" t="s">
        <v>55</v>
      </c>
      <c r="D18" s="4">
        <f>+'2011'!G18</f>
        <v>0</v>
      </c>
      <c r="E18" s="4">
        <f>3082487.88+18380.96</f>
        <v>3100868.84</v>
      </c>
      <c r="F18" s="4"/>
      <c r="G18" s="13">
        <f t="shared" si="2"/>
        <v>3100868.84</v>
      </c>
      <c r="I18" s="4">
        <f>+'2011'!L18</f>
        <v>0</v>
      </c>
      <c r="J18" s="4">
        <v>-571776.51</v>
      </c>
      <c r="K18" s="4">
        <v>0</v>
      </c>
      <c r="L18" s="13">
        <f t="shared" ref="L18" si="6">SUM(I18:K18)</f>
        <v>-571776.51</v>
      </c>
      <c r="M18" s="4"/>
      <c r="N18" s="4">
        <f t="shared" si="0"/>
        <v>0</v>
      </c>
      <c r="O18" s="4">
        <f t="shared" si="1"/>
        <v>3100868.84</v>
      </c>
      <c r="P18" s="4">
        <f t="shared" ref="P18" si="7">+J18+K18</f>
        <v>-571776.51</v>
      </c>
      <c r="Q18" s="13">
        <f t="shared" ref="Q18" si="8">SUM(N18:P18)</f>
        <v>2529092.33</v>
      </c>
      <c r="R18" s="4"/>
      <c r="T18" s="5">
        <f>+N19</f>
        <v>76953.429999999993</v>
      </c>
      <c r="U18" s="26">
        <f>+T18/T19</f>
        <v>8.9524371525333837E-2</v>
      </c>
      <c r="V18" s="13">
        <f>+N53-V17</f>
        <v>-19197.109227811889</v>
      </c>
    </row>
    <row r="19" spans="1:22" x14ac:dyDescent="0.25">
      <c r="B19" t="s">
        <v>32</v>
      </c>
      <c r="C19" t="s">
        <v>33</v>
      </c>
      <c r="D19" s="4">
        <f>+'2011'!G19</f>
        <v>89517.75</v>
      </c>
      <c r="E19" s="4">
        <v>4237.6099999999997</v>
      </c>
      <c r="F19" s="4">
        <v>0</v>
      </c>
      <c r="G19" s="13">
        <f t="shared" si="2"/>
        <v>93755.36</v>
      </c>
      <c r="I19" s="4">
        <f>+'2011'!L19</f>
        <v>-12564.32</v>
      </c>
      <c r="J19" s="4">
        <v>-7035.54</v>
      </c>
      <c r="K19" s="4">
        <v>0</v>
      </c>
      <c r="L19" s="13">
        <f t="shared" si="3"/>
        <v>-19599.86</v>
      </c>
      <c r="M19" s="4"/>
      <c r="N19" s="4">
        <f t="shared" si="0"/>
        <v>76953.429999999993</v>
      </c>
      <c r="O19" s="4">
        <f t="shared" si="1"/>
        <v>4237.6099999999997</v>
      </c>
      <c r="P19" s="4">
        <f t="shared" si="4"/>
        <v>-7035.54</v>
      </c>
      <c r="Q19" s="13">
        <f t="shared" si="5"/>
        <v>74155.5</v>
      </c>
      <c r="T19" s="5">
        <f>+T17+T18</f>
        <v>859580.79000000027</v>
      </c>
      <c r="U19" s="26"/>
    </row>
    <row r="20" spans="1:22" ht="15.75" thickBot="1" x14ac:dyDescent="0.3">
      <c r="B20" s="2" t="s">
        <v>34</v>
      </c>
      <c r="C20" s="2" t="s">
        <v>35</v>
      </c>
      <c r="D20" s="18">
        <f>+'2011'!G20</f>
        <v>73618.78</v>
      </c>
      <c r="E20" s="18">
        <v>0</v>
      </c>
      <c r="F20" s="18">
        <v>0</v>
      </c>
      <c r="G20" s="19">
        <f t="shared" si="2"/>
        <v>73618.78</v>
      </c>
      <c r="I20" s="18">
        <f>+'2011'!L20</f>
        <v>-10818.55</v>
      </c>
      <c r="J20" s="18">
        <v>-2385.3000000000002</v>
      </c>
      <c r="K20" s="18">
        <v>0</v>
      </c>
      <c r="L20" s="19">
        <f t="shared" si="3"/>
        <v>-13203.849999999999</v>
      </c>
      <c r="M20" s="18"/>
      <c r="N20" s="18">
        <f t="shared" si="0"/>
        <v>62800.229999999996</v>
      </c>
      <c r="O20" s="18">
        <f t="shared" si="1"/>
        <v>0</v>
      </c>
      <c r="P20" s="18">
        <f t="shared" si="4"/>
        <v>-2385.3000000000002</v>
      </c>
      <c r="Q20" s="19">
        <f t="shared" si="5"/>
        <v>60414.929999999993</v>
      </c>
      <c r="V20" s="13">
        <f>+V17+V18</f>
        <v>-214434.44841586461</v>
      </c>
    </row>
    <row r="21" spans="1:22" x14ac:dyDescent="0.25">
      <c r="D21" s="4"/>
      <c r="E21" s="4"/>
      <c r="F21" s="4"/>
      <c r="G21" s="13"/>
      <c r="I21" s="4"/>
      <c r="J21" s="4"/>
      <c r="K21" s="4"/>
      <c r="L21" s="13"/>
      <c r="M21" s="4"/>
      <c r="N21" s="4"/>
      <c r="O21" s="4"/>
      <c r="P21" s="4"/>
      <c r="Q21" s="13"/>
    </row>
    <row r="22" spans="1:22" s="9" customFormat="1" ht="15.75" thickBot="1" x14ac:dyDescent="0.3">
      <c r="A22"/>
      <c r="B22" s="10" t="s">
        <v>57</v>
      </c>
      <c r="C22" s="10"/>
      <c r="D22" s="19">
        <f>SUM(D7:D21)</f>
        <v>45552160.800000004</v>
      </c>
      <c r="E22" s="19">
        <f>SUM(E7:E21)</f>
        <v>5006524.2879999997</v>
      </c>
      <c r="F22" s="19">
        <f>SUM(F7:F21)</f>
        <v>0</v>
      </c>
      <c r="G22" s="19">
        <f>SUM(G7:G21)</f>
        <v>50558685.088</v>
      </c>
      <c r="H22"/>
      <c r="I22" s="19">
        <f>SUM(I7:I21)</f>
        <v>-23045058.329999998</v>
      </c>
      <c r="J22" s="19">
        <f>SUM(J7:J21)</f>
        <v>-1301751.1300000001</v>
      </c>
      <c r="K22" s="19">
        <f>SUM(K7:K21)</f>
        <v>0</v>
      </c>
      <c r="L22" s="19">
        <f>SUM(L7:L21)</f>
        <v>-24346809.460000001</v>
      </c>
      <c r="M22" s="19"/>
      <c r="N22" s="19">
        <f>SUM(N7:N21)</f>
        <v>22507102.469999999</v>
      </c>
      <c r="O22" s="19">
        <f>SUM(O7:O21)</f>
        <v>5006524.2879999997</v>
      </c>
      <c r="P22" s="19">
        <f>SUM(P7:P21)</f>
        <v>-1301751.1300000001</v>
      </c>
      <c r="Q22" s="19">
        <f>SUM(Q7:Q21)</f>
        <v>26211875.627999999</v>
      </c>
      <c r="R22"/>
      <c r="S22"/>
    </row>
    <row r="23" spans="1:22" x14ac:dyDescent="0.25">
      <c r="D23" s="4"/>
      <c r="E23" s="4"/>
      <c r="F23" s="4"/>
      <c r="G23" s="13"/>
      <c r="I23" s="4"/>
      <c r="J23" s="4"/>
      <c r="K23" s="4"/>
      <c r="L23" s="13"/>
      <c r="M23" s="4"/>
      <c r="N23" s="4"/>
      <c r="O23" s="4"/>
      <c r="P23" s="4"/>
      <c r="Q23" s="13"/>
    </row>
    <row r="24" spans="1:22" x14ac:dyDescent="0.25">
      <c r="D24" s="4"/>
      <c r="E24" s="4"/>
      <c r="F24" s="4"/>
      <c r="G24" s="13"/>
      <c r="I24" s="4"/>
      <c r="J24" s="4"/>
      <c r="K24" s="4"/>
      <c r="L24" s="13"/>
      <c r="M24" s="4"/>
      <c r="N24" s="4"/>
      <c r="O24" s="4"/>
      <c r="P24" s="4"/>
      <c r="Q24" s="13"/>
    </row>
    <row r="25" spans="1:22" x14ac:dyDescent="0.25">
      <c r="B25" s="31">
        <v>1905</v>
      </c>
      <c r="C25" t="s">
        <v>56</v>
      </c>
      <c r="D25" s="4">
        <v>174187.53</v>
      </c>
      <c r="E25" s="4"/>
      <c r="F25" s="4">
        <v>0</v>
      </c>
      <c r="G25" s="13">
        <f t="shared" ref="G25" si="9">SUM(D25:F25)</f>
        <v>174187.53</v>
      </c>
      <c r="I25" s="4">
        <f>+'2011'!L25</f>
        <v>0</v>
      </c>
      <c r="J25" s="4"/>
      <c r="K25" s="4">
        <v>0</v>
      </c>
      <c r="L25" s="13">
        <f t="shared" ref="L25" si="10">SUM(I25:K25)</f>
        <v>0</v>
      </c>
      <c r="M25" s="4"/>
      <c r="N25" s="4">
        <f t="shared" ref="N25:N31" si="11">+D25+I25</f>
        <v>174187.53</v>
      </c>
      <c r="O25" s="4">
        <f t="shared" ref="O25:O31" si="12">+E25+F25</f>
        <v>0</v>
      </c>
      <c r="P25" s="4">
        <f t="shared" ref="P25" si="13">+J25+K25</f>
        <v>0</v>
      </c>
      <c r="Q25" s="13">
        <f t="shared" ref="Q25" si="14">SUM(N25:P25)</f>
        <v>174187.53</v>
      </c>
    </row>
    <row r="26" spans="1:22" x14ac:dyDescent="0.25">
      <c r="B26" s="32" t="s">
        <v>36</v>
      </c>
      <c r="C26" t="s">
        <v>37</v>
      </c>
      <c r="D26" s="4">
        <v>2385249.7799999998</v>
      </c>
      <c r="E26" s="4">
        <v>0</v>
      </c>
      <c r="F26" s="4">
        <v>0</v>
      </c>
      <c r="G26" s="13">
        <f t="shared" si="2"/>
        <v>2385249.7799999998</v>
      </c>
      <c r="I26" s="4">
        <f>+'2011'!L26</f>
        <v>-900206.89</v>
      </c>
      <c r="J26" s="4">
        <v>-35275.129999999997</v>
      </c>
      <c r="K26" s="4">
        <v>0</v>
      </c>
      <c r="L26" s="13">
        <f t="shared" si="3"/>
        <v>-935482.02</v>
      </c>
      <c r="M26" s="4"/>
      <c r="N26" s="4">
        <f t="shared" si="11"/>
        <v>1485042.8899999997</v>
      </c>
      <c r="O26" s="4">
        <f t="shared" si="12"/>
        <v>0</v>
      </c>
      <c r="P26" s="4">
        <f t="shared" si="4"/>
        <v>-35275.129999999997</v>
      </c>
      <c r="Q26" s="13">
        <f t="shared" si="5"/>
        <v>1449767.7599999998</v>
      </c>
    </row>
    <row r="27" spans="1:22" x14ac:dyDescent="0.25">
      <c r="B27" s="32" t="s">
        <v>38</v>
      </c>
      <c r="C27" t="s">
        <v>39</v>
      </c>
      <c r="D27" s="4">
        <v>0</v>
      </c>
      <c r="E27" s="4">
        <f>15493.24</f>
        <v>15493.24</v>
      </c>
      <c r="F27" s="4">
        <v>0</v>
      </c>
      <c r="G27" s="13">
        <f t="shared" si="2"/>
        <v>15493.24</v>
      </c>
      <c r="I27" s="4">
        <f>+'2011'!L27</f>
        <v>0</v>
      </c>
      <c r="J27" s="4">
        <v>-1695.67</v>
      </c>
      <c r="K27" s="4">
        <v>0</v>
      </c>
      <c r="L27" s="13">
        <f t="shared" si="3"/>
        <v>-1695.67</v>
      </c>
      <c r="M27" s="4"/>
      <c r="N27" s="4">
        <f t="shared" si="11"/>
        <v>0</v>
      </c>
      <c r="O27" s="4">
        <f t="shared" si="12"/>
        <v>15493.24</v>
      </c>
      <c r="P27" s="4">
        <f t="shared" si="4"/>
        <v>-1695.67</v>
      </c>
      <c r="Q27" s="13">
        <f t="shared" si="5"/>
        <v>13797.57</v>
      </c>
    </row>
    <row r="28" spans="1:22" x14ac:dyDescent="0.25">
      <c r="B28" s="32" t="s">
        <v>40</v>
      </c>
      <c r="C28" t="s">
        <v>105</v>
      </c>
      <c r="D28" s="4">
        <v>0</v>
      </c>
      <c r="E28" s="4">
        <f>85108.17-15493.24+2321.94</f>
        <v>71936.87</v>
      </c>
      <c r="F28" s="4">
        <v>0</v>
      </c>
      <c r="G28" s="27">
        <f t="shared" si="2"/>
        <v>71936.87</v>
      </c>
      <c r="I28" s="4">
        <f>+'2011'!L28</f>
        <v>0</v>
      </c>
      <c r="J28" s="4">
        <v>-7193.64</v>
      </c>
      <c r="K28" s="4">
        <v>0</v>
      </c>
      <c r="L28" s="13">
        <f t="shared" si="3"/>
        <v>-7193.64</v>
      </c>
      <c r="M28" s="4"/>
      <c r="N28" s="4">
        <f t="shared" si="11"/>
        <v>0</v>
      </c>
      <c r="O28" s="4">
        <f t="shared" si="12"/>
        <v>71936.87</v>
      </c>
      <c r="P28" s="4">
        <f t="shared" si="4"/>
        <v>-7193.64</v>
      </c>
      <c r="Q28" s="13">
        <f t="shared" si="5"/>
        <v>64743.229999999996</v>
      </c>
    </row>
    <row r="29" spans="1:22" x14ac:dyDescent="0.25">
      <c r="B29" s="32" t="s">
        <v>42</v>
      </c>
      <c r="C29" t="s">
        <v>43</v>
      </c>
      <c r="D29" s="4">
        <v>0</v>
      </c>
      <c r="E29" s="4">
        <f>88318.35+48475.2+0.08</f>
        <v>136793.62999999998</v>
      </c>
      <c r="F29" s="4">
        <v>0</v>
      </c>
      <c r="G29" s="13">
        <f t="shared" si="2"/>
        <v>136793.62999999998</v>
      </c>
      <c r="I29" s="4">
        <f>+'2011'!L29</f>
        <v>0</v>
      </c>
      <c r="J29" s="4">
        <v>-40378.550000000003</v>
      </c>
      <c r="K29" s="4">
        <v>0</v>
      </c>
      <c r="L29" s="13">
        <f t="shared" si="3"/>
        <v>-40378.550000000003</v>
      </c>
      <c r="M29" s="4"/>
      <c r="N29" s="4">
        <f t="shared" si="11"/>
        <v>0</v>
      </c>
      <c r="O29" s="4">
        <f t="shared" si="12"/>
        <v>136793.62999999998</v>
      </c>
      <c r="P29" s="4">
        <f t="shared" si="4"/>
        <v>-40378.550000000003</v>
      </c>
      <c r="Q29" s="13">
        <f t="shared" si="5"/>
        <v>96415.079999999973</v>
      </c>
    </row>
    <row r="30" spans="1:22" x14ac:dyDescent="0.25">
      <c r="B30" s="32" t="s">
        <v>44</v>
      </c>
      <c r="C30" t="s">
        <v>45</v>
      </c>
      <c r="D30" s="4">
        <v>0</v>
      </c>
      <c r="E30" s="4">
        <f>14263.23+108703</f>
        <v>122966.23</v>
      </c>
      <c r="F30" s="4">
        <v>0</v>
      </c>
      <c r="G30" s="13">
        <f t="shared" si="2"/>
        <v>122966.23</v>
      </c>
      <c r="I30" s="4">
        <f>+'2011'!L30</f>
        <v>0</v>
      </c>
      <c r="J30" s="4">
        <v>-62622.65</v>
      </c>
      <c r="K30" s="4">
        <v>0</v>
      </c>
      <c r="L30" s="13">
        <f t="shared" si="3"/>
        <v>-62622.65</v>
      </c>
      <c r="M30" s="4"/>
      <c r="N30" s="4">
        <f t="shared" si="11"/>
        <v>0</v>
      </c>
      <c r="O30" s="4">
        <f t="shared" si="12"/>
        <v>122966.23</v>
      </c>
      <c r="P30" s="4">
        <f t="shared" si="4"/>
        <v>-62622.65</v>
      </c>
      <c r="Q30" s="13">
        <f t="shared" si="5"/>
        <v>60343.579999999994</v>
      </c>
    </row>
    <row r="31" spans="1:22" x14ac:dyDescent="0.25">
      <c r="B31" s="32" t="s">
        <v>46</v>
      </c>
      <c r="C31" t="s">
        <v>47</v>
      </c>
      <c r="D31" s="4">
        <v>0</v>
      </c>
      <c r="E31" s="4">
        <v>353134.18</v>
      </c>
      <c r="F31" s="4">
        <v>0</v>
      </c>
      <c r="G31" s="13">
        <f t="shared" si="2"/>
        <v>353134.18</v>
      </c>
      <c r="I31" s="4">
        <f>+'2011'!L31</f>
        <v>0</v>
      </c>
      <c r="J31" s="4">
        <v>-35313.42</v>
      </c>
      <c r="K31" s="4">
        <v>0</v>
      </c>
      <c r="L31" s="13">
        <f t="shared" si="3"/>
        <v>-35313.42</v>
      </c>
      <c r="M31" s="4"/>
      <c r="N31" s="4">
        <f t="shared" si="11"/>
        <v>0</v>
      </c>
      <c r="O31" s="4">
        <f t="shared" si="12"/>
        <v>353134.18</v>
      </c>
      <c r="P31" s="4">
        <f t="shared" si="4"/>
        <v>-35313.42</v>
      </c>
      <c r="Q31" s="13">
        <f t="shared" si="5"/>
        <v>317820.76</v>
      </c>
    </row>
    <row r="32" spans="1:22" x14ac:dyDescent="0.25">
      <c r="B32" s="31">
        <v>1930</v>
      </c>
      <c r="C32" t="s">
        <v>59</v>
      </c>
      <c r="D32" s="4"/>
      <c r="E32" s="4">
        <v>679340</v>
      </c>
      <c r="F32" s="4"/>
      <c r="G32" s="13">
        <f t="shared" si="2"/>
        <v>679340</v>
      </c>
      <c r="I32" s="4">
        <f>+'2011'!L32</f>
        <v>0</v>
      </c>
      <c r="J32" s="4">
        <v>-136811.04</v>
      </c>
      <c r="K32" s="4"/>
      <c r="L32" s="13">
        <f t="shared" si="3"/>
        <v>-136811.04</v>
      </c>
      <c r="M32" s="4"/>
      <c r="N32" s="4"/>
      <c r="O32" s="4">
        <f t="shared" ref="O32" si="15">+E32+F32</f>
        <v>679340</v>
      </c>
      <c r="P32" s="4">
        <f t="shared" ref="P32" si="16">+J32+K32</f>
        <v>-136811.04</v>
      </c>
      <c r="Q32" s="13">
        <f t="shared" ref="Q32" si="17">SUM(N32:P32)</f>
        <v>542528.96</v>
      </c>
    </row>
    <row r="33" spans="2:20" x14ac:dyDescent="0.25">
      <c r="B33" s="32" t="s">
        <v>48</v>
      </c>
      <c r="C33" t="s">
        <v>49</v>
      </c>
      <c r="D33" s="4">
        <v>0</v>
      </c>
      <c r="E33" s="4">
        <v>377238.9</v>
      </c>
      <c r="F33" s="4">
        <v>0</v>
      </c>
      <c r="G33" s="27">
        <f t="shared" si="2"/>
        <v>377238.9</v>
      </c>
      <c r="I33" s="4">
        <f>+'2011'!L33</f>
        <v>0</v>
      </c>
      <c r="J33" s="4">
        <v>-43345.89</v>
      </c>
      <c r="K33" s="4">
        <v>0</v>
      </c>
      <c r="L33" s="13">
        <f t="shared" si="3"/>
        <v>-43345.89</v>
      </c>
      <c r="M33" s="4"/>
      <c r="N33" s="4">
        <f t="shared" ref="N33:N38" si="18">+D33+I33</f>
        <v>0</v>
      </c>
      <c r="O33" s="4">
        <f t="shared" ref="O33:O38" si="19">+E33+F33</f>
        <v>377238.9</v>
      </c>
      <c r="P33" s="4">
        <f t="shared" si="4"/>
        <v>-43345.89</v>
      </c>
      <c r="Q33" s="13">
        <f t="shared" si="5"/>
        <v>333893.01</v>
      </c>
    </row>
    <row r="34" spans="2:20" x14ac:dyDescent="0.25">
      <c r="B34" s="32" t="s">
        <v>50</v>
      </c>
      <c r="C34" t="s">
        <v>51</v>
      </c>
      <c r="D34" s="4">
        <v>0</v>
      </c>
      <c r="E34" s="4">
        <v>12465.77</v>
      </c>
      <c r="F34" s="4">
        <v>0</v>
      </c>
      <c r="G34" s="13">
        <f t="shared" si="2"/>
        <v>12465.77</v>
      </c>
      <c r="I34" s="4">
        <f>+'2011'!L34</f>
        <v>0</v>
      </c>
      <c r="J34" s="4">
        <v>-2493.15</v>
      </c>
      <c r="K34" s="4">
        <v>0</v>
      </c>
      <c r="L34" s="13">
        <f t="shared" si="3"/>
        <v>-2493.15</v>
      </c>
      <c r="M34" s="4"/>
      <c r="N34" s="4">
        <f t="shared" si="18"/>
        <v>0</v>
      </c>
      <c r="O34" s="4">
        <f t="shared" si="19"/>
        <v>12465.77</v>
      </c>
      <c r="P34" s="4">
        <f t="shared" si="4"/>
        <v>-2493.15</v>
      </c>
      <c r="Q34" s="13">
        <f t="shared" si="5"/>
        <v>9972.6200000000008</v>
      </c>
    </row>
    <row r="35" spans="2:20" x14ac:dyDescent="0.25">
      <c r="B35" s="32" t="s">
        <v>52</v>
      </c>
      <c r="C35" t="s">
        <v>53</v>
      </c>
      <c r="D35" s="4">
        <v>0</v>
      </c>
      <c r="E35" s="4">
        <v>200000</v>
      </c>
      <c r="F35" s="4">
        <v>0</v>
      </c>
      <c r="G35" s="13">
        <f t="shared" si="2"/>
        <v>200000</v>
      </c>
      <c r="I35" s="4">
        <f>+'2011'!L35</f>
        <v>0</v>
      </c>
      <c r="J35" s="4">
        <v>-13333.33</v>
      </c>
      <c r="K35" s="4">
        <v>0</v>
      </c>
      <c r="L35" s="13">
        <f t="shared" si="3"/>
        <v>-13333.33</v>
      </c>
      <c r="M35" s="4"/>
      <c r="N35" s="4">
        <f t="shared" si="18"/>
        <v>0</v>
      </c>
      <c r="O35" s="4">
        <f t="shared" si="19"/>
        <v>200000</v>
      </c>
      <c r="P35" s="4">
        <f t="shared" si="4"/>
        <v>-13333.33</v>
      </c>
      <c r="Q35" s="13">
        <f t="shared" si="5"/>
        <v>186666.67</v>
      </c>
    </row>
    <row r="36" spans="2:20" x14ac:dyDescent="0.25">
      <c r="B36" s="31">
        <v>1980</v>
      </c>
      <c r="C36" t="s">
        <v>54</v>
      </c>
      <c r="D36" s="4">
        <v>43592.36</v>
      </c>
      <c r="E36" s="4">
        <f>58001.21-D36</f>
        <v>14408.849999999999</v>
      </c>
      <c r="F36" s="4">
        <v>0</v>
      </c>
      <c r="G36" s="13">
        <f t="shared" si="2"/>
        <v>58001.21</v>
      </c>
      <c r="I36" s="4">
        <f>+'2011'!L36</f>
        <v>-31694.61</v>
      </c>
      <c r="J36" s="4">
        <v>-5261.31</v>
      </c>
      <c r="K36" s="4"/>
      <c r="L36" s="13">
        <f t="shared" si="3"/>
        <v>-36955.919999999998</v>
      </c>
      <c r="M36" s="4"/>
      <c r="N36" s="4">
        <f t="shared" si="18"/>
        <v>11897.75</v>
      </c>
      <c r="O36" s="4">
        <f t="shared" si="19"/>
        <v>14408.849999999999</v>
      </c>
      <c r="P36" s="4">
        <f t="shared" ref="P36" si="20">+J36+K36</f>
        <v>-5261.31</v>
      </c>
      <c r="Q36" s="13">
        <f t="shared" ref="Q36" si="21">SUM(N36:P36)</f>
        <v>21045.289999999997</v>
      </c>
    </row>
    <row r="37" spans="2:20" ht="15.75" thickBot="1" x14ac:dyDescent="0.3">
      <c r="B37" s="33">
        <v>1980.1</v>
      </c>
      <c r="C37" s="2" t="s">
        <v>66</v>
      </c>
      <c r="D37" s="18">
        <v>0</v>
      </c>
      <c r="E37" s="18">
        <v>397907.52</v>
      </c>
      <c r="F37" s="18">
        <v>0</v>
      </c>
      <c r="G37" s="19">
        <f t="shared" si="2"/>
        <v>397907.52</v>
      </c>
      <c r="I37" s="18">
        <f>+'2011'!L37</f>
        <v>0</v>
      </c>
      <c r="J37" s="18">
        <v>-26527.17</v>
      </c>
      <c r="K37" s="18">
        <v>0</v>
      </c>
      <c r="L37" s="19">
        <f t="shared" si="3"/>
        <v>-26527.17</v>
      </c>
      <c r="M37" s="18"/>
      <c r="N37" s="18">
        <f t="shared" si="18"/>
        <v>0</v>
      </c>
      <c r="O37" s="18">
        <f t="shared" si="19"/>
        <v>397907.52</v>
      </c>
      <c r="P37" s="18">
        <f t="shared" si="4"/>
        <v>-26527.17</v>
      </c>
      <c r="Q37" s="19">
        <f t="shared" si="5"/>
        <v>371380.35000000003</v>
      </c>
    </row>
    <row r="38" spans="2:20" x14ac:dyDescent="0.25">
      <c r="D38" s="4"/>
      <c r="E38" s="4"/>
      <c r="F38" s="4">
        <v>0</v>
      </c>
      <c r="G38" s="13">
        <f t="shared" si="2"/>
        <v>0</v>
      </c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8"/>
        <v>0</v>
      </c>
      <c r="O38" s="4">
        <f t="shared" si="19"/>
        <v>0</v>
      </c>
      <c r="P38" s="4">
        <f t="shared" si="4"/>
        <v>0</v>
      </c>
      <c r="Q38" s="13">
        <f t="shared" si="5"/>
        <v>0</v>
      </c>
    </row>
    <row r="39" spans="2:20" s="9" customFormat="1" ht="15.75" thickBot="1" x14ac:dyDescent="0.3">
      <c r="B39" s="10" t="s">
        <v>58</v>
      </c>
      <c r="C39" s="10"/>
      <c r="D39" s="19">
        <f>SUM(D25:D38)</f>
        <v>2603029.6699999995</v>
      </c>
      <c r="E39" s="19">
        <f>SUM(E25:E38)</f>
        <v>2381685.19</v>
      </c>
      <c r="F39" s="19">
        <f>SUM(F25:F38)</f>
        <v>0</v>
      </c>
      <c r="G39" s="19">
        <f>SUM(G25:G38)</f>
        <v>4984714.8599999994</v>
      </c>
      <c r="H39"/>
      <c r="I39" s="19">
        <f>SUM(I25:I38)</f>
        <v>-931901.5</v>
      </c>
      <c r="J39" s="19">
        <f>SUM(J25:J38)</f>
        <v>-410250.95</v>
      </c>
      <c r="K39" s="19">
        <f>SUM(K25:K38)</f>
        <v>0</v>
      </c>
      <c r="L39" s="19">
        <f>SUM(L25:L38)</f>
        <v>-1342152.45</v>
      </c>
      <c r="M39" s="19"/>
      <c r="N39" s="19">
        <f>SUM(N25:N38)</f>
        <v>1671128.1699999997</v>
      </c>
      <c r="O39" s="19">
        <f>SUM(O25:O38)</f>
        <v>2381685.19</v>
      </c>
      <c r="P39" s="19">
        <f>SUM(P25:P38)</f>
        <v>-410250.95</v>
      </c>
      <c r="Q39" s="19">
        <f>SUM(Q25:Q38)</f>
        <v>3642562.4099999997</v>
      </c>
      <c r="R39"/>
      <c r="S39"/>
    </row>
    <row r="40" spans="2:20" x14ac:dyDescent="0.25">
      <c r="D40" s="4"/>
      <c r="E40" s="4"/>
      <c r="F40" s="4"/>
      <c r="G40" s="13"/>
      <c r="I40" s="4"/>
      <c r="J40" s="4"/>
      <c r="K40" s="4"/>
      <c r="L40" s="13"/>
      <c r="M40" s="4"/>
      <c r="N40" s="4"/>
      <c r="O40" s="4"/>
      <c r="P40" s="4"/>
      <c r="Q40" s="13"/>
    </row>
    <row r="41" spans="2:20" x14ac:dyDescent="0.25">
      <c r="B41" s="7"/>
      <c r="C41" s="7"/>
      <c r="D41" s="7"/>
      <c r="E41" s="7"/>
      <c r="F41" s="7"/>
      <c r="G41" s="15"/>
      <c r="I41" s="7"/>
      <c r="J41" s="7"/>
      <c r="K41" s="7"/>
      <c r="L41" s="15"/>
      <c r="M41" s="4"/>
      <c r="N41" s="7"/>
      <c r="O41" s="7"/>
      <c r="P41" s="7"/>
      <c r="Q41" s="15"/>
    </row>
    <row r="42" spans="2:20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</row>
    <row r="43" spans="2:20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</row>
    <row r="44" spans="2:20" x14ac:dyDescent="0.25">
      <c r="B44" s="24" t="s">
        <v>12</v>
      </c>
      <c r="C44" s="7" t="s">
        <v>13</v>
      </c>
      <c r="D44" s="8">
        <v>0</v>
      </c>
      <c r="E44" s="8">
        <v>0</v>
      </c>
      <c r="F44" s="8">
        <v>0</v>
      </c>
      <c r="G44" s="16">
        <f>SUM(D44:F44)</f>
        <v>0</v>
      </c>
      <c r="I44" s="8"/>
      <c r="J44" s="7"/>
      <c r="K44" s="7"/>
      <c r="L44" s="15"/>
      <c r="M44" s="4"/>
      <c r="N44" s="8"/>
      <c r="O44" s="8"/>
      <c r="P44" s="8"/>
      <c r="Q44" s="16"/>
    </row>
    <row r="45" spans="2:20" x14ac:dyDescent="0.25">
      <c r="B45" s="34" t="s">
        <v>14</v>
      </c>
      <c r="C45" s="7" t="s">
        <v>15</v>
      </c>
      <c r="D45" s="8">
        <v>-1318441.47</v>
      </c>
      <c r="E45" s="8">
        <v>-3954.18</v>
      </c>
      <c r="F45" s="8">
        <v>0</v>
      </c>
      <c r="G45" s="16">
        <f>SUM(D45:F45)</f>
        <v>-1322395.6499999999</v>
      </c>
      <c r="I45" s="8">
        <f>+D45/$D$58*1975697.58</f>
        <v>362639.58037271292</v>
      </c>
      <c r="J45" s="8">
        <v>23982.92</v>
      </c>
      <c r="K45" s="8">
        <v>0</v>
      </c>
      <c r="L45" s="16">
        <f>SUM(I45:K45)</f>
        <v>386622.50037271291</v>
      </c>
      <c r="M45" s="4"/>
      <c r="N45" s="8">
        <f t="shared" ref="N45:N53" si="22">+D45+I45</f>
        <v>-955801.88962728705</v>
      </c>
      <c r="O45" s="8">
        <f t="shared" ref="O45:O53" si="23">+E45+F45</f>
        <v>-3954.18</v>
      </c>
      <c r="P45" s="8">
        <f t="shared" ref="P45:P53" si="24">+J45+K45</f>
        <v>23982.92</v>
      </c>
      <c r="Q45" s="16">
        <f t="shared" ref="Q45:Q53" si="25">SUM(N45:P45)</f>
        <v>-935773.14962728706</v>
      </c>
      <c r="T45" s="22"/>
    </row>
    <row r="46" spans="2:20" x14ac:dyDescent="0.25">
      <c r="B46" s="34" t="s">
        <v>16</v>
      </c>
      <c r="C46" s="7" t="s">
        <v>17</v>
      </c>
      <c r="D46" s="8">
        <v>-1130624.18</v>
      </c>
      <c r="E46" s="8">
        <v>-1524.86</v>
      </c>
      <c r="F46" s="8">
        <v>0</v>
      </c>
      <c r="G46" s="16">
        <f>SUM(D46:F46)</f>
        <v>-1132149.04</v>
      </c>
      <c r="I46" s="8">
        <f t="shared" ref="I46:I54" si="26">+D46/$D$58*1975697.58</f>
        <v>310980.11365983705</v>
      </c>
      <c r="J46" s="8">
        <v>14928.03</v>
      </c>
      <c r="K46" s="8">
        <v>0</v>
      </c>
      <c r="L46" s="16">
        <f>SUM(I46:K46)</f>
        <v>325908.14365983708</v>
      </c>
      <c r="M46" s="4"/>
      <c r="N46" s="8">
        <f t="shared" si="22"/>
        <v>-819644.06634016288</v>
      </c>
      <c r="O46" s="8">
        <f t="shared" si="23"/>
        <v>-1524.86</v>
      </c>
      <c r="P46" s="8">
        <f t="shared" si="24"/>
        <v>14928.03</v>
      </c>
      <c r="Q46" s="16">
        <f t="shared" si="25"/>
        <v>-806240.89634016284</v>
      </c>
      <c r="T46" s="22"/>
    </row>
    <row r="47" spans="2:20" x14ac:dyDescent="0.25">
      <c r="B47" s="34" t="s">
        <v>18</v>
      </c>
      <c r="C47" s="7" t="s">
        <v>19</v>
      </c>
      <c r="D47" s="8">
        <v>-751563.5</v>
      </c>
      <c r="E47" s="8">
        <f>-794201.4+751563.5</f>
        <v>-42637.900000000023</v>
      </c>
      <c r="F47" s="8">
        <v>0</v>
      </c>
      <c r="G47" s="16">
        <f t="shared" ref="G47:G55" si="27">SUM(D47:F47)</f>
        <v>-794201.4</v>
      </c>
      <c r="I47" s="8">
        <f t="shared" si="26"/>
        <v>206718.82557171644</v>
      </c>
      <c r="J47" s="8">
        <v>19853.7</v>
      </c>
      <c r="K47" s="8">
        <v>0</v>
      </c>
      <c r="L47" s="16">
        <f t="shared" ref="L47:L56" si="28">SUM(I47:K47)</f>
        <v>226572.52557171645</v>
      </c>
      <c r="M47" s="4"/>
      <c r="N47" s="8">
        <f t="shared" si="22"/>
        <v>-544844.67442828359</v>
      </c>
      <c r="O47" s="8">
        <f t="shared" si="23"/>
        <v>-42637.900000000023</v>
      </c>
      <c r="P47" s="8">
        <f t="shared" si="24"/>
        <v>19853.7</v>
      </c>
      <c r="Q47" s="16">
        <f t="shared" si="25"/>
        <v>-567628.87442828366</v>
      </c>
      <c r="T47" s="22"/>
    </row>
    <row r="48" spans="2:20" x14ac:dyDescent="0.25">
      <c r="B48" s="34" t="s">
        <v>20</v>
      </c>
      <c r="C48" s="7" t="s">
        <v>21</v>
      </c>
      <c r="D48" s="8">
        <v>-1329803.54</v>
      </c>
      <c r="E48" s="8">
        <f>-1381059.24+1329803.54</f>
        <v>-51255.699999999953</v>
      </c>
      <c r="F48" s="8">
        <v>0</v>
      </c>
      <c r="G48" s="16">
        <f t="shared" si="27"/>
        <v>-1381059.24</v>
      </c>
      <c r="I48" s="8">
        <f t="shared" si="26"/>
        <v>365764.73715116695</v>
      </c>
      <c r="J48" s="8">
        <v>29635.47</v>
      </c>
      <c r="K48" s="8">
        <v>0</v>
      </c>
      <c r="L48" s="16">
        <f t="shared" si="28"/>
        <v>395400.20715116698</v>
      </c>
      <c r="M48" s="4"/>
      <c r="N48" s="8">
        <f t="shared" si="22"/>
        <v>-964038.80284883315</v>
      </c>
      <c r="O48" s="8">
        <f t="shared" si="23"/>
        <v>-51255.699999999953</v>
      </c>
      <c r="P48" s="8">
        <f t="shared" si="24"/>
        <v>29635.47</v>
      </c>
      <c r="Q48" s="16">
        <f t="shared" si="25"/>
        <v>-985659.03284883313</v>
      </c>
      <c r="T48" s="22"/>
    </row>
    <row r="49" spans="2:22" x14ac:dyDescent="0.25">
      <c r="B49" s="34" t="s">
        <v>22</v>
      </c>
      <c r="C49" s="7" t="s">
        <v>23</v>
      </c>
      <c r="D49" s="8">
        <v>-828199.65</v>
      </c>
      <c r="E49" s="8">
        <f>-1024695.04+828199.65</f>
        <v>-196495.39</v>
      </c>
      <c r="F49" s="8">
        <v>0</v>
      </c>
      <c r="G49" s="16">
        <f t="shared" si="27"/>
        <v>-1024695.04</v>
      </c>
      <c r="I49" s="8">
        <f t="shared" si="26"/>
        <v>227797.72964880095</v>
      </c>
      <c r="J49" s="8">
        <v>21590.21</v>
      </c>
      <c r="K49" s="8">
        <v>0</v>
      </c>
      <c r="L49" s="16">
        <f t="shared" si="28"/>
        <v>249387.93964880094</v>
      </c>
      <c r="M49" s="4"/>
      <c r="N49" s="8">
        <f t="shared" si="22"/>
        <v>-600401.92035119911</v>
      </c>
      <c r="O49" s="8">
        <f t="shared" si="23"/>
        <v>-196495.39</v>
      </c>
      <c r="P49" s="8">
        <f t="shared" si="24"/>
        <v>21590.21</v>
      </c>
      <c r="Q49" s="16">
        <f t="shared" si="25"/>
        <v>-775307.10035119916</v>
      </c>
      <c r="T49" s="22"/>
    </row>
    <row r="50" spans="2:22" x14ac:dyDescent="0.25">
      <c r="B50" s="34" t="s">
        <v>24</v>
      </c>
      <c r="C50" s="7" t="s">
        <v>25</v>
      </c>
      <c r="D50" s="8">
        <v>-528856.84</v>
      </c>
      <c r="E50" s="8">
        <v>0</v>
      </c>
      <c r="F50" s="8">
        <v>0</v>
      </c>
      <c r="G50" s="16">
        <f t="shared" si="27"/>
        <v>-528856.84</v>
      </c>
      <c r="I50" s="8">
        <f t="shared" si="26"/>
        <v>145462.97799237075</v>
      </c>
      <c r="J50" s="8">
        <v>13220.48</v>
      </c>
      <c r="K50" s="8">
        <v>0</v>
      </c>
      <c r="L50" s="16">
        <f t="shared" si="28"/>
        <v>158683.45799237076</v>
      </c>
      <c r="M50" s="4"/>
      <c r="N50" s="8">
        <f t="shared" si="22"/>
        <v>-383393.86200762924</v>
      </c>
      <c r="O50" s="8">
        <f t="shared" si="23"/>
        <v>0</v>
      </c>
      <c r="P50" s="8">
        <f t="shared" si="24"/>
        <v>13220.48</v>
      </c>
      <c r="Q50" s="16">
        <f t="shared" si="25"/>
        <v>-370173.38200762926</v>
      </c>
      <c r="T50" s="22"/>
    </row>
    <row r="51" spans="2:22" x14ac:dyDescent="0.25">
      <c r="B51" s="34" t="s">
        <v>26</v>
      </c>
      <c r="C51" s="7" t="s">
        <v>27</v>
      </c>
      <c r="D51" s="8">
        <v>-596717.89</v>
      </c>
      <c r="E51" s="8">
        <f>-604518.96+596717.89</f>
        <v>-7801.0699999999488</v>
      </c>
      <c r="F51" s="8">
        <v>0</v>
      </c>
      <c r="G51" s="16">
        <f t="shared" si="27"/>
        <v>-604518.96</v>
      </c>
      <c r="I51" s="8">
        <f t="shared" si="26"/>
        <v>164128.27581226695</v>
      </c>
      <c r="J51" s="8">
        <v>12918.25</v>
      </c>
      <c r="K51" s="8">
        <v>0</v>
      </c>
      <c r="L51" s="16">
        <f t="shared" si="28"/>
        <v>177046.52581226695</v>
      </c>
      <c r="M51" s="4"/>
      <c r="N51" s="8">
        <f t="shared" si="22"/>
        <v>-432589.61418773304</v>
      </c>
      <c r="O51" s="8">
        <f t="shared" si="23"/>
        <v>-7801.0699999999488</v>
      </c>
      <c r="P51" s="8">
        <f t="shared" si="24"/>
        <v>12918.25</v>
      </c>
      <c r="Q51" s="16">
        <f t="shared" si="25"/>
        <v>-427472.43418773299</v>
      </c>
      <c r="T51" s="22"/>
    </row>
    <row r="52" spans="2:22" x14ac:dyDescent="0.25">
      <c r="B52" s="34" t="s">
        <v>28</v>
      </c>
      <c r="C52" s="7" t="s">
        <v>29</v>
      </c>
      <c r="D52" s="8">
        <v>-403004.36</v>
      </c>
      <c r="E52" s="8">
        <f>-411409.47+403004.36</f>
        <v>-8405.109999999986</v>
      </c>
      <c r="F52" s="8">
        <v>0</v>
      </c>
      <c r="G52" s="16">
        <f t="shared" si="27"/>
        <v>-411409.47</v>
      </c>
      <c r="I52" s="8">
        <f t="shared" si="26"/>
        <v>110847.03820699279</v>
      </c>
      <c r="J52" s="8">
        <v>8325.61</v>
      </c>
      <c r="K52" s="8">
        <v>0</v>
      </c>
      <c r="L52" s="16">
        <f t="shared" si="28"/>
        <v>119172.64820699279</v>
      </c>
      <c r="M52" s="3"/>
      <c r="N52" s="8">
        <f t="shared" si="22"/>
        <v>-292157.3217930072</v>
      </c>
      <c r="O52" s="8">
        <f t="shared" si="23"/>
        <v>-8405.109999999986</v>
      </c>
      <c r="P52" s="8">
        <f t="shared" si="24"/>
        <v>8325.61</v>
      </c>
      <c r="Q52" s="16">
        <f t="shared" si="25"/>
        <v>-292236.8217930072</v>
      </c>
      <c r="T52" s="22"/>
    </row>
    <row r="53" spans="2:22" x14ac:dyDescent="0.25">
      <c r="B53" s="34" t="s">
        <v>30</v>
      </c>
      <c r="C53" s="7" t="s">
        <v>31</v>
      </c>
      <c r="D53" s="8">
        <f>-295792.75</f>
        <v>-295792.75</v>
      </c>
      <c r="E53" s="8">
        <v>0</v>
      </c>
      <c r="F53" s="8">
        <v>0</v>
      </c>
      <c r="G53" s="16">
        <f t="shared" si="27"/>
        <v>-295792.75</v>
      </c>
      <c r="I53" s="8">
        <f t="shared" si="26"/>
        <v>81358.301584135377</v>
      </c>
      <c r="J53" s="8">
        <v>16269.78</v>
      </c>
      <c r="K53" s="8">
        <v>0</v>
      </c>
      <c r="L53" s="16">
        <f t="shared" si="28"/>
        <v>97628.081584135376</v>
      </c>
      <c r="M53" s="3"/>
      <c r="N53" s="8">
        <f t="shared" si="22"/>
        <v>-214434.44841586461</v>
      </c>
      <c r="O53" s="8">
        <f t="shared" si="23"/>
        <v>0</v>
      </c>
      <c r="P53" s="8">
        <f t="shared" si="24"/>
        <v>16269.78</v>
      </c>
      <c r="Q53" s="16">
        <f t="shared" si="25"/>
        <v>-198164.66841586461</v>
      </c>
      <c r="T53" s="22"/>
    </row>
    <row r="54" spans="2:22" x14ac:dyDescent="0.25">
      <c r="B54" s="35">
        <v>1860.15</v>
      </c>
      <c r="C54" s="7" t="s">
        <v>55</v>
      </c>
      <c r="D54" s="8">
        <v>0</v>
      </c>
      <c r="E54" s="8"/>
      <c r="F54" s="8">
        <v>0</v>
      </c>
      <c r="G54" s="16">
        <f t="shared" si="27"/>
        <v>0</v>
      </c>
      <c r="I54" s="8">
        <f t="shared" si="26"/>
        <v>0</v>
      </c>
      <c r="J54" s="8">
        <v>0</v>
      </c>
      <c r="K54" s="8">
        <v>0</v>
      </c>
      <c r="L54" s="16">
        <f t="shared" si="28"/>
        <v>0</v>
      </c>
      <c r="M54" s="3"/>
      <c r="N54" s="8">
        <f t="shared" ref="N54:N55" si="29">+D54+I54</f>
        <v>0</v>
      </c>
      <c r="O54" s="8">
        <f t="shared" ref="O54:O55" si="30">+E54+F54</f>
        <v>0</v>
      </c>
      <c r="P54" s="8">
        <f t="shared" ref="P54:P55" si="31">+J54+K54</f>
        <v>0</v>
      </c>
      <c r="Q54" s="16">
        <f t="shared" ref="Q54:Q55" si="32">SUM(N54:P54)</f>
        <v>0</v>
      </c>
      <c r="T54" s="22"/>
      <c r="U54" s="3"/>
      <c r="V54" s="14"/>
    </row>
    <row r="55" spans="2:22" x14ac:dyDescent="0.25">
      <c r="B55" s="34" t="s">
        <v>32</v>
      </c>
      <c r="C55" s="7" t="s">
        <v>33</v>
      </c>
      <c r="D55" s="8">
        <v>0</v>
      </c>
      <c r="E55" s="8">
        <v>-6446.6</v>
      </c>
      <c r="F55" s="8">
        <v>0</v>
      </c>
      <c r="G55" s="16">
        <f t="shared" si="27"/>
        <v>-6446.6</v>
      </c>
      <c r="I55" s="8"/>
      <c r="J55" s="8">
        <v>2029.53</v>
      </c>
      <c r="K55" s="8">
        <v>0</v>
      </c>
      <c r="L55" s="16">
        <f t="shared" si="28"/>
        <v>2029.53</v>
      </c>
      <c r="M55" s="3"/>
      <c r="N55" s="8">
        <f t="shared" si="29"/>
        <v>0</v>
      </c>
      <c r="O55" s="8">
        <f t="shared" si="30"/>
        <v>-6446.6</v>
      </c>
      <c r="P55" s="8">
        <f t="shared" si="31"/>
        <v>2029.53</v>
      </c>
      <c r="Q55" s="16">
        <f t="shared" si="32"/>
        <v>-4417.0700000000006</v>
      </c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v>0</v>
      </c>
      <c r="E56" s="20">
        <v>0</v>
      </c>
      <c r="F56" s="20">
        <v>0</v>
      </c>
      <c r="G56" s="21">
        <f t="shared" ref="G56" si="33">SUM(D56:F56)</f>
        <v>0</v>
      </c>
      <c r="I56" s="20"/>
      <c r="J56" s="20">
        <v>0</v>
      </c>
      <c r="K56" s="20">
        <v>0</v>
      </c>
      <c r="L56" s="21">
        <f t="shared" si="28"/>
        <v>0</v>
      </c>
      <c r="M56" s="3"/>
      <c r="N56" s="20"/>
      <c r="O56" s="20">
        <v>0</v>
      </c>
      <c r="P56" s="20">
        <v>0</v>
      </c>
      <c r="Q56" s="21">
        <f t="shared" ref="Q56" si="34">SUM(N56:P56)</f>
        <v>0</v>
      </c>
      <c r="T56" s="3"/>
      <c r="U56" s="3"/>
      <c r="V56" s="14"/>
    </row>
    <row r="57" spans="2:22" x14ac:dyDescent="0.25">
      <c r="M57" s="3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-7183004.1799999997</v>
      </c>
      <c r="E58" s="21">
        <f>SUM(E44:E57)</f>
        <v>-318520.80999999994</v>
      </c>
      <c r="F58" s="21">
        <f>SUM(F44:F57)</f>
        <v>0</v>
      </c>
      <c r="G58" s="21">
        <f>SUM(G44:G57)</f>
        <v>-7501524.9899999993</v>
      </c>
      <c r="I58" s="21">
        <f>SUM(I44:I57)</f>
        <v>1975697.58</v>
      </c>
      <c r="J58" s="21">
        <f>SUM(J44:J57)</f>
        <v>162753.97999999998</v>
      </c>
      <c r="K58" s="21">
        <f>SUM(K44:K57)</f>
        <v>0</v>
      </c>
      <c r="L58" s="21">
        <f>SUM(L44:L57)</f>
        <v>2138451.56</v>
      </c>
      <c r="N58" s="21">
        <f>SUM(N44:N57)</f>
        <v>-5207306.5999999996</v>
      </c>
      <c r="O58" s="21">
        <f>SUM(O44:O57)</f>
        <v>-318520.80999999994</v>
      </c>
      <c r="P58" s="21">
        <f>SUM(P44:P57)</f>
        <v>162753.97999999998</v>
      </c>
      <c r="Q58" s="21">
        <f>SUM(Q44:Q57)</f>
        <v>-5363073.43</v>
      </c>
    </row>
    <row r="60" spans="2:22" x14ac:dyDescent="0.25">
      <c r="G60" s="4"/>
    </row>
    <row r="61" spans="2:22" x14ac:dyDescent="0.25">
      <c r="B61" t="s">
        <v>10</v>
      </c>
      <c r="D61" s="22">
        <f>+D22+D39+D58</f>
        <v>40972186.290000007</v>
      </c>
      <c r="E61" s="22">
        <f>+E22+E39+E58</f>
        <v>7069688.6680000005</v>
      </c>
      <c r="F61" s="22">
        <f>+F22+F39+F58</f>
        <v>0</v>
      </c>
      <c r="G61" s="23">
        <f>+D61+E61+F61</f>
        <v>48041874.958000004</v>
      </c>
      <c r="I61" s="4">
        <f>+I22+I39+I58</f>
        <v>-22001262.25</v>
      </c>
      <c r="J61" s="4">
        <f>+J22+J39+J58</f>
        <v>-1549248.1</v>
      </c>
      <c r="K61" s="4">
        <f>+K22+K39+K58</f>
        <v>0</v>
      </c>
      <c r="L61" s="13">
        <f>+I61+J61+K61</f>
        <v>-23550510.350000001</v>
      </c>
      <c r="N61" s="4">
        <f>+N22+N39+N58</f>
        <v>18970924.039999999</v>
      </c>
      <c r="O61" s="4">
        <f>+O22+O39+O58</f>
        <v>7069688.6680000005</v>
      </c>
      <c r="P61" s="4">
        <f>+P22+P39+P58</f>
        <v>-1549248.1</v>
      </c>
      <c r="Q61" s="13">
        <f>+N61+O61+P61</f>
        <v>24491364.607999999</v>
      </c>
    </row>
    <row r="62" spans="2:22" ht="15.75" thickBot="1" x14ac:dyDescent="0.3">
      <c r="B62" s="2" t="s">
        <v>61</v>
      </c>
      <c r="C62" s="2"/>
      <c r="D62" s="18">
        <v>150101</v>
      </c>
      <c r="E62" s="18">
        <v>114689</v>
      </c>
      <c r="F62" s="18">
        <v>-150101</v>
      </c>
      <c r="G62" s="19">
        <f>+D62+E62+F62</f>
        <v>114689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150101</v>
      </c>
      <c r="O62" s="18">
        <f>+E62+F62</f>
        <v>-35412</v>
      </c>
      <c r="P62" s="18">
        <f>+J62+K62</f>
        <v>0</v>
      </c>
      <c r="Q62" s="18">
        <f>+N62+O62+P62</f>
        <v>114689</v>
      </c>
    </row>
    <row r="63" spans="2:22" x14ac:dyDescent="0.25">
      <c r="L63"/>
    </row>
    <row r="64" spans="2:22" ht="15.75" thickBot="1" x14ac:dyDescent="0.3">
      <c r="B64" s="10" t="s">
        <v>64</v>
      </c>
      <c r="C64" s="2"/>
      <c r="D64" s="19">
        <f>+D61+D62</f>
        <v>41122287.290000007</v>
      </c>
      <c r="E64" s="19">
        <f>+E61+E62</f>
        <v>7184377.6680000005</v>
      </c>
      <c r="F64" s="19">
        <f>+F61+F62</f>
        <v>-150101</v>
      </c>
      <c r="G64" s="19">
        <f>+G61+G62</f>
        <v>48156563.958000004</v>
      </c>
      <c r="I64" s="19">
        <f>+I61+I62</f>
        <v>-22001262.25</v>
      </c>
      <c r="J64" s="19">
        <f>+J61+J62</f>
        <v>-1549248.1</v>
      </c>
      <c r="K64" s="19">
        <f>+K61+K62</f>
        <v>0</v>
      </c>
      <c r="L64" s="19">
        <f>+L61+L62</f>
        <v>-23550510.350000001</v>
      </c>
      <c r="N64" s="19">
        <f>+N61+N62</f>
        <v>19121025.039999999</v>
      </c>
      <c r="O64" s="19">
        <f>+O61+O62</f>
        <v>7034276.6680000005</v>
      </c>
      <c r="P64" s="19">
        <f>+P61+P62</f>
        <v>-1549248.1</v>
      </c>
      <c r="Q64" s="19">
        <f>+Q61+Q62</f>
        <v>24606053.607999999</v>
      </c>
    </row>
    <row r="67" spans="3:17" x14ac:dyDescent="0.25">
      <c r="E67" s="22"/>
      <c r="Q67" s="23">
        <f>+Q66-Q64</f>
        <v>-24606053.607999999</v>
      </c>
    </row>
    <row r="68" spans="3:17" x14ac:dyDescent="0.25">
      <c r="C68" t="s">
        <v>67</v>
      </c>
      <c r="D68" s="28"/>
      <c r="E68" s="28">
        <f>+E39+E22</f>
        <v>7388209.4780000001</v>
      </c>
      <c r="F68" s="28"/>
      <c r="G68" s="29"/>
      <c r="H68" s="28"/>
      <c r="I68" s="28"/>
      <c r="J68" s="28"/>
      <c r="K68" s="28"/>
      <c r="L68" s="29"/>
      <c r="M68" s="28"/>
      <c r="N68" s="28"/>
      <c r="O68" s="28"/>
      <c r="P68" s="28"/>
      <c r="Q68" s="29"/>
    </row>
    <row r="69" spans="3:17" x14ac:dyDescent="0.25">
      <c r="C69" t="s">
        <v>68</v>
      </c>
      <c r="D69" s="22"/>
      <c r="E69" s="30">
        <v>3267776.08</v>
      </c>
      <c r="G69" s="28">
        <f>+E69</f>
        <v>3267776.08</v>
      </c>
      <c r="I69" s="5"/>
      <c r="N69" s="5"/>
    </row>
    <row r="74" spans="3:17" x14ac:dyDescent="0.25">
      <c r="C74" t="s">
        <v>73</v>
      </c>
      <c r="G74" s="23">
        <f>+G71-G73</f>
        <v>0</v>
      </c>
    </row>
    <row r="75" spans="3:17" x14ac:dyDescent="0.25">
      <c r="C75" t="s">
        <v>74</v>
      </c>
      <c r="E75" s="22"/>
      <c r="G75" s="9">
        <v>1619961.4499999997</v>
      </c>
      <c r="I75" t="s">
        <v>107</v>
      </c>
    </row>
    <row r="80" spans="3:17" x14ac:dyDescent="0.25">
      <c r="C80" s="23">
        <v>181826</v>
      </c>
      <c r="D80" s="22" t="s">
        <v>93</v>
      </c>
      <c r="E80" s="22">
        <f>+G7+G25</f>
        <v>181825.408</v>
      </c>
      <c r="F80" s="23"/>
    </row>
    <row r="81" spans="3:6" x14ac:dyDescent="0.25">
      <c r="C81" s="13">
        <v>2385250</v>
      </c>
      <c r="D81" t="s">
        <v>94</v>
      </c>
      <c r="E81" s="5">
        <f>+G26</f>
        <v>2385249.7799999998</v>
      </c>
      <c r="F81" s="13"/>
    </row>
    <row r="82" spans="3:6" x14ac:dyDescent="0.25">
      <c r="C82" s="13">
        <v>21820628</v>
      </c>
      <c r="D82" s="22" t="s">
        <v>95</v>
      </c>
      <c r="E82" s="22">
        <f>+G9+G10+G11+G15+G16++G46+G47+G48+G51++G52</f>
        <v>21761964.580000002</v>
      </c>
      <c r="F82" s="23"/>
    </row>
    <row r="83" spans="3:6" x14ac:dyDescent="0.25">
      <c r="C83" s="23">
        <v>7938372</v>
      </c>
      <c r="D83" t="s">
        <v>96</v>
      </c>
      <c r="E83" s="22">
        <f>+G13+G14+G49+G50</f>
        <v>7938371.7400000021</v>
      </c>
      <c r="F83" s="23"/>
    </row>
    <row r="84" spans="3:6" x14ac:dyDescent="0.25">
      <c r="C84" s="23">
        <v>5244511</v>
      </c>
      <c r="D84" s="22" t="s">
        <v>97</v>
      </c>
      <c r="E84" s="22">
        <f>+G17+G18+G19+G20+G53+G54</f>
        <v>5250957.4700000007</v>
      </c>
      <c r="F84" s="23"/>
    </row>
    <row r="85" spans="3:6" x14ac:dyDescent="0.25">
      <c r="C85" s="23">
        <v>8046011</v>
      </c>
      <c r="D85" t="s">
        <v>98</v>
      </c>
      <c r="E85" s="22">
        <f>+G8+G12++G48</f>
        <v>8046011.4399999995</v>
      </c>
      <c r="F85" s="23"/>
    </row>
    <row r="86" spans="3:6" x14ac:dyDescent="0.25">
      <c r="C86" s="23"/>
      <c r="D86" s="22" t="s">
        <v>103</v>
      </c>
      <c r="E86" s="22"/>
      <c r="F86" s="23"/>
    </row>
    <row r="87" spans="3:6" x14ac:dyDescent="0.25">
      <c r="C87" s="23"/>
      <c r="E87" s="22"/>
      <c r="F87" s="23"/>
    </row>
    <row r="88" spans="3:6" x14ac:dyDescent="0.25">
      <c r="C88" s="23"/>
      <c r="E88" s="22"/>
      <c r="F88" s="23"/>
    </row>
    <row r="89" spans="3:6" x14ac:dyDescent="0.25">
      <c r="C89" s="23"/>
      <c r="E89" s="22"/>
      <c r="F89" s="23"/>
    </row>
    <row r="90" spans="3:6" x14ac:dyDescent="0.25">
      <c r="C90" s="23"/>
      <c r="E90" s="22"/>
      <c r="F90" s="23"/>
    </row>
    <row r="91" spans="3:6" x14ac:dyDescent="0.25">
      <c r="C91" s="13">
        <v>43592</v>
      </c>
      <c r="D91" s="22" t="s">
        <v>99</v>
      </c>
      <c r="E91" s="5">
        <f>+G36</f>
        <v>58001.21</v>
      </c>
      <c r="F91" s="13"/>
    </row>
    <row r="92" spans="3:6" x14ac:dyDescent="0.25">
      <c r="C92" s="23">
        <v>150101</v>
      </c>
      <c r="D92" t="s">
        <v>61</v>
      </c>
      <c r="E92" s="5">
        <f>+G62</f>
        <v>114689</v>
      </c>
      <c r="F92" s="9"/>
    </row>
    <row r="93" spans="3:6" x14ac:dyDescent="0.25">
      <c r="C93" s="22">
        <f>SUM(C80:C92)</f>
        <v>45810291</v>
      </c>
      <c r="E93" s="22">
        <f>SUM(E80:E92)</f>
        <v>45737070.628000006</v>
      </c>
      <c r="F93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8:B18 B23 B26:B31 B44:B56 B33:B35 B24 B19:B21" numberStoredAsText="1"/>
    <ignoredError sqref="L18:Q3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5"/>
  <sheetViews>
    <sheetView showGridLines="0" topLeftCell="F42" workbookViewId="0">
      <selection activeCell="R65" sqref="R65"/>
    </sheetView>
  </sheetViews>
  <sheetFormatPr defaultRowHeight="15" x14ac:dyDescent="0.25"/>
  <cols>
    <col min="1" max="1" width="12" customWidth="1"/>
    <col min="2" max="2" width="9.5703125" bestFit="1" customWidth="1"/>
    <col min="3" max="3" width="35.42578125" bestFit="1" customWidth="1"/>
    <col min="4" max="5" width="14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1" max="11" width="9.5703125" bestFit="1" customWidth="1"/>
    <col min="12" max="12" width="15" style="9" bestFit="1" customWidth="1"/>
    <col min="13" max="13" width="2.7109375" customWidth="1"/>
    <col min="14" max="14" width="14.28515625" bestFit="1" customWidth="1"/>
    <col min="15" max="15" width="13.28515625" bestFit="1" customWidth="1"/>
    <col min="16" max="16" width="14" bestFit="1" customWidth="1"/>
    <col min="17" max="17" width="14.28515625" style="9" bestFit="1" customWidth="1"/>
    <col min="19" max="19" width="11.5703125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C2" s="9"/>
    </row>
    <row r="3" spans="2:22" x14ac:dyDescent="0.25">
      <c r="B3" s="9" t="s">
        <v>111</v>
      </c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f>+'2012'!G7</f>
        <v>7637.8779999999997</v>
      </c>
      <c r="E7" s="4">
        <v>0</v>
      </c>
      <c r="F7" s="4">
        <v>0</v>
      </c>
      <c r="G7" s="13">
        <f>SUM(D7:F7)</f>
        <v>7637.8779999999997</v>
      </c>
      <c r="H7" s="4"/>
      <c r="I7" s="4">
        <f>+'2012'!L7</f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20" si="0">+D7+I7</f>
        <v>7637.8779999999997</v>
      </c>
      <c r="O7" s="4">
        <f t="shared" ref="O7:O20" si="1">+E7+F7</f>
        <v>0</v>
      </c>
      <c r="P7" s="4">
        <f>+J7+K7</f>
        <v>0</v>
      </c>
      <c r="Q7" s="13">
        <f>SUM(N7:P7)</f>
        <v>7637.8779999999997</v>
      </c>
      <c r="R7" s="4"/>
    </row>
    <row r="8" spans="2:22" x14ac:dyDescent="0.25">
      <c r="B8" s="6" t="s">
        <v>12</v>
      </c>
      <c r="C8" t="s">
        <v>13</v>
      </c>
      <c r="D8" s="4">
        <f>+'2012'!G8</f>
        <v>850124.96</v>
      </c>
      <c r="E8" s="4">
        <v>0</v>
      </c>
      <c r="F8" s="4">
        <v>0</v>
      </c>
      <c r="G8" s="13">
        <f>SUM(D8:F8)</f>
        <v>850124.96</v>
      </c>
      <c r="H8" s="4"/>
      <c r="I8" s="4">
        <f>+'2012'!L8</f>
        <v>-832111.52</v>
      </c>
      <c r="J8" s="4">
        <v>-835.9</v>
      </c>
      <c r="K8" s="4">
        <v>0</v>
      </c>
      <c r="L8" s="13">
        <f>SUM(I8:K8)</f>
        <v>-832947.42</v>
      </c>
      <c r="M8" s="4"/>
      <c r="N8" s="4">
        <f t="shared" si="0"/>
        <v>18013.439999999944</v>
      </c>
      <c r="O8" s="4">
        <f t="shared" si="1"/>
        <v>0</v>
      </c>
      <c r="P8" s="4">
        <f>+J8+K8</f>
        <v>-835.9</v>
      </c>
      <c r="Q8" s="13">
        <f>SUM(N8:P8)</f>
        <v>17177.539999999943</v>
      </c>
      <c r="R8" s="4"/>
    </row>
    <row r="9" spans="2:22" x14ac:dyDescent="0.25">
      <c r="B9" t="s">
        <v>14</v>
      </c>
      <c r="C9" t="s">
        <v>15</v>
      </c>
      <c r="D9" s="4">
        <f>+'2012'!G9</f>
        <v>8647443.5399999991</v>
      </c>
      <c r="E9" s="4">
        <v>286820.42</v>
      </c>
      <c r="F9" s="4">
        <v>0</v>
      </c>
      <c r="G9" s="13">
        <f t="shared" ref="G9:G38" si="2">SUM(D9:F9)</f>
        <v>8934263.959999999</v>
      </c>
      <c r="H9" s="4"/>
      <c r="I9" s="4">
        <f>+'2012'!L9</f>
        <v>-3997292.1</v>
      </c>
      <c r="J9" s="4">
        <v>-127059.87</v>
      </c>
      <c r="K9" s="4">
        <v>0</v>
      </c>
      <c r="L9" s="13">
        <f t="shared" ref="L9:L38" si="3">SUM(I9:K9)</f>
        <v>-4124351.97</v>
      </c>
      <c r="M9" s="4"/>
      <c r="N9" s="4">
        <f t="shared" si="0"/>
        <v>4650151.4399999995</v>
      </c>
      <c r="O9" s="4">
        <f t="shared" si="1"/>
        <v>286820.42</v>
      </c>
      <c r="P9" s="4">
        <f t="shared" ref="P9:P38" si="4">+J9+K9</f>
        <v>-127059.87</v>
      </c>
      <c r="Q9" s="13">
        <f t="shared" ref="Q9:Q38" si="5">SUM(N9:P9)</f>
        <v>4809911.9899999993</v>
      </c>
      <c r="R9" s="4"/>
    </row>
    <row r="10" spans="2:22" x14ac:dyDescent="0.25">
      <c r="B10" t="s">
        <v>16</v>
      </c>
      <c r="C10" t="s">
        <v>17</v>
      </c>
      <c r="D10" s="4">
        <f>+'2012'!G10</f>
        <v>7678112.6499999994</v>
      </c>
      <c r="E10" s="4">
        <v>192086.61</v>
      </c>
      <c r="F10" s="4">
        <v>0</v>
      </c>
      <c r="G10" s="13">
        <f t="shared" si="2"/>
        <v>7870199.2599999998</v>
      </c>
      <c r="H10" s="4"/>
      <c r="I10" s="4">
        <f>+'2012'!L10</f>
        <v>-4002787.04</v>
      </c>
      <c r="J10" s="4">
        <v>-72837.740000000005</v>
      </c>
      <c r="K10" s="4">
        <v>0</v>
      </c>
      <c r="L10" s="13">
        <f t="shared" si="3"/>
        <v>-4075624.7800000003</v>
      </c>
      <c r="M10" s="4"/>
      <c r="N10" s="4">
        <f t="shared" si="0"/>
        <v>3675325.6099999994</v>
      </c>
      <c r="O10" s="4">
        <f t="shared" si="1"/>
        <v>192086.61</v>
      </c>
      <c r="P10" s="4">
        <f t="shared" si="4"/>
        <v>-72837.740000000005</v>
      </c>
      <c r="Q10" s="13">
        <f t="shared" si="5"/>
        <v>3794574.4799999991</v>
      </c>
      <c r="R10" s="4"/>
    </row>
    <row r="11" spans="2:22" x14ac:dyDescent="0.25">
      <c r="B11" t="s">
        <v>18</v>
      </c>
      <c r="C11" t="s">
        <v>19</v>
      </c>
      <c r="D11" s="4">
        <f>+'2012'!G11</f>
        <v>4396355.1399999997</v>
      </c>
      <c r="E11" s="4">
        <v>284762.55</v>
      </c>
      <c r="F11" s="4">
        <v>0</v>
      </c>
      <c r="G11" s="13">
        <f t="shared" si="2"/>
        <v>4681117.6899999995</v>
      </c>
      <c r="H11" s="4"/>
      <c r="I11" s="4">
        <f>+'2012'!L11</f>
        <v>-1990198.84</v>
      </c>
      <c r="J11" s="4">
        <v>-91037.64</v>
      </c>
      <c r="K11" s="4">
        <v>0</v>
      </c>
      <c r="L11" s="13">
        <f t="shared" si="3"/>
        <v>-2081236.48</v>
      </c>
      <c r="M11" s="4"/>
      <c r="N11" s="4">
        <f t="shared" si="0"/>
        <v>2406156.2999999998</v>
      </c>
      <c r="O11" s="4">
        <f t="shared" si="1"/>
        <v>284762.55</v>
      </c>
      <c r="P11" s="4">
        <f t="shared" si="4"/>
        <v>-91037.64</v>
      </c>
      <c r="Q11" s="13">
        <f t="shared" si="5"/>
        <v>2599881.2099999995</v>
      </c>
      <c r="R11" s="4"/>
    </row>
    <row r="12" spans="2:22" x14ac:dyDescent="0.25">
      <c r="B12" t="s">
        <v>20</v>
      </c>
      <c r="C12" t="s">
        <v>21</v>
      </c>
      <c r="D12" s="4">
        <f>+'2012'!G12</f>
        <v>8576945.7200000007</v>
      </c>
      <c r="E12" s="4">
        <v>314372.51</v>
      </c>
      <c r="F12" s="4">
        <v>0</v>
      </c>
      <c r="G12" s="13">
        <f t="shared" si="2"/>
        <v>8891318.2300000004</v>
      </c>
      <c r="H12" s="4"/>
      <c r="I12" s="4">
        <f>+'2012'!L12</f>
        <v>-3891349.8699999996</v>
      </c>
      <c r="J12" s="4">
        <v>-149699.38</v>
      </c>
      <c r="K12" s="4">
        <v>0</v>
      </c>
      <c r="L12" s="13">
        <f t="shared" si="3"/>
        <v>-4041049.2499999995</v>
      </c>
      <c r="M12" s="4"/>
      <c r="N12" s="4">
        <f t="shared" si="0"/>
        <v>4685595.8500000015</v>
      </c>
      <c r="O12" s="4">
        <f t="shared" si="1"/>
        <v>314372.51</v>
      </c>
      <c r="P12" s="4">
        <f t="shared" si="4"/>
        <v>-149699.38</v>
      </c>
      <c r="Q12" s="13">
        <f t="shared" si="5"/>
        <v>4850268.9800000014</v>
      </c>
      <c r="R12" s="4"/>
    </row>
    <row r="13" spans="2:22" x14ac:dyDescent="0.25">
      <c r="B13" t="s">
        <v>22</v>
      </c>
      <c r="C13" t="s">
        <v>23</v>
      </c>
      <c r="D13" s="4">
        <f>+'2012'!G13</f>
        <v>1852759.87</v>
      </c>
      <c r="E13" s="4">
        <v>271743.59000000003</v>
      </c>
      <c r="F13" s="4">
        <v>0</v>
      </c>
      <c r="G13" s="13">
        <f t="shared" si="2"/>
        <v>2124503.46</v>
      </c>
      <c r="H13" s="4"/>
      <c r="I13" s="4">
        <f>+'2012'!L13</f>
        <v>-319961.88</v>
      </c>
      <c r="J13" s="4">
        <v>-50145.36</v>
      </c>
      <c r="K13" s="4">
        <v>0</v>
      </c>
      <c r="L13" s="13">
        <f t="shared" si="3"/>
        <v>-370107.24</v>
      </c>
      <c r="M13" s="4"/>
      <c r="N13" s="4">
        <f t="shared" si="0"/>
        <v>1532797.9900000002</v>
      </c>
      <c r="O13" s="4">
        <f t="shared" si="1"/>
        <v>271743.59000000003</v>
      </c>
      <c r="P13" s="4">
        <f t="shared" si="4"/>
        <v>-50145.36</v>
      </c>
      <c r="Q13" s="13">
        <f t="shared" si="5"/>
        <v>1754396.2200000002</v>
      </c>
      <c r="R13" s="4"/>
    </row>
    <row r="14" spans="2:22" x14ac:dyDescent="0.25">
      <c r="B14" t="s">
        <v>24</v>
      </c>
      <c r="C14" t="s">
        <v>25</v>
      </c>
      <c r="D14" s="4">
        <f>+'2012'!G14</f>
        <v>7639163.75</v>
      </c>
      <c r="E14" s="4">
        <v>75678.16</v>
      </c>
      <c r="F14" s="4">
        <v>0</v>
      </c>
      <c r="G14" s="27">
        <f t="shared" si="2"/>
        <v>7714841.9100000001</v>
      </c>
      <c r="H14" s="4"/>
      <c r="I14" s="4">
        <f>+'2012'!L14</f>
        <v>-4722553.5199999996</v>
      </c>
      <c r="J14" s="4">
        <v>-107648.53</v>
      </c>
      <c r="K14" s="4">
        <v>0</v>
      </c>
      <c r="L14" s="13">
        <f t="shared" si="3"/>
        <v>-4830202.05</v>
      </c>
      <c r="M14" s="4"/>
      <c r="N14" s="4">
        <f t="shared" si="0"/>
        <v>2916610.2300000004</v>
      </c>
      <c r="O14" s="4">
        <f t="shared" si="1"/>
        <v>75678.16</v>
      </c>
      <c r="P14" s="4">
        <f t="shared" si="4"/>
        <v>-107648.53</v>
      </c>
      <c r="Q14" s="13">
        <f t="shared" si="5"/>
        <v>2884639.8600000008</v>
      </c>
      <c r="R14" s="4"/>
    </row>
    <row r="15" spans="2:22" x14ac:dyDescent="0.25">
      <c r="B15" t="s">
        <v>26</v>
      </c>
      <c r="C15" t="s">
        <v>27</v>
      </c>
      <c r="D15" s="4">
        <f>+'2012'!G15</f>
        <v>4179815.18</v>
      </c>
      <c r="E15" s="4">
        <v>92393.69</v>
      </c>
      <c r="F15" s="4">
        <v>0</v>
      </c>
      <c r="G15" s="13">
        <f t="shared" si="2"/>
        <v>4272208.87</v>
      </c>
      <c r="H15" s="4"/>
      <c r="I15" s="4">
        <f>+'2012'!L15</f>
        <v>-2209236.56</v>
      </c>
      <c r="J15" s="4">
        <v>-62632.31</v>
      </c>
      <c r="K15" s="4">
        <v>0</v>
      </c>
      <c r="L15" s="13">
        <f t="shared" si="3"/>
        <v>-2271868.87</v>
      </c>
      <c r="M15" s="4"/>
      <c r="N15" s="4">
        <f t="shared" si="0"/>
        <v>1970578.62</v>
      </c>
      <c r="O15" s="4">
        <f t="shared" si="1"/>
        <v>92393.69</v>
      </c>
      <c r="P15" s="4">
        <f t="shared" si="4"/>
        <v>-62632.31</v>
      </c>
      <c r="Q15" s="13">
        <f t="shared" si="5"/>
        <v>2000340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+'2012'!G16</f>
        <v>1183576.18</v>
      </c>
      <c r="E16" s="4">
        <v>54237.77</v>
      </c>
      <c r="F16" s="4">
        <v>0</v>
      </c>
      <c r="G16" s="27">
        <f t="shared" si="2"/>
        <v>1237813.95</v>
      </c>
      <c r="H16" s="4"/>
      <c r="I16" s="4">
        <f>+'2012'!L16</f>
        <v>-214254.67</v>
      </c>
      <c r="J16" s="4">
        <v>-28958.51</v>
      </c>
      <c r="K16" s="4">
        <v>0</v>
      </c>
      <c r="L16" s="13">
        <f t="shared" si="3"/>
        <v>-243213.18000000002</v>
      </c>
      <c r="M16" s="4"/>
      <c r="N16" s="4">
        <f t="shared" si="0"/>
        <v>969321.50999999989</v>
      </c>
      <c r="O16" s="4">
        <f t="shared" si="1"/>
        <v>54237.77</v>
      </c>
      <c r="P16" s="4">
        <f t="shared" si="4"/>
        <v>-28958.51</v>
      </c>
      <c r="Q16" s="13">
        <f t="shared" si="5"/>
        <v>994600.7699999999</v>
      </c>
      <c r="R16" s="4"/>
      <c r="U16" s="26"/>
    </row>
    <row r="17" spans="1:22" x14ac:dyDescent="0.25">
      <c r="B17" t="s">
        <v>30</v>
      </c>
      <c r="C17" t="s">
        <v>31</v>
      </c>
      <c r="D17" s="4">
        <f>+'2012'!G17</f>
        <v>2278507.2400000002</v>
      </c>
      <c r="E17" s="4">
        <v>0</v>
      </c>
      <c r="F17" s="4">
        <v>0</v>
      </c>
      <c r="G17" s="13">
        <f t="shared" si="2"/>
        <v>2278507.2400000002</v>
      </c>
      <c r="H17" s="4"/>
      <c r="I17" s="4">
        <f>+'2012'!L17</f>
        <v>-1562483.24</v>
      </c>
      <c r="J17" s="4">
        <v>-65451.01</v>
      </c>
      <c r="K17" s="4">
        <v>0</v>
      </c>
      <c r="L17" s="13">
        <f t="shared" si="3"/>
        <v>-1627934.25</v>
      </c>
      <c r="M17" s="4"/>
      <c r="N17" s="4">
        <f t="shared" si="0"/>
        <v>716024.00000000023</v>
      </c>
      <c r="O17" s="4">
        <f t="shared" si="1"/>
        <v>0</v>
      </c>
      <c r="P17" s="4">
        <f t="shared" si="4"/>
        <v>-65451.01</v>
      </c>
      <c r="Q17" s="13">
        <f t="shared" si="5"/>
        <v>650572.99000000022</v>
      </c>
      <c r="R17" s="4"/>
      <c r="T17" s="5">
        <f>+N17</f>
        <v>716024.00000000023</v>
      </c>
      <c r="U17" s="26">
        <f>+T17/T19</f>
        <v>0.90615360180819682</v>
      </c>
      <c r="V17" s="13">
        <f>+U17*N53</f>
        <v>-179567.62803616276</v>
      </c>
    </row>
    <row r="18" spans="1:22" x14ac:dyDescent="0.25">
      <c r="B18" s="1">
        <v>1860.15</v>
      </c>
      <c r="C18" t="s">
        <v>55</v>
      </c>
      <c r="D18" s="4">
        <f>+'2012'!G18</f>
        <v>3100868.84</v>
      </c>
      <c r="E18" s="4">
        <v>46474.95</v>
      </c>
      <c r="F18" s="4"/>
      <c r="G18" s="13">
        <f t="shared" si="2"/>
        <v>3147343.79</v>
      </c>
      <c r="H18" s="4"/>
      <c r="I18" s="4">
        <f>+'2012'!L18</f>
        <v>-571776.51</v>
      </c>
      <c r="J18" s="4">
        <v>-209822.92</v>
      </c>
      <c r="K18" s="4">
        <v>0</v>
      </c>
      <c r="L18" s="13">
        <f t="shared" ref="L18" si="6">SUM(I18:K18)</f>
        <v>-781599.43</v>
      </c>
      <c r="M18" s="4"/>
      <c r="N18" s="4">
        <f t="shared" si="0"/>
        <v>2529092.33</v>
      </c>
      <c r="O18" s="4">
        <f t="shared" si="1"/>
        <v>46474.95</v>
      </c>
      <c r="P18" s="4">
        <f t="shared" si="4"/>
        <v>-209822.92</v>
      </c>
      <c r="Q18" s="13">
        <f t="shared" ref="Q18" si="7">SUM(N18:P18)</f>
        <v>2365744.3600000003</v>
      </c>
      <c r="R18" s="4"/>
      <c r="T18" s="5">
        <f>+N19</f>
        <v>74155.5</v>
      </c>
      <c r="U18" s="26">
        <f>+T18/T19</f>
        <v>9.3846398191803224E-2</v>
      </c>
      <c r="V18" s="13">
        <f>+N53-V17</f>
        <v>-18597.040379701881</v>
      </c>
    </row>
    <row r="19" spans="1:22" x14ac:dyDescent="0.25">
      <c r="B19" t="s">
        <v>32</v>
      </c>
      <c r="C19" t="s">
        <v>33</v>
      </c>
      <c r="D19" s="4">
        <f>+'2012'!G19</f>
        <v>93755.36</v>
      </c>
      <c r="E19" s="4">
        <v>456.3</v>
      </c>
      <c r="F19" s="4">
        <v>0</v>
      </c>
      <c r="G19" s="13">
        <f t="shared" si="2"/>
        <v>94211.66</v>
      </c>
      <c r="H19" s="4"/>
      <c r="I19" s="4">
        <f>+'2012'!L19</f>
        <v>-19599.86</v>
      </c>
      <c r="J19" s="4">
        <v>-7065.96</v>
      </c>
      <c r="K19" s="4">
        <v>0</v>
      </c>
      <c r="L19" s="13">
        <f t="shared" si="3"/>
        <v>-26665.82</v>
      </c>
      <c r="M19" s="4"/>
      <c r="N19" s="4">
        <f t="shared" si="0"/>
        <v>74155.5</v>
      </c>
      <c r="O19" s="4">
        <f t="shared" si="1"/>
        <v>456.3</v>
      </c>
      <c r="P19" s="4">
        <f t="shared" si="4"/>
        <v>-7065.96</v>
      </c>
      <c r="Q19" s="13">
        <f t="shared" si="5"/>
        <v>67545.84</v>
      </c>
      <c r="R19" s="4"/>
      <c r="T19" s="5">
        <f>+T17+T18</f>
        <v>790179.50000000023</v>
      </c>
      <c r="U19" s="26"/>
    </row>
    <row r="20" spans="1:22" ht="15.75" thickBot="1" x14ac:dyDescent="0.3">
      <c r="B20" s="2" t="s">
        <v>34</v>
      </c>
      <c r="C20" s="2" t="s">
        <v>35</v>
      </c>
      <c r="D20" s="18">
        <f>+'2012'!G20</f>
        <v>73618.78</v>
      </c>
      <c r="E20" s="18">
        <v>0</v>
      </c>
      <c r="F20" s="18">
        <v>0</v>
      </c>
      <c r="G20" s="19">
        <f t="shared" si="2"/>
        <v>73618.78</v>
      </c>
      <c r="H20" s="18"/>
      <c r="I20" s="18">
        <f>+'2012'!L20</f>
        <v>-13203.849999999999</v>
      </c>
      <c r="J20" s="18">
        <v>-2385.3000000000002</v>
      </c>
      <c r="K20" s="18">
        <v>0</v>
      </c>
      <c r="L20" s="19">
        <f t="shared" si="3"/>
        <v>-15589.149999999998</v>
      </c>
      <c r="M20" s="18"/>
      <c r="N20" s="18">
        <f t="shared" si="0"/>
        <v>60414.93</v>
      </c>
      <c r="O20" s="18">
        <f t="shared" si="1"/>
        <v>0</v>
      </c>
      <c r="P20" s="18">
        <f t="shared" si="4"/>
        <v>-2385.3000000000002</v>
      </c>
      <c r="Q20" s="19">
        <f t="shared" si="5"/>
        <v>58029.63</v>
      </c>
      <c r="R20" s="18"/>
      <c r="V20" s="13">
        <f>+V17+V18</f>
        <v>-198164.66841586464</v>
      </c>
    </row>
    <row r="21" spans="1:22" x14ac:dyDescent="0.25">
      <c r="D21" s="4"/>
      <c r="E21" s="4"/>
      <c r="F21" s="4"/>
      <c r="G21" s="13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1:22" s="9" customFormat="1" ht="15.75" thickBot="1" x14ac:dyDescent="0.3">
      <c r="A22"/>
      <c r="B22" s="10" t="s">
        <v>57</v>
      </c>
      <c r="C22" s="10"/>
      <c r="D22" s="19">
        <f>SUM(D7:D21)</f>
        <v>50558685.088</v>
      </c>
      <c r="E22" s="19">
        <f>SUM(E7:E21)</f>
        <v>1619026.5499999998</v>
      </c>
      <c r="F22" s="19">
        <f>SUM(F7:F21)</f>
        <v>0</v>
      </c>
      <c r="G22" s="19">
        <f>SUM(G7:G21)</f>
        <v>52177711.637999997</v>
      </c>
      <c r="H22" s="19"/>
      <c r="I22" s="19">
        <f>SUM(I7:I21)</f>
        <v>-24346809.460000001</v>
      </c>
      <c r="J22" s="19">
        <f>SUM(J7:J21)</f>
        <v>-975580.43</v>
      </c>
      <c r="K22" s="19">
        <f>SUM(K7:K21)</f>
        <v>0</v>
      </c>
      <c r="L22" s="19">
        <f>SUM(L7:L21)</f>
        <v>-25322389.890000001</v>
      </c>
      <c r="M22" s="19"/>
      <c r="N22" s="19">
        <f>SUM(N7:N21)</f>
        <v>26211875.628000006</v>
      </c>
      <c r="O22" s="19">
        <f>SUM(O7:O21)</f>
        <v>1619026.5499999998</v>
      </c>
      <c r="P22" s="19">
        <f>SUM(P7:P21)</f>
        <v>-975580.43</v>
      </c>
      <c r="Q22" s="19">
        <f>SUM(Q7:Q21)</f>
        <v>26855321.747999996</v>
      </c>
      <c r="R22" s="19"/>
    </row>
    <row r="23" spans="1:22" x14ac:dyDescent="0.25">
      <c r="D23" s="4"/>
      <c r="E23" s="4"/>
      <c r="F23" s="4"/>
      <c r="G23" s="13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1:22" x14ac:dyDescent="0.25">
      <c r="D24" s="4"/>
      <c r="E24" s="4"/>
      <c r="F24" s="4"/>
      <c r="G24" s="13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1:22" x14ac:dyDescent="0.25">
      <c r="B25" s="31">
        <v>1905</v>
      </c>
      <c r="C25" t="s">
        <v>56</v>
      </c>
      <c r="D25" s="4">
        <f>+'2012'!G25</f>
        <v>174187.53</v>
      </c>
      <c r="E25" s="4">
        <v>0</v>
      </c>
      <c r="F25" s="4">
        <v>0</v>
      </c>
      <c r="G25" s="13">
        <f t="shared" ref="G25" si="8">SUM(D25:F25)</f>
        <v>174187.53</v>
      </c>
      <c r="H25" s="4"/>
      <c r="I25" s="4">
        <f>+'2012'!L25</f>
        <v>0</v>
      </c>
      <c r="J25" s="4">
        <v>0</v>
      </c>
      <c r="K25" s="4">
        <v>0</v>
      </c>
      <c r="L25" s="13">
        <f t="shared" ref="L25" si="9">SUM(I25:K25)</f>
        <v>0</v>
      </c>
      <c r="M25" s="4"/>
      <c r="N25" s="4">
        <f t="shared" ref="N25:N32" si="10">+D25+I25</f>
        <v>174187.53</v>
      </c>
      <c r="O25" s="4">
        <f t="shared" ref="O25:O38" si="11">+E25+F25</f>
        <v>0</v>
      </c>
      <c r="P25" s="4">
        <f t="shared" ref="P25" si="12">+J25+K25</f>
        <v>0</v>
      </c>
      <c r="Q25" s="13">
        <f t="shared" ref="Q25" si="13">SUM(N25:P25)</f>
        <v>174187.53</v>
      </c>
      <c r="R25" s="4"/>
    </row>
    <row r="26" spans="1:22" x14ac:dyDescent="0.25">
      <c r="B26" s="32" t="s">
        <v>36</v>
      </c>
      <c r="C26" t="s">
        <v>37</v>
      </c>
      <c r="D26" s="4">
        <f>+'2012'!G26</f>
        <v>2385249.7799999998</v>
      </c>
      <c r="E26" s="4">
        <v>11302.49</v>
      </c>
      <c r="F26" s="4">
        <v>0</v>
      </c>
      <c r="G26" s="13">
        <f t="shared" si="2"/>
        <v>2396552.27</v>
      </c>
      <c r="H26" s="4"/>
      <c r="I26" s="4">
        <f>+'2012'!L26</f>
        <v>-935482.02</v>
      </c>
      <c r="J26" s="4">
        <v>-35463.5</v>
      </c>
      <c r="K26" s="4">
        <v>0</v>
      </c>
      <c r="L26" s="13">
        <f t="shared" si="3"/>
        <v>-970945.52</v>
      </c>
      <c r="M26" s="4"/>
      <c r="N26" s="4">
        <f t="shared" si="10"/>
        <v>1449767.7599999998</v>
      </c>
      <c r="O26" s="4">
        <f t="shared" si="11"/>
        <v>11302.49</v>
      </c>
      <c r="P26" s="4">
        <f t="shared" si="4"/>
        <v>-35463.5</v>
      </c>
      <c r="Q26" s="13">
        <f t="shared" si="5"/>
        <v>1425606.7499999998</v>
      </c>
      <c r="R26" s="4"/>
    </row>
    <row r="27" spans="1:22" x14ac:dyDescent="0.25">
      <c r="B27" s="32" t="s">
        <v>38</v>
      </c>
      <c r="C27" t="s">
        <v>39</v>
      </c>
      <c r="D27" s="4">
        <f>+'2012'!G27</f>
        <v>15493.24</v>
      </c>
      <c r="E27" s="4">
        <v>6670.85</v>
      </c>
      <c r="F27" s="4">
        <v>0</v>
      </c>
      <c r="G27" s="13">
        <f t="shared" si="2"/>
        <v>22164.09</v>
      </c>
      <c r="H27" s="4"/>
      <c r="I27" s="4">
        <f>+'2012'!L27</f>
        <v>-1695.67</v>
      </c>
      <c r="J27" s="4">
        <v>-2362.7600000000002</v>
      </c>
      <c r="K27" s="4">
        <v>0</v>
      </c>
      <c r="L27" s="13">
        <f t="shared" si="3"/>
        <v>-4058.4300000000003</v>
      </c>
      <c r="M27" s="4"/>
      <c r="N27" s="4">
        <f t="shared" si="10"/>
        <v>13797.57</v>
      </c>
      <c r="O27" s="4">
        <f t="shared" si="11"/>
        <v>6670.85</v>
      </c>
      <c r="P27" s="4">
        <f t="shared" si="4"/>
        <v>-2362.7600000000002</v>
      </c>
      <c r="Q27" s="13">
        <f t="shared" si="5"/>
        <v>18105.659999999996</v>
      </c>
      <c r="R27" s="4"/>
    </row>
    <row r="28" spans="1:22" x14ac:dyDescent="0.25">
      <c r="B28" s="32" t="s">
        <v>40</v>
      </c>
      <c r="C28" t="s">
        <v>105</v>
      </c>
      <c r="D28" s="4">
        <f>+'2012'!G28</f>
        <v>71936.87</v>
      </c>
      <c r="E28" s="4">
        <v>0</v>
      </c>
      <c r="F28" s="4">
        <v>0</v>
      </c>
      <c r="G28" s="27">
        <f t="shared" si="2"/>
        <v>71936.87</v>
      </c>
      <c r="H28" s="4"/>
      <c r="I28" s="4">
        <f>+'2012'!L28</f>
        <v>-7193.64</v>
      </c>
      <c r="J28" s="4">
        <v>-7193.64</v>
      </c>
      <c r="K28" s="4">
        <v>0</v>
      </c>
      <c r="L28" s="13">
        <f t="shared" si="3"/>
        <v>-14387.28</v>
      </c>
      <c r="M28" s="4"/>
      <c r="N28" s="4">
        <f t="shared" si="10"/>
        <v>64743.229999999996</v>
      </c>
      <c r="O28" s="4">
        <f t="shared" si="11"/>
        <v>0</v>
      </c>
      <c r="P28" s="4">
        <f t="shared" si="4"/>
        <v>-7193.64</v>
      </c>
      <c r="Q28" s="13">
        <f t="shared" si="5"/>
        <v>57549.59</v>
      </c>
      <c r="R28" s="4"/>
    </row>
    <row r="29" spans="1:22" x14ac:dyDescent="0.25">
      <c r="B29" s="32" t="s">
        <v>42</v>
      </c>
      <c r="C29" t="s">
        <v>43</v>
      </c>
      <c r="D29" s="4">
        <f>+'2012'!G29</f>
        <v>136793.62999999998</v>
      </c>
      <c r="E29" s="4">
        <v>165763.17000000001</v>
      </c>
      <c r="F29" s="4">
        <v>0</v>
      </c>
      <c r="G29" s="13">
        <f t="shared" si="2"/>
        <v>302556.79999999999</v>
      </c>
      <c r="H29" s="4"/>
      <c r="I29" s="4">
        <f>+'2012'!L29</f>
        <v>-40378.550000000003</v>
      </c>
      <c r="J29" s="4">
        <v>-60511.34</v>
      </c>
      <c r="K29" s="4">
        <v>0</v>
      </c>
      <c r="L29" s="13">
        <f t="shared" si="3"/>
        <v>-100889.89</v>
      </c>
      <c r="M29" s="4"/>
      <c r="N29" s="4">
        <f t="shared" si="10"/>
        <v>96415.079999999973</v>
      </c>
      <c r="O29" s="4">
        <f t="shared" si="11"/>
        <v>165763.17000000001</v>
      </c>
      <c r="P29" s="4">
        <f t="shared" si="4"/>
        <v>-60511.34</v>
      </c>
      <c r="Q29" s="13">
        <f t="shared" si="5"/>
        <v>201666.91</v>
      </c>
      <c r="R29" s="4"/>
    </row>
    <row r="30" spans="1:22" x14ac:dyDescent="0.25">
      <c r="B30" s="32" t="s">
        <v>44</v>
      </c>
      <c r="C30" t="s">
        <v>45</v>
      </c>
      <c r="D30" s="4">
        <f>+'2012'!G30</f>
        <v>122966.23</v>
      </c>
      <c r="E30" s="4">
        <v>15135</v>
      </c>
      <c r="F30" s="4">
        <v>0</v>
      </c>
      <c r="G30" s="13">
        <f t="shared" si="2"/>
        <v>138101.22999999998</v>
      </c>
      <c r="H30" s="4"/>
      <c r="I30" s="4">
        <f>+'2012'!L30</f>
        <v>-62622.65</v>
      </c>
      <c r="J30" s="4">
        <v>-27620.25</v>
      </c>
      <c r="K30" s="4">
        <v>0</v>
      </c>
      <c r="L30" s="13">
        <f t="shared" si="3"/>
        <v>-90242.9</v>
      </c>
      <c r="M30" s="4"/>
      <c r="N30" s="4">
        <f t="shared" si="10"/>
        <v>60343.579999999994</v>
      </c>
      <c r="O30" s="4">
        <f t="shared" si="11"/>
        <v>15135</v>
      </c>
      <c r="P30" s="4">
        <f t="shared" si="4"/>
        <v>-27620.25</v>
      </c>
      <c r="Q30" s="13">
        <f t="shared" si="5"/>
        <v>47858.329999999987</v>
      </c>
      <c r="R30" s="4"/>
    </row>
    <row r="31" spans="1:22" x14ac:dyDescent="0.25">
      <c r="B31" s="32" t="s">
        <v>46</v>
      </c>
      <c r="C31" t="s">
        <v>47</v>
      </c>
      <c r="D31" s="4">
        <f>+'2012'!G31</f>
        <v>353134.18</v>
      </c>
      <c r="E31" s="4">
        <v>0</v>
      </c>
      <c r="F31" s="4">
        <v>0</v>
      </c>
      <c r="G31" s="13">
        <f t="shared" si="2"/>
        <v>353134.18</v>
      </c>
      <c r="H31" s="4"/>
      <c r="I31" s="4">
        <f>+'2012'!L31</f>
        <v>-35313.42</v>
      </c>
      <c r="J31" s="4">
        <v>-35313.42</v>
      </c>
      <c r="K31" s="4">
        <v>0</v>
      </c>
      <c r="L31" s="13">
        <f t="shared" si="3"/>
        <v>-70626.84</v>
      </c>
      <c r="M31" s="4"/>
      <c r="N31" s="4">
        <f t="shared" si="10"/>
        <v>317820.76</v>
      </c>
      <c r="O31" s="4">
        <f t="shared" si="11"/>
        <v>0</v>
      </c>
      <c r="P31" s="4">
        <f t="shared" si="4"/>
        <v>-35313.42</v>
      </c>
      <c r="Q31" s="13">
        <f t="shared" si="5"/>
        <v>282507.34000000003</v>
      </c>
      <c r="R31" s="4"/>
    </row>
    <row r="32" spans="1:22" x14ac:dyDescent="0.25">
      <c r="B32" s="31">
        <v>1930</v>
      </c>
      <c r="C32" t="s">
        <v>59</v>
      </c>
      <c r="D32" s="4">
        <f>+'2012'!G32</f>
        <v>679340</v>
      </c>
      <c r="E32" s="4">
        <v>247083.48</v>
      </c>
      <c r="F32" s="4">
        <v>-38000</v>
      </c>
      <c r="G32" s="13">
        <f t="shared" si="2"/>
        <v>888423.48</v>
      </c>
      <c r="H32" s="4"/>
      <c r="I32" s="4">
        <f>+'2012'!L32</f>
        <v>-136811.04</v>
      </c>
      <c r="J32" s="4">
        <v>-85343.27</v>
      </c>
      <c r="K32" s="4">
        <v>7600</v>
      </c>
      <c r="L32" s="13">
        <f t="shared" si="3"/>
        <v>-214554.31</v>
      </c>
      <c r="M32" s="4"/>
      <c r="N32" s="4">
        <f t="shared" si="10"/>
        <v>542528.96</v>
      </c>
      <c r="O32" s="4">
        <f t="shared" si="11"/>
        <v>209083.48</v>
      </c>
      <c r="P32" s="4">
        <f t="shared" si="4"/>
        <v>-77743.27</v>
      </c>
      <c r="Q32" s="13">
        <f t="shared" ref="Q32" si="14">SUM(N32:P32)</f>
        <v>673869.16999999993</v>
      </c>
      <c r="R32" s="4"/>
    </row>
    <row r="33" spans="1:20" x14ac:dyDescent="0.25">
      <c r="B33" s="32" t="s">
        <v>48</v>
      </c>
      <c r="C33" t="s">
        <v>49</v>
      </c>
      <c r="D33" s="4">
        <f>+'2012'!G33</f>
        <v>377238.9</v>
      </c>
      <c r="E33" s="4">
        <v>22888.400000000001</v>
      </c>
      <c r="F33" s="4">
        <v>0</v>
      </c>
      <c r="G33" s="27">
        <f t="shared" si="2"/>
        <v>400127.30000000005</v>
      </c>
      <c r="H33" s="4"/>
      <c r="I33" s="4">
        <f>+'2012'!L33</f>
        <v>-43345.89</v>
      </c>
      <c r="J33" s="4">
        <v>-40012.730000000003</v>
      </c>
      <c r="K33" s="4">
        <v>0</v>
      </c>
      <c r="L33" s="13">
        <f t="shared" si="3"/>
        <v>-83358.62</v>
      </c>
      <c r="M33" s="4"/>
      <c r="N33" s="4">
        <f t="shared" ref="N33:N38" si="15">+D33+I33</f>
        <v>333893.01</v>
      </c>
      <c r="O33" s="4">
        <f t="shared" si="11"/>
        <v>22888.400000000001</v>
      </c>
      <c r="P33" s="4">
        <f t="shared" si="4"/>
        <v>-40012.730000000003</v>
      </c>
      <c r="Q33" s="13">
        <f t="shared" si="5"/>
        <v>316768.68000000005</v>
      </c>
      <c r="R33" s="4"/>
    </row>
    <row r="34" spans="1:20" x14ac:dyDescent="0.25">
      <c r="B34" s="32" t="s">
        <v>50</v>
      </c>
      <c r="C34" t="s">
        <v>51</v>
      </c>
      <c r="D34" s="4">
        <f>+'2012'!G34</f>
        <v>12465.77</v>
      </c>
      <c r="E34" s="4">
        <v>0</v>
      </c>
      <c r="F34" s="4">
        <v>0</v>
      </c>
      <c r="G34" s="13">
        <f t="shared" si="2"/>
        <v>12465.77</v>
      </c>
      <c r="H34" s="4"/>
      <c r="I34" s="4">
        <f>+'2012'!L34</f>
        <v>-2493.15</v>
      </c>
      <c r="J34" s="4">
        <v>-2493.1</v>
      </c>
      <c r="K34" s="4">
        <v>0</v>
      </c>
      <c r="L34" s="13">
        <f t="shared" si="3"/>
        <v>-4986.25</v>
      </c>
      <c r="M34" s="4"/>
      <c r="N34" s="4">
        <f t="shared" si="15"/>
        <v>9972.6200000000008</v>
      </c>
      <c r="O34" s="4">
        <f t="shared" si="11"/>
        <v>0</v>
      </c>
      <c r="P34" s="4">
        <f t="shared" si="4"/>
        <v>-2493.1</v>
      </c>
      <c r="Q34" s="13">
        <f t="shared" si="5"/>
        <v>7479.52</v>
      </c>
      <c r="R34" s="4"/>
    </row>
    <row r="35" spans="1:20" x14ac:dyDescent="0.25">
      <c r="B35" s="32" t="s">
        <v>52</v>
      </c>
      <c r="C35" t="s">
        <v>53</v>
      </c>
      <c r="D35" s="4">
        <f>+'2012'!G35</f>
        <v>200000</v>
      </c>
      <c r="E35" s="4">
        <v>0</v>
      </c>
      <c r="F35" s="4">
        <v>0</v>
      </c>
      <c r="G35" s="13">
        <f t="shared" si="2"/>
        <v>200000</v>
      </c>
      <c r="H35" s="4"/>
      <c r="I35" s="4">
        <f>+'2012'!L35</f>
        <v>-13333.33</v>
      </c>
      <c r="J35" s="4">
        <v>-13333.33</v>
      </c>
      <c r="K35" s="4">
        <v>0</v>
      </c>
      <c r="L35" s="13">
        <f t="shared" si="3"/>
        <v>-26666.66</v>
      </c>
      <c r="M35" s="4"/>
      <c r="N35" s="4">
        <f t="shared" si="15"/>
        <v>186666.67</v>
      </c>
      <c r="O35" s="4">
        <f t="shared" si="11"/>
        <v>0</v>
      </c>
      <c r="P35" s="4">
        <f t="shared" si="4"/>
        <v>-13333.33</v>
      </c>
      <c r="Q35" s="13">
        <f t="shared" si="5"/>
        <v>173333.34000000003</v>
      </c>
      <c r="R35" s="4"/>
    </row>
    <row r="36" spans="1:20" x14ac:dyDescent="0.25">
      <c r="B36" s="31">
        <v>1980</v>
      </c>
      <c r="C36" t="s">
        <v>54</v>
      </c>
      <c r="D36" s="4">
        <f>+'2012'!G36</f>
        <v>58001.21</v>
      </c>
      <c r="E36" s="4">
        <v>0</v>
      </c>
      <c r="F36" s="4"/>
      <c r="G36" s="13">
        <f t="shared" si="2"/>
        <v>58001.21</v>
      </c>
      <c r="H36" s="4"/>
      <c r="I36" s="4">
        <f>+'2012'!L36</f>
        <v>-36955.919999999998</v>
      </c>
      <c r="J36" s="4">
        <v>-5261.31</v>
      </c>
      <c r="K36" s="4"/>
      <c r="L36" s="13">
        <f t="shared" si="3"/>
        <v>-42217.229999999996</v>
      </c>
      <c r="M36" s="4"/>
      <c r="N36" s="4">
        <f t="shared" si="15"/>
        <v>21045.29</v>
      </c>
      <c r="O36" s="4">
        <f t="shared" si="11"/>
        <v>0</v>
      </c>
      <c r="P36" s="4">
        <f t="shared" si="4"/>
        <v>-5261.31</v>
      </c>
      <c r="Q36" s="13">
        <f t="shared" ref="Q36" si="16">SUM(N36:P36)</f>
        <v>15783.98</v>
      </c>
      <c r="R36" s="4"/>
    </row>
    <row r="37" spans="1:20" ht="15.75" thickBot="1" x14ac:dyDescent="0.3">
      <c r="B37" s="33">
        <v>1980.1</v>
      </c>
      <c r="C37" s="2" t="s">
        <v>66</v>
      </c>
      <c r="D37" s="18">
        <f>+'2012'!G37</f>
        <v>397907.52</v>
      </c>
      <c r="E37" s="18">
        <v>69794.850000000006</v>
      </c>
      <c r="F37" s="18">
        <v>0</v>
      </c>
      <c r="G37" s="19">
        <f t="shared" si="2"/>
        <v>467702.37</v>
      </c>
      <c r="H37" s="18"/>
      <c r="I37" s="18">
        <f>+'2012'!L37</f>
        <v>-26527.17</v>
      </c>
      <c r="J37" s="18">
        <v>-31180.16</v>
      </c>
      <c r="K37" s="18">
        <v>0</v>
      </c>
      <c r="L37" s="19">
        <f t="shared" si="3"/>
        <v>-57707.33</v>
      </c>
      <c r="M37" s="18"/>
      <c r="N37" s="18">
        <f t="shared" si="15"/>
        <v>371380.35000000003</v>
      </c>
      <c r="O37" s="18">
        <f t="shared" si="11"/>
        <v>69794.850000000006</v>
      </c>
      <c r="P37" s="18">
        <f t="shared" si="4"/>
        <v>-31180.16</v>
      </c>
      <c r="Q37" s="19">
        <f t="shared" si="5"/>
        <v>409995.0400000001</v>
      </c>
      <c r="R37" s="18"/>
    </row>
    <row r="38" spans="1:20" x14ac:dyDescent="0.25">
      <c r="D38" s="4"/>
      <c r="E38" s="4"/>
      <c r="F38" s="4">
        <v>0</v>
      </c>
      <c r="G38" s="13">
        <f t="shared" si="2"/>
        <v>0</v>
      </c>
      <c r="H38" s="4"/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5"/>
        <v>0</v>
      </c>
      <c r="O38" s="4">
        <f t="shared" si="11"/>
        <v>0</v>
      </c>
      <c r="P38" s="4">
        <f t="shared" si="4"/>
        <v>0</v>
      </c>
      <c r="Q38" s="13">
        <f t="shared" si="5"/>
        <v>0</v>
      </c>
      <c r="R38" s="4"/>
    </row>
    <row r="39" spans="1:20" s="9" customFormat="1" ht="15.75" thickBot="1" x14ac:dyDescent="0.3">
      <c r="B39" s="10" t="s">
        <v>58</v>
      </c>
      <c r="C39" s="10"/>
      <c r="D39" s="19">
        <f>SUM(D25:D38)</f>
        <v>4984714.8599999994</v>
      </c>
      <c r="E39" s="19">
        <f>SUM(E25:E38)</f>
        <v>538638.24</v>
      </c>
      <c r="F39" s="19">
        <f>SUM(F25:F38)</f>
        <v>-38000</v>
      </c>
      <c r="G39" s="19">
        <f>SUM(G25:G38)</f>
        <v>5485353.0999999987</v>
      </c>
      <c r="H39" s="19"/>
      <c r="I39" s="19">
        <f>SUM(I25:I38)</f>
        <v>-1342152.45</v>
      </c>
      <c r="J39" s="19">
        <f>SUM(J25:J38)</f>
        <v>-346088.80999999994</v>
      </c>
      <c r="K39" s="19">
        <f>SUM(K25:K38)</f>
        <v>7600</v>
      </c>
      <c r="L39" s="19">
        <f>SUM(L25:L38)</f>
        <v>-1680641.26</v>
      </c>
      <c r="M39" s="19"/>
      <c r="N39" s="19">
        <f>SUM(N25:N38)</f>
        <v>3642562.4099999997</v>
      </c>
      <c r="O39" s="19">
        <f>SUM(O25:O38)</f>
        <v>500638.24</v>
      </c>
      <c r="P39" s="19">
        <f>SUM(P25:P38)</f>
        <v>-338488.80999999994</v>
      </c>
      <c r="Q39" s="19">
        <f>SUM(Q25:Q38)</f>
        <v>3804711.84</v>
      </c>
      <c r="R39" s="19"/>
    </row>
    <row r="40" spans="1:20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1:20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1:20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1:20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  <c r="S43" s="28"/>
    </row>
    <row r="44" spans="1:20" x14ac:dyDescent="0.25">
      <c r="A44" s="39"/>
      <c r="B44" s="24" t="s">
        <v>12</v>
      </c>
      <c r="C44" s="7" t="s">
        <v>13</v>
      </c>
      <c r="D44" s="8">
        <f>+'2012'!G44</f>
        <v>0</v>
      </c>
      <c r="E44" s="8">
        <v>0</v>
      </c>
      <c r="F44" s="8">
        <v>0</v>
      </c>
      <c r="G44" s="16">
        <f>SUM(D44:F44)</f>
        <v>0</v>
      </c>
      <c r="I44" s="8"/>
      <c r="J44" s="7"/>
      <c r="K44" s="7"/>
      <c r="L44" s="15"/>
      <c r="M44" s="4"/>
      <c r="N44" s="8"/>
      <c r="O44" s="8"/>
      <c r="P44" s="8"/>
      <c r="Q44" s="16"/>
      <c r="R44" s="4"/>
      <c r="S44" s="28"/>
    </row>
    <row r="45" spans="1:20" x14ac:dyDescent="0.25">
      <c r="A45" s="39" t="s">
        <v>81</v>
      </c>
      <c r="B45" s="34" t="s">
        <v>14</v>
      </c>
      <c r="C45" s="7" t="s">
        <v>15</v>
      </c>
      <c r="D45" s="8">
        <f>+'2012'!G45</f>
        <v>-1322395.6499999999</v>
      </c>
      <c r="E45" s="8">
        <v>-10620.18</v>
      </c>
      <c r="F45" s="8">
        <v>0</v>
      </c>
      <c r="G45" s="16">
        <f>SUM(D45:F45)</f>
        <v>-1333015.8299999998</v>
      </c>
      <c r="I45" s="8">
        <f>+'2012'!L45</f>
        <v>386622.50037271291</v>
      </c>
      <c r="J45" s="8">
        <v>24218.92</v>
      </c>
      <c r="K45" s="8">
        <v>0</v>
      </c>
      <c r="L45" s="16">
        <f>SUM(I45:K45)</f>
        <v>410841.42037271289</v>
      </c>
      <c r="M45" s="4"/>
      <c r="N45" s="8">
        <f t="shared" ref="N45:N55" si="17">+D45+I45</f>
        <v>-935773.14962728694</v>
      </c>
      <c r="O45" s="8">
        <f t="shared" ref="O45:O55" si="18">+E45+F45</f>
        <v>-10620.18</v>
      </c>
      <c r="P45" s="8">
        <f t="shared" ref="P45:P55" si="19">+J45+K45</f>
        <v>24218.92</v>
      </c>
      <c r="Q45" s="16">
        <f t="shared" ref="Q45:Q53" si="20">SUM(N45:P45)</f>
        <v>-922174.40962728695</v>
      </c>
      <c r="R45" s="4"/>
      <c r="S45" s="28"/>
      <c r="T45" s="22"/>
    </row>
    <row r="46" spans="1:20" x14ac:dyDescent="0.25">
      <c r="A46" s="39" t="s">
        <v>82</v>
      </c>
      <c r="B46" s="34" t="s">
        <v>16</v>
      </c>
      <c r="C46" s="7" t="s">
        <v>17</v>
      </c>
      <c r="D46" s="8">
        <f>+'2012'!G46</f>
        <v>-1132149.04</v>
      </c>
      <c r="E46" s="8">
        <v>-6651.3</v>
      </c>
      <c r="F46" s="8">
        <v>0</v>
      </c>
      <c r="G46" s="16">
        <f>SUM(D46:F46)</f>
        <v>-1138800.3400000001</v>
      </c>
      <c r="I46" s="8">
        <f>+'2012'!L46</f>
        <v>325908.14365983708</v>
      </c>
      <c r="J46" s="8">
        <v>15038.89</v>
      </c>
      <c r="K46" s="8">
        <v>0</v>
      </c>
      <c r="L46" s="16">
        <f>SUM(I46:K46)</f>
        <v>340947.03365983709</v>
      </c>
      <c r="M46" s="4"/>
      <c r="N46" s="8">
        <f t="shared" si="17"/>
        <v>-806240.89634016296</v>
      </c>
      <c r="O46" s="8">
        <f t="shared" si="18"/>
        <v>-6651.3</v>
      </c>
      <c r="P46" s="8">
        <f t="shared" si="19"/>
        <v>15038.89</v>
      </c>
      <c r="Q46" s="16">
        <f t="shared" si="20"/>
        <v>-797853.30634016299</v>
      </c>
      <c r="R46" s="4"/>
      <c r="S46" s="28"/>
      <c r="T46" s="22"/>
    </row>
    <row r="47" spans="1:20" x14ac:dyDescent="0.25">
      <c r="A47" s="39" t="s">
        <v>83</v>
      </c>
      <c r="B47" s="34" t="s">
        <v>18</v>
      </c>
      <c r="C47" s="7" t="s">
        <v>19</v>
      </c>
      <c r="D47" s="8">
        <f>+'2012'!G47</f>
        <v>-794201.4</v>
      </c>
      <c r="E47" s="8">
        <v>-130564.84</v>
      </c>
      <c r="F47" s="8">
        <v>0</v>
      </c>
      <c r="G47" s="16">
        <f t="shared" ref="G47:G55" si="21">SUM(D47:F47)</f>
        <v>-924766.24</v>
      </c>
      <c r="I47" s="8">
        <f>+'2012'!L47</f>
        <v>226572.52557171645</v>
      </c>
      <c r="J47" s="8">
        <v>23117.82</v>
      </c>
      <c r="K47" s="8">
        <v>0</v>
      </c>
      <c r="L47" s="16">
        <f t="shared" ref="L47:L56" si="22">SUM(I47:K47)</f>
        <v>249690.34557171646</v>
      </c>
      <c r="M47" s="4"/>
      <c r="N47" s="8">
        <f t="shared" si="17"/>
        <v>-567628.87442828354</v>
      </c>
      <c r="O47" s="8">
        <f t="shared" si="18"/>
        <v>-130564.84</v>
      </c>
      <c r="P47" s="8">
        <f t="shared" si="19"/>
        <v>23117.82</v>
      </c>
      <c r="Q47" s="16">
        <f t="shared" si="20"/>
        <v>-675075.89442828356</v>
      </c>
      <c r="R47" s="4"/>
      <c r="S47" s="28"/>
      <c r="T47" s="22"/>
    </row>
    <row r="48" spans="1:20" x14ac:dyDescent="0.25">
      <c r="A48" s="39" t="s">
        <v>84</v>
      </c>
      <c r="B48" s="34" t="s">
        <v>20</v>
      </c>
      <c r="C48" s="7" t="s">
        <v>21</v>
      </c>
      <c r="D48" s="8">
        <f>+'2012'!G48</f>
        <v>-1381059.24</v>
      </c>
      <c r="E48" s="8">
        <v>-5978.26</v>
      </c>
      <c r="F48" s="8">
        <v>0</v>
      </c>
      <c r="G48" s="16">
        <f t="shared" si="21"/>
        <v>-1387037.5</v>
      </c>
      <c r="I48" s="8">
        <f>+'2012'!L48</f>
        <v>395400.20715116698</v>
      </c>
      <c r="J48" s="8">
        <v>29784.93</v>
      </c>
      <c r="K48" s="8">
        <v>0</v>
      </c>
      <c r="L48" s="16">
        <f t="shared" si="22"/>
        <v>425185.13715116697</v>
      </c>
      <c r="M48" s="4"/>
      <c r="N48" s="8">
        <f t="shared" si="17"/>
        <v>-985659.03284883301</v>
      </c>
      <c r="O48" s="8">
        <f t="shared" si="18"/>
        <v>-5978.26</v>
      </c>
      <c r="P48" s="8">
        <f t="shared" si="19"/>
        <v>29784.93</v>
      </c>
      <c r="Q48" s="16">
        <f t="shared" si="20"/>
        <v>-961852.36284883297</v>
      </c>
      <c r="R48" s="4"/>
      <c r="S48" s="28"/>
      <c r="T48" s="22"/>
    </row>
    <row r="49" spans="1:22" x14ac:dyDescent="0.25">
      <c r="A49" s="40" t="s">
        <v>85</v>
      </c>
      <c r="B49" s="34" t="s">
        <v>22</v>
      </c>
      <c r="C49" s="7" t="s">
        <v>23</v>
      </c>
      <c r="D49" s="8">
        <f>+'2012'!G49</f>
        <v>-1024695.04</v>
      </c>
      <c r="E49" s="8">
        <v>-386050.18</v>
      </c>
      <c r="F49" s="8">
        <v>0</v>
      </c>
      <c r="G49" s="16">
        <f t="shared" si="21"/>
        <v>-1410745.22</v>
      </c>
      <c r="I49" s="8">
        <f>+'2012'!L49</f>
        <v>249387.93964880094</v>
      </c>
      <c r="J49" s="8">
        <v>31241.46</v>
      </c>
      <c r="K49" s="8">
        <v>0</v>
      </c>
      <c r="L49" s="16">
        <f t="shared" si="22"/>
        <v>280629.39964880096</v>
      </c>
      <c r="M49" s="4"/>
      <c r="N49" s="8">
        <f t="shared" si="17"/>
        <v>-775307.10035119904</v>
      </c>
      <c r="O49" s="8">
        <f t="shared" si="18"/>
        <v>-386050.18</v>
      </c>
      <c r="P49" s="8">
        <f t="shared" si="19"/>
        <v>31241.46</v>
      </c>
      <c r="Q49" s="16">
        <f t="shared" si="20"/>
        <v>-1130115.820351199</v>
      </c>
      <c r="R49" s="4"/>
      <c r="S49" s="28"/>
      <c r="T49" s="22"/>
    </row>
    <row r="50" spans="1:22" x14ac:dyDescent="0.25">
      <c r="A50" s="39" t="s">
        <v>86</v>
      </c>
      <c r="B50" s="34" t="s">
        <v>24</v>
      </c>
      <c r="C50" s="7" t="s">
        <v>25</v>
      </c>
      <c r="D50" s="8">
        <f>+'2012'!G50</f>
        <v>-528856.84</v>
      </c>
      <c r="E50" s="8">
        <v>-29037.03</v>
      </c>
      <c r="F50" s="8">
        <v>0</v>
      </c>
      <c r="G50" s="16">
        <f t="shared" si="21"/>
        <v>-557893.87</v>
      </c>
      <c r="I50" s="8">
        <f>+'2012'!L50</f>
        <v>158683.45799237076</v>
      </c>
      <c r="J50" s="8">
        <v>13946.41</v>
      </c>
      <c r="K50" s="8">
        <v>0</v>
      </c>
      <c r="L50" s="16">
        <f t="shared" si="22"/>
        <v>172629.86799237077</v>
      </c>
      <c r="M50" s="4"/>
      <c r="N50" s="8">
        <f t="shared" si="17"/>
        <v>-370173.3820076292</v>
      </c>
      <c r="O50" s="8">
        <f t="shared" si="18"/>
        <v>-29037.03</v>
      </c>
      <c r="P50" s="8">
        <f t="shared" si="19"/>
        <v>13946.41</v>
      </c>
      <c r="Q50" s="16">
        <f t="shared" si="20"/>
        <v>-385264.0020076292</v>
      </c>
      <c r="R50" s="4"/>
      <c r="S50" s="28"/>
      <c r="T50" s="22"/>
    </row>
    <row r="51" spans="1:22" x14ac:dyDescent="0.25">
      <c r="A51" s="39" t="s">
        <v>87</v>
      </c>
      <c r="B51" s="34" t="s">
        <v>26</v>
      </c>
      <c r="C51" s="7" t="s">
        <v>27</v>
      </c>
      <c r="D51" s="8">
        <f>+'2012'!G51</f>
        <v>-604518.96</v>
      </c>
      <c r="E51" s="8">
        <v>-9112.82</v>
      </c>
      <c r="F51" s="8">
        <v>0</v>
      </c>
      <c r="G51" s="16">
        <f t="shared" si="21"/>
        <v>-613631.77999999991</v>
      </c>
      <c r="I51" s="8">
        <f>+'2012'!L51</f>
        <v>177046.52581226695</v>
      </c>
      <c r="J51" s="8">
        <v>13146.07</v>
      </c>
      <c r="K51" s="8">
        <v>0</v>
      </c>
      <c r="L51" s="16">
        <f t="shared" si="22"/>
        <v>190192.59581226695</v>
      </c>
      <c r="M51" s="4"/>
      <c r="N51" s="8">
        <f t="shared" si="17"/>
        <v>-427472.43418773299</v>
      </c>
      <c r="O51" s="8">
        <f t="shared" si="18"/>
        <v>-9112.82</v>
      </c>
      <c r="P51" s="8">
        <f t="shared" si="19"/>
        <v>13146.07</v>
      </c>
      <c r="Q51" s="16">
        <f t="shared" si="20"/>
        <v>-423439.18418773299</v>
      </c>
      <c r="R51" s="4"/>
      <c r="S51" s="28"/>
      <c r="T51" s="22"/>
    </row>
    <row r="52" spans="1:22" x14ac:dyDescent="0.25">
      <c r="A52" s="39" t="s">
        <v>88</v>
      </c>
      <c r="B52" s="34" t="s">
        <v>28</v>
      </c>
      <c r="C52" s="7" t="s">
        <v>29</v>
      </c>
      <c r="D52" s="8">
        <f>+'2012'!G52</f>
        <v>-411409.47</v>
      </c>
      <c r="E52" s="8">
        <v>-8813.98</v>
      </c>
      <c r="F52" s="8">
        <v>0</v>
      </c>
      <c r="G52" s="16">
        <f t="shared" si="21"/>
        <v>-420223.44999999995</v>
      </c>
      <c r="I52" s="8">
        <f>+'2012'!L52</f>
        <v>119172.64820699279</v>
      </c>
      <c r="J52" s="8">
        <v>8545.9599999999991</v>
      </c>
      <c r="K52" s="8">
        <v>0</v>
      </c>
      <c r="L52" s="16">
        <f t="shared" si="22"/>
        <v>127718.60820699279</v>
      </c>
      <c r="M52" s="3"/>
      <c r="N52" s="8">
        <f t="shared" si="17"/>
        <v>-292236.8217930072</v>
      </c>
      <c r="O52" s="8">
        <f t="shared" si="18"/>
        <v>-8813.98</v>
      </c>
      <c r="P52" s="8">
        <f t="shared" si="19"/>
        <v>8545.9599999999991</v>
      </c>
      <c r="Q52" s="16">
        <f t="shared" si="20"/>
        <v>-292504.84179300716</v>
      </c>
      <c r="R52" s="3"/>
      <c r="S52" s="28"/>
      <c r="T52" s="22"/>
    </row>
    <row r="53" spans="1:22" x14ac:dyDescent="0.25">
      <c r="A53" s="39" t="s">
        <v>89</v>
      </c>
      <c r="B53" s="34" t="s">
        <v>30</v>
      </c>
      <c r="C53" s="7" t="s">
        <v>31</v>
      </c>
      <c r="D53" s="8">
        <f>+'2012'!G53</f>
        <v>-295792.75</v>
      </c>
      <c r="E53" s="8">
        <v>0</v>
      </c>
      <c r="F53" s="8">
        <v>0</v>
      </c>
      <c r="G53" s="16">
        <f t="shared" si="21"/>
        <v>-295792.75</v>
      </c>
      <c r="I53" s="8">
        <f>+'2012'!L53</f>
        <v>97628.081584135376</v>
      </c>
      <c r="J53" s="8">
        <v>16269.78</v>
      </c>
      <c r="K53" s="8">
        <v>0</v>
      </c>
      <c r="L53" s="16">
        <f t="shared" si="22"/>
        <v>113897.86158413537</v>
      </c>
      <c r="M53" s="3"/>
      <c r="N53" s="8">
        <f t="shared" si="17"/>
        <v>-198164.66841586464</v>
      </c>
      <c r="O53" s="8">
        <f t="shared" si="18"/>
        <v>0</v>
      </c>
      <c r="P53" s="8">
        <f t="shared" si="19"/>
        <v>16269.78</v>
      </c>
      <c r="Q53" s="16">
        <f t="shared" si="20"/>
        <v>-181894.88841586464</v>
      </c>
      <c r="R53" s="3"/>
      <c r="S53" s="28"/>
      <c r="T53" s="22"/>
    </row>
    <row r="54" spans="1:22" x14ac:dyDescent="0.25">
      <c r="A54" s="39" t="s">
        <v>106</v>
      </c>
      <c r="B54" s="35">
        <v>1860.15</v>
      </c>
      <c r="C54" s="7" t="s">
        <v>55</v>
      </c>
      <c r="D54" s="8">
        <f>+'2012'!G54</f>
        <v>0</v>
      </c>
      <c r="E54" s="8">
        <v>-2842.06</v>
      </c>
      <c r="F54" s="8">
        <v>0</v>
      </c>
      <c r="G54" s="16">
        <f t="shared" si="21"/>
        <v>-2842.06</v>
      </c>
      <c r="I54" s="8">
        <f>+'2012'!L54</f>
        <v>0</v>
      </c>
      <c r="J54" s="8">
        <v>189.47</v>
      </c>
      <c r="K54" s="8">
        <v>0</v>
      </c>
      <c r="L54" s="16">
        <f t="shared" si="22"/>
        <v>189.47</v>
      </c>
      <c r="M54" s="3"/>
      <c r="N54" s="8">
        <f t="shared" si="17"/>
        <v>0</v>
      </c>
      <c r="O54" s="8">
        <f t="shared" si="18"/>
        <v>-2842.06</v>
      </c>
      <c r="P54" s="8">
        <f t="shared" si="19"/>
        <v>189.47</v>
      </c>
      <c r="Q54" s="16">
        <f t="shared" ref="Q54:Q55" si="23">SUM(N54:P54)</f>
        <v>-2652.59</v>
      </c>
      <c r="R54" s="3"/>
      <c r="S54" s="28"/>
      <c r="T54" s="22"/>
      <c r="U54" s="3"/>
      <c r="V54" s="14"/>
    </row>
    <row r="55" spans="1:22" x14ac:dyDescent="0.25">
      <c r="A55" s="39" t="s">
        <v>90</v>
      </c>
      <c r="B55" s="34" t="s">
        <v>32</v>
      </c>
      <c r="C55" s="7" t="s">
        <v>33</v>
      </c>
      <c r="D55" s="8">
        <f>+'2012'!G55</f>
        <v>-6446.6</v>
      </c>
      <c r="E55" s="8">
        <v>-6473.13</v>
      </c>
      <c r="F55" s="8">
        <v>0</v>
      </c>
      <c r="G55" s="16">
        <f t="shared" si="21"/>
        <v>-12919.73</v>
      </c>
      <c r="I55" s="8">
        <f>+'2012'!L55</f>
        <v>2029.53</v>
      </c>
      <c r="J55" s="8">
        <v>2461.0700000000002</v>
      </c>
      <c r="K55" s="8">
        <v>0</v>
      </c>
      <c r="L55" s="16">
        <f t="shared" si="22"/>
        <v>4490.6000000000004</v>
      </c>
      <c r="M55" s="3"/>
      <c r="N55" s="8">
        <f t="shared" si="17"/>
        <v>-4417.0700000000006</v>
      </c>
      <c r="O55" s="8">
        <f t="shared" si="18"/>
        <v>-6473.13</v>
      </c>
      <c r="P55" s="8">
        <f t="shared" si="19"/>
        <v>2461.0700000000002</v>
      </c>
      <c r="Q55" s="16">
        <f t="shared" si="23"/>
        <v>-8429.130000000001</v>
      </c>
      <c r="R55" s="3"/>
      <c r="S55" s="38"/>
      <c r="T55" s="3"/>
      <c r="U55" s="3"/>
      <c r="V55" s="14"/>
    </row>
    <row r="56" spans="1:22" ht="15.75" thickBot="1" x14ac:dyDescent="0.3">
      <c r="B56" s="36" t="s">
        <v>34</v>
      </c>
      <c r="C56" s="25" t="s">
        <v>35</v>
      </c>
      <c r="D56" s="20">
        <f>+'2012'!G56</f>
        <v>0</v>
      </c>
      <c r="E56" s="20">
        <v>0</v>
      </c>
      <c r="F56" s="20">
        <v>0</v>
      </c>
      <c r="G56" s="21">
        <f t="shared" ref="G56" si="24">SUM(D56:F56)</f>
        <v>0</v>
      </c>
      <c r="I56" s="20">
        <f>+'2012'!L56</f>
        <v>0</v>
      </c>
      <c r="J56" s="20">
        <v>0</v>
      </c>
      <c r="K56" s="20">
        <v>0</v>
      </c>
      <c r="L56" s="21">
        <f t="shared" si="22"/>
        <v>0</v>
      </c>
      <c r="M56" s="3"/>
      <c r="N56" s="20"/>
      <c r="O56" s="20">
        <v>0</v>
      </c>
      <c r="P56" s="20">
        <v>0</v>
      </c>
      <c r="Q56" s="21">
        <f t="shared" ref="Q56" si="25">SUM(N56:P56)</f>
        <v>0</v>
      </c>
      <c r="R56" s="3"/>
      <c r="S56" s="38"/>
      <c r="T56" s="3"/>
      <c r="U56" s="3"/>
      <c r="V56" s="14"/>
    </row>
    <row r="57" spans="1:22" x14ac:dyDescent="0.25">
      <c r="M57" s="3"/>
      <c r="R57" s="3"/>
      <c r="S57" s="38"/>
      <c r="T57" s="3"/>
      <c r="U57" s="3"/>
      <c r="V57" s="14"/>
    </row>
    <row r="58" spans="1:22" ht="15.75" thickBot="1" x14ac:dyDescent="0.3">
      <c r="B58" s="25"/>
      <c r="C58" s="25"/>
      <c r="D58" s="21">
        <f>SUM(D44:D57)</f>
        <v>-7501524.9899999993</v>
      </c>
      <c r="E58" s="21">
        <f>SUM(E44:E57)</f>
        <v>-596143.78</v>
      </c>
      <c r="F58" s="21">
        <f>SUM(F44:F57)</f>
        <v>0</v>
      </c>
      <c r="G58" s="21">
        <f>SUM(G44:G57)</f>
        <v>-8097668.7700000005</v>
      </c>
      <c r="H58" s="9"/>
      <c r="I58" s="21">
        <f>SUM(I44:I57)</f>
        <v>2138451.56</v>
      </c>
      <c r="J58" s="21">
        <f>SUM(J44:J57)</f>
        <v>177960.78</v>
      </c>
      <c r="K58" s="21">
        <f>SUM(K44:K57)</f>
        <v>0</v>
      </c>
      <c r="L58" s="21">
        <f>SUM(L44:L57)</f>
        <v>2316412.3400000008</v>
      </c>
      <c r="N58" s="21">
        <f>SUM(N44:N57)</f>
        <v>-5363073.43</v>
      </c>
      <c r="O58" s="21">
        <f>SUM(O44:O57)</f>
        <v>-596143.78</v>
      </c>
      <c r="P58" s="21">
        <f>SUM(P44:P57)</f>
        <v>177960.78</v>
      </c>
      <c r="Q58" s="21">
        <f>SUM(Q44:Q57)</f>
        <v>-5781256.4299999988</v>
      </c>
    </row>
    <row r="60" spans="1:22" x14ac:dyDescent="0.25">
      <c r="G60" s="4"/>
    </row>
    <row r="61" spans="1:22" x14ac:dyDescent="0.25">
      <c r="B61" t="s">
        <v>10</v>
      </c>
      <c r="D61" s="22">
        <f>+D22+D39+D58</f>
        <v>48041874.957999997</v>
      </c>
      <c r="E61" s="22">
        <f>+E22+E39+E58</f>
        <v>1561521.01</v>
      </c>
      <c r="F61" s="22">
        <f>+F22+F39+F58</f>
        <v>-38000</v>
      </c>
      <c r="G61" s="23">
        <f>+D61+E61+F61</f>
        <v>49565395.967999995</v>
      </c>
      <c r="I61" s="4">
        <f>+I22+I39+I58</f>
        <v>-23550510.350000001</v>
      </c>
      <c r="J61" s="4">
        <f>+J22+J39+J58</f>
        <v>-1143708.46</v>
      </c>
      <c r="K61" s="4">
        <f>+K22+K39+K58</f>
        <v>7600</v>
      </c>
      <c r="L61" s="13">
        <f>+I61+J61+K61</f>
        <v>-24686618.810000002</v>
      </c>
      <c r="N61" s="4">
        <f>+N22+N39+N58</f>
        <v>24491364.608000007</v>
      </c>
      <c r="O61" s="4">
        <f>+O22+O39+O58</f>
        <v>1523521.01</v>
      </c>
      <c r="P61" s="4">
        <f>+P22+P39+P58</f>
        <v>-1136108.46</v>
      </c>
      <c r="Q61" s="13">
        <f>+N61+O61+P61</f>
        <v>24878777.158000007</v>
      </c>
    </row>
    <row r="62" spans="1:22" ht="15.75" thickBot="1" x14ac:dyDescent="0.3">
      <c r="B62" s="2" t="s">
        <v>61</v>
      </c>
      <c r="C62" s="2"/>
      <c r="D62" s="18">
        <f>+'2012'!G62</f>
        <v>114689</v>
      </c>
      <c r="E62" s="18">
        <v>88742.06</v>
      </c>
      <c r="F62" s="18">
        <v>-114689</v>
      </c>
      <c r="G62" s="19">
        <f>+D62+E62+F62</f>
        <v>88742.06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114689</v>
      </c>
      <c r="O62" s="18">
        <f>+E62+F62</f>
        <v>-25946.940000000002</v>
      </c>
      <c r="P62" s="18">
        <f>+J62+K62</f>
        <v>0</v>
      </c>
      <c r="Q62" s="18">
        <f>+N62+O62+P62</f>
        <v>88742.06</v>
      </c>
    </row>
    <row r="63" spans="1:22" x14ac:dyDescent="0.25">
      <c r="L63"/>
    </row>
    <row r="64" spans="1:22" ht="15.75" thickBot="1" x14ac:dyDescent="0.3">
      <c r="B64" s="10" t="s">
        <v>64</v>
      </c>
      <c r="C64" s="2"/>
      <c r="D64" s="19">
        <f>+D61+D62</f>
        <v>48156563.957999997</v>
      </c>
      <c r="E64" s="19">
        <f>+E61+E62</f>
        <v>1650263.07</v>
      </c>
      <c r="F64" s="19">
        <f>+F61+F62</f>
        <v>-152689</v>
      </c>
      <c r="G64" s="19">
        <f>+G61+G62</f>
        <v>49654138.027999997</v>
      </c>
      <c r="I64" s="19">
        <f>+I61+I62</f>
        <v>-23550510.350000001</v>
      </c>
      <c r="J64" s="19">
        <f>+J61+J62</f>
        <v>-1143708.46</v>
      </c>
      <c r="K64" s="19">
        <f>+K61+K62</f>
        <v>7600</v>
      </c>
      <c r="L64" s="19">
        <f>+L61+L62</f>
        <v>-24686618.810000002</v>
      </c>
      <c r="N64" s="19">
        <f>+N61+N62</f>
        <v>24606053.608000007</v>
      </c>
      <c r="O64" s="19">
        <f>+O61+O62</f>
        <v>1497574.07</v>
      </c>
      <c r="P64" s="19">
        <f>+P61+P62</f>
        <v>-1136108.46</v>
      </c>
      <c r="Q64" s="19">
        <f>+Q61+Q62</f>
        <v>24967519.218000006</v>
      </c>
    </row>
    <row r="65" spans="5:17" x14ac:dyDescent="0.25">
      <c r="G65"/>
      <c r="L65"/>
      <c r="Q65"/>
    </row>
    <row r="66" spans="5:17" x14ac:dyDescent="0.25">
      <c r="E66" s="22">
        <f>+E61-D62+E62</f>
        <v>1535574.07</v>
      </c>
      <c r="G66"/>
      <c r="L66"/>
      <c r="Q66"/>
    </row>
    <row r="67" spans="5:17" x14ac:dyDescent="0.25">
      <c r="G67"/>
      <c r="L67"/>
      <c r="Q67"/>
    </row>
    <row r="68" spans="5:17" x14ac:dyDescent="0.25">
      <c r="G68"/>
      <c r="L68"/>
      <c r="N68" s="5">
        <f>+N64+E64+J64</f>
        <v>25112608.218000006</v>
      </c>
      <c r="Q68"/>
    </row>
    <row r="69" spans="5:17" x14ac:dyDescent="0.25">
      <c r="G69"/>
      <c r="L69"/>
      <c r="Q69"/>
    </row>
    <row r="70" spans="5:17" x14ac:dyDescent="0.25">
      <c r="G70"/>
      <c r="L70"/>
      <c r="Q70"/>
    </row>
    <row r="71" spans="5:17" x14ac:dyDescent="0.25">
      <c r="G71"/>
      <c r="L71"/>
      <c r="Q71"/>
    </row>
    <row r="72" spans="5:17" x14ac:dyDescent="0.25">
      <c r="G72"/>
      <c r="L72"/>
      <c r="Q72"/>
    </row>
    <row r="73" spans="5:17" x14ac:dyDescent="0.25">
      <c r="E73" s="22"/>
    </row>
    <row r="75" spans="5:17" x14ac:dyDescent="0.25">
      <c r="E75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8:D8 B36:I36 B18:D18 M18:P18 B21:P24 B17:D17 B9:D9 F9:I9 B10:D10 F10:I10 B11:D11 F11:I11 B12:D12 F12:I12 B13:D13 F13:I13 B14:D14 F14:I14 B15:D15 F15:I15 F18:I18 B31:I31 B28 F28:I28 B29:D29 F29:I29 B34:I34 B32:D32 G32:I32 B33:D33 F33:I33 B35:D35 F35:I35 B38:Q43 B37:D37 F37:I37 B56:Q56 B44:D55 F44:Q44 K8:Q8 K9:Q9 K10:Q10 K11:Q11 K12:Q12 K13:Q13 K14:Q14 K15:Q15 B16:D16 K16:Q16 K17:Q17 K18 B19:D19 K19:P19 B20:D20 K20:P20 B27:D27 B26:D26 K26:P26 K27:P27 K28:P28 K29:P29 B30:D30 K30:P30 K31:P31 L32:P32 K33:P33 K34:P34 K35:P35 K36:Q36 K37:Q37 F55:I55 F45:I45 K45:Q45 F46:I46 K46:Q46 F47:I47 K47:Q47 F48:I48 K48:Q48 F49:I49 K49:Q49 F50:I50 K50:Q50 F51:I51 K51:Q51 F52:I52 K52:Q52 F53:I53 K53:Q53 F54:I54 K54:Q54 F8:I8 F17:I17 F16:I16 F19:I19 F20:I20 B25:D25 F25:P25 F26:I26 F27:I27 F30:I30 D28 K55:Q55" numberStoredAsText="1"/>
    <ignoredError sqref="L18 Q18 Q19:Q35" numberStoredAsText="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5"/>
  <sheetViews>
    <sheetView showGridLines="0" topLeftCell="D53" workbookViewId="0">
      <selection activeCell="F59" sqref="F59"/>
    </sheetView>
  </sheetViews>
  <sheetFormatPr defaultRowHeight="15" x14ac:dyDescent="0.25"/>
  <cols>
    <col min="1" max="1" width="12" customWidth="1"/>
    <col min="2" max="2" width="9.5703125" bestFit="1" customWidth="1"/>
    <col min="3" max="3" width="35.42578125" bestFit="1" customWidth="1"/>
    <col min="4" max="5" width="14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2" max="12" width="15" style="9" bestFit="1" customWidth="1"/>
    <col min="13" max="13" width="2.7109375" customWidth="1"/>
    <col min="14" max="14" width="14.28515625" bestFit="1" customWidth="1"/>
    <col min="15" max="15" width="13.28515625" bestFit="1" customWidth="1"/>
    <col min="16" max="16" width="14" bestFit="1" customWidth="1"/>
    <col min="17" max="17" width="14.28515625" style="9" bestFit="1" customWidth="1"/>
    <col min="19" max="19" width="11.5703125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B2" s="9" t="s">
        <v>80</v>
      </c>
      <c r="C2" s="9"/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f>+'2013'!G7</f>
        <v>7637.8779999999997</v>
      </c>
      <c r="E7" s="4">
        <v>0</v>
      </c>
      <c r="F7" s="4">
        <v>0</v>
      </c>
      <c r="G7" s="13">
        <f>SUM(D7:F7)</f>
        <v>7637.8779999999997</v>
      </c>
      <c r="H7" s="4"/>
      <c r="I7" s="4">
        <f>+'2013'!L7</f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19" si="0">+D7+I7</f>
        <v>7637.8779999999997</v>
      </c>
      <c r="O7" s="4">
        <f t="shared" ref="O7:O20" si="1">+E7+F7</f>
        <v>0</v>
      </c>
      <c r="P7" s="4">
        <f>+J7+K7</f>
        <v>0</v>
      </c>
      <c r="Q7" s="13">
        <f>SUM(N7:P7)</f>
        <v>7637.8779999999997</v>
      </c>
      <c r="R7" s="4"/>
    </row>
    <row r="8" spans="2:22" x14ac:dyDescent="0.25">
      <c r="B8" s="6" t="s">
        <v>12</v>
      </c>
      <c r="C8" t="s">
        <v>13</v>
      </c>
      <c r="D8" s="4">
        <f>+'2013'!G8</f>
        <v>850124.96</v>
      </c>
      <c r="E8" s="4">
        <v>0</v>
      </c>
      <c r="F8" s="4">
        <v>0</v>
      </c>
      <c r="G8" s="13">
        <f>SUM(D8:F8)</f>
        <v>850124.96</v>
      </c>
      <c r="H8" s="4"/>
      <c r="I8" s="4">
        <f>+'2013'!L8</f>
        <v>-832947.42</v>
      </c>
      <c r="J8" s="4">
        <f>-[1]Summary!$H7</f>
        <v>-835.9</v>
      </c>
      <c r="K8" s="4">
        <v>0</v>
      </c>
      <c r="L8" s="13">
        <f>SUM(I8:K8)</f>
        <v>-833783.32000000007</v>
      </c>
      <c r="M8" s="4"/>
      <c r="N8" s="4">
        <f t="shared" si="0"/>
        <v>17177.539999999921</v>
      </c>
      <c r="O8" s="4">
        <f t="shared" si="1"/>
        <v>0</v>
      </c>
      <c r="P8" s="4">
        <f>+J8+K8</f>
        <v>-835.9</v>
      </c>
      <c r="Q8" s="13">
        <f>SUM(N8:P8)</f>
        <v>16341.639999999921</v>
      </c>
      <c r="R8" s="4"/>
    </row>
    <row r="9" spans="2:22" x14ac:dyDescent="0.25">
      <c r="B9" t="s">
        <v>14</v>
      </c>
      <c r="C9" t="s">
        <v>15</v>
      </c>
      <c r="D9" s="4">
        <f>+'2013'!G9</f>
        <v>8934263.959999999</v>
      </c>
      <c r="E9" s="4">
        <v>337027</v>
      </c>
      <c r="F9" s="4">
        <v>0</v>
      </c>
      <c r="G9" s="13">
        <f t="shared" ref="G9:G38" si="2">SUM(D9:F9)</f>
        <v>9271290.959999999</v>
      </c>
      <c r="H9" s="4"/>
      <c r="I9" s="4">
        <f>+'2013'!L9</f>
        <v>-4124351.97</v>
      </c>
      <c r="J9" s="4">
        <f>-[1]Summary!$H8</f>
        <v>-134549.35999999996</v>
      </c>
      <c r="K9" s="4">
        <v>0</v>
      </c>
      <c r="L9" s="13">
        <f t="shared" ref="L9:L38" si="3">SUM(I9:K9)</f>
        <v>-4258901.33</v>
      </c>
      <c r="M9" s="4"/>
      <c r="N9" s="4">
        <f t="shared" si="0"/>
        <v>4809911.9899999984</v>
      </c>
      <c r="O9" s="4">
        <f t="shared" si="1"/>
        <v>337027</v>
      </c>
      <c r="P9" s="4">
        <f t="shared" ref="P9:P38" si="4">+J9+K9</f>
        <v>-134549.35999999996</v>
      </c>
      <c r="Q9" s="13">
        <f t="shared" ref="Q9:Q38" si="5">SUM(N9:P9)</f>
        <v>5012389.629999998</v>
      </c>
      <c r="R9" s="4"/>
    </row>
    <row r="10" spans="2:22" x14ac:dyDescent="0.25">
      <c r="B10" t="s">
        <v>16</v>
      </c>
      <c r="C10" t="s">
        <v>17</v>
      </c>
      <c r="D10" s="4">
        <f>+'2013'!G10</f>
        <v>7870199.2599999998</v>
      </c>
      <c r="E10" s="4">
        <v>276757</v>
      </c>
      <c r="F10" s="4">
        <v>0</v>
      </c>
      <c r="G10" s="13">
        <f t="shared" si="2"/>
        <v>8146956.2599999998</v>
      </c>
      <c r="H10" s="4"/>
      <c r="I10" s="4">
        <f>+'2013'!L10</f>
        <v>-4075624.7800000003</v>
      </c>
      <c r="J10" s="4">
        <f>-[1]Summary!$H9</f>
        <v>-77450.36</v>
      </c>
      <c r="K10" s="4">
        <v>0</v>
      </c>
      <c r="L10" s="13">
        <f t="shared" si="3"/>
        <v>-4153075.14</v>
      </c>
      <c r="M10" s="4"/>
      <c r="N10" s="4">
        <f t="shared" si="0"/>
        <v>3794574.4799999995</v>
      </c>
      <c r="O10" s="4">
        <f t="shared" si="1"/>
        <v>276757</v>
      </c>
      <c r="P10" s="4">
        <f t="shared" si="4"/>
        <v>-77450.36</v>
      </c>
      <c r="Q10" s="13">
        <f t="shared" si="5"/>
        <v>3993881.1199999996</v>
      </c>
      <c r="R10" s="4"/>
    </row>
    <row r="11" spans="2:22" x14ac:dyDescent="0.25">
      <c r="B11" t="s">
        <v>18</v>
      </c>
      <c r="C11" t="s">
        <v>19</v>
      </c>
      <c r="D11" s="4">
        <f>+'2013'!G11</f>
        <v>4681117.6899999995</v>
      </c>
      <c r="E11" s="4">
        <v>338922</v>
      </c>
      <c r="F11" s="4">
        <v>0</v>
      </c>
      <c r="G11" s="13">
        <f t="shared" si="2"/>
        <v>5020039.6899999995</v>
      </c>
      <c r="H11" s="4"/>
      <c r="I11" s="4">
        <f>+'2013'!L11</f>
        <v>-2081236.48</v>
      </c>
      <c r="J11" s="4">
        <f>-[1]Summary!$H10</f>
        <v>-99510.689999999988</v>
      </c>
      <c r="K11" s="4">
        <v>0</v>
      </c>
      <c r="L11" s="13">
        <f t="shared" si="3"/>
        <v>-2180747.17</v>
      </c>
      <c r="M11" s="4"/>
      <c r="N11" s="4">
        <f t="shared" si="0"/>
        <v>2599881.2099999995</v>
      </c>
      <c r="O11" s="4">
        <f t="shared" si="1"/>
        <v>338922</v>
      </c>
      <c r="P11" s="4">
        <f t="shared" si="4"/>
        <v>-99510.689999999988</v>
      </c>
      <c r="Q11" s="13">
        <f t="shared" si="5"/>
        <v>2839292.5199999996</v>
      </c>
      <c r="R11" s="4"/>
    </row>
    <row r="12" spans="2:22" x14ac:dyDescent="0.25">
      <c r="B12" t="s">
        <v>20</v>
      </c>
      <c r="C12" t="s">
        <v>21</v>
      </c>
      <c r="D12" s="4">
        <f>+'2013'!G12</f>
        <v>8891318.2300000004</v>
      </c>
      <c r="E12" s="4">
        <v>291948</v>
      </c>
      <c r="F12" s="4">
        <v>0</v>
      </c>
      <c r="G12" s="13">
        <f t="shared" si="2"/>
        <v>9183266.2300000004</v>
      </c>
      <c r="H12" s="4"/>
      <c r="I12" s="4">
        <f>+'2013'!L12</f>
        <v>-4041049.2499999995</v>
      </c>
      <c r="J12" s="4">
        <f>-[1]Summary!$H11</f>
        <v>-156998.08000000002</v>
      </c>
      <c r="K12" s="4">
        <v>0</v>
      </c>
      <c r="L12" s="13">
        <f t="shared" si="3"/>
        <v>-4198047.3299999991</v>
      </c>
      <c r="M12" s="4"/>
      <c r="N12" s="4">
        <f t="shared" si="0"/>
        <v>4850268.9800000004</v>
      </c>
      <c r="O12" s="4">
        <f t="shared" si="1"/>
        <v>291948</v>
      </c>
      <c r="P12" s="4">
        <f t="shared" si="4"/>
        <v>-156998.08000000002</v>
      </c>
      <c r="Q12" s="13">
        <f t="shared" si="5"/>
        <v>4985218.9000000004</v>
      </c>
      <c r="R12" s="4"/>
    </row>
    <row r="13" spans="2:22" x14ac:dyDescent="0.25">
      <c r="B13" t="s">
        <v>22</v>
      </c>
      <c r="C13" t="s">
        <v>23</v>
      </c>
      <c r="D13" s="4">
        <f>+'2013'!G13</f>
        <v>2124503.46</v>
      </c>
      <c r="E13" s="4">
        <v>278524</v>
      </c>
      <c r="F13" s="4">
        <v>0</v>
      </c>
      <c r="G13" s="13">
        <f t="shared" si="2"/>
        <v>2403027.46</v>
      </c>
      <c r="H13" s="4"/>
      <c r="I13" s="4">
        <f>+'2013'!L13</f>
        <v>-370107.24</v>
      </c>
      <c r="J13" s="4">
        <f>-[1]Summary!$H12</f>
        <v>-57108.46</v>
      </c>
      <c r="K13" s="4">
        <v>0</v>
      </c>
      <c r="L13" s="13">
        <f t="shared" si="3"/>
        <v>-427215.7</v>
      </c>
      <c r="M13" s="4"/>
      <c r="N13" s="4">
        <f t="shared" si="0"/>
        <v>1754396.22</v>
      </c>
      <c r="O13" s="4">
        <f t="shared" si="1"/>
        <v>278524</v>
      </c>
      <c r="P13" s="4">
        <f t="shared" si="4"/>
        <v>-57108.46</v>
      </c>
      <c r="Q13" s="13">
        <f t="shared" si="5"/>
        <v>1975811.76</v>
      </c>
      <c r="R13" s="4"/>
    </row>
    <row r="14" spans="2:22" x14ac:dyDescent="0.25">
      <c r="B14" t="s">
        <v>24</v>
      </c>
      <c r="C14" t="s">
        <v>25</v>
      </c>
      <c r="D14" s="4">
        <f>+'2013'!G14</f>
        <v>7714841.9100000001</v>
      </c>
      <c r="E14" s="4">
        <v>118961</v>
      </c>
      <c r="F14" s="4">
        <v>0</v>
      </c>
      <c r="G14" s="27">
        <f t="shared" si="2"/>
        <v>7833802.9100000001</v>
      </c>
      <c r="H14" s="4"/>
      <c r="I14" s="4">
        <f>+'2013'!L14</f>
        <v>-4830202.05</v>
      </c>
      <c r="J14" s="4">
        <f>-[1]Summary!$H13</f>
        <v>-110622.66</v>
      </c>
      <c r="K14" s="4">
        <v>0</v>
      </c>
      <c r="L14" s="13">
        <f t="shared" si="3"/>
        <v>-4940824.71</v>
      </c>
      <c r="M14" s="4"/>
      <c r="N14" s="4">
        <f t="shared" si="0"/>
        <v>2884639.8600000003</v>
      </c>
      <c r="O14" s="4">
        <f t="shared" si="1"/>
        <v>118961</v>
      </c>
      <c r="P14" s="4">
        <f t="shared" si="4"/>
        <v>-110622.66</v>
      </c>
      <c r="Q14" s="13">
        <f t="shared" si="5"/>
        <v>2892978.2</v>
      </c>
      <c r="R14" s="4"/>
    </row>
    <row r="15" spans="2:22" x14ac:dyDescent="0.25">
      <c r="B15" t="s">
        <v>26</v>
      </c>
      <c r="C15" t="s">
        <v>27</v>
      </c>
      <c r="D15" s="4">
        <f>+'2013'!G15</f>
        <v>4272208.87</v>
      </c>
      <c r="E15" s="4">
        <v>114977</v>
      </c>
      <c r="F15" s="4">
        <v>0</v>
      </c>
      <c r="G15" s="13">
        <f t="shared" si="2"/>
        <v>4387185.87</v>
      </c>
      <c r="H15" s="4"/>
      <c r="I15" s="4">
        <f>+'2013'!L15</f>
        <v>-2271868.87</v>
      </c>
      <c r="J15" s="4">
        <f>-[1]Summary!$H14</f>
        <v>-65506.74</v>
      </c>
      <c r="K15" s="4">
        <v>0</v>
      </c>
      <c r="L15" s="13">
        <f t="shared" si="3"/>
        <v>-2337375.6100000003</v>
      </c>
      <c r="M15" s="4"/>
      <c r="N15" s="4">
        <f t="shared" si="0"/>
        <v>2000340</v>
      </c>
      <c r="O15" s="4">
        <f t="shared" si="1"/>
        <v>114977</v>
      </c>
      <c r="P15" s="4">
        <f t="shared" si="4"/>
        <v>-65506.74</v>
      </c>
      <c r="Q15" s="13">
        <f t="shared" si="5"/>
        <v>2049810.26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+'2013'!G16</f>
        <v>1237813.95</v>
      </c>
      <c r="E16" s="4">
        <v>29866</v>
      </c>
      <c r="F16" s="4">
        <v>0</v>
      </c>
      <c r="G16" s="27">
        <f t="shared" si="2"/>
        <v>1267679.95</v>
      </c>
      <c r="H16" s="4"/>
      <c r="I16" s="4">
        <f>+'2013'!L16</f>
        <v>-243213.18000000002</v>
      </c>
      <c r="J16" s="4">
        <f>-[1]Summary!$H15</f>
        <v>-29705.16</v>
      </c>
      <c r="K16" s="4">
        <v>0</v>
      </c>
      <c r="L16" s="13">
        <f t="shared" si="3"/>
        <v>-272918.34000000003</v>
      </c>
      <c r="M16" s="4"/>
      <c r="N16" s="4">
        <f t="shared" si="0"/>
        <v>994600.7699999999</v>
      </c>
      <c r="O16" s="4">
        <f t="shared" si="1"/>
        <v>29866</v>
      </c>
      <c r="P16" s="4">
        <f t="shared" si="4"/>
        <v>-29705.16</v>
      </c>
      <c r="Q16" s="13">
        <f t="shared" si="5"/>
        <v>994761.60999999987</v>
      </c>
      <c r="R16" s="4"/>
      <c r="U16" s="26"/>
    </row>
    <row r="17" spans="1:22" x14ac:dyDescent="0.25">
      <c r="B17" t="s">
        <v>30</v>
      </c>
      <c r="C17" t="s">
        <v>31</v>
      </c>
      <c r="D17" s="4">
        <f>+'2013'!G17</f>
        <v>2278507.2400000002</v>
      </c>
      <c r="E17" s="4"/>
      <c r="F17" s="4">
        <v>0</v>
      </c>
      <c r="G17" s="13">
        <f t="shared" si="2"/>
        <v>2278507.2400000002</v>
      </c>
      <c r="H17" s="4"/>
      <c r="I17" s="4">
        <f>+'2013'!L17</f>
        <v>-1627934.25</v>
      </c>
      <c r="J17" s="4">
        <f>-[1]Summary!$H16</f>
        <v>-62443.42</v>
      </c>
      <c r="K17" s="4">
        <v>0</v>
      </c>
      <c r="L17" s="13">
        <f t="shared" si="3"/>
        <v>-1690377.67</v>
      </c>
      <c r="M17" s="4"/>
      <c r="N17" s="4">
        <f t="shared" si="0"/>
        <v>650572.99000000022</v>
      </c>
      <c r="O17" s="4">
        <f t="shared" si="1"/>
        <v>0</v>
      </c>
      <c r="P17" s="4">
        <f t="shared" si="4"/>
        <v>-62443.42</v>
      </c>
      <c r="Q17" s="13">
        <f t="shared" si="5"/>
        <v>588129.57000000018</v>
      </c>
      <c r="R17" s="4"/>
      <c r="T17" s="5">
        <f>+N17</f>
        <v>650572.99000000022</v>
      </c>
      <c r="U17" s="26">
        <f>+T17/T19</f>
        <v>0.90594058089244089</v>
      </c>
      <c r="V17" s="13">
        <f>+U17*N53</f>
        <v>-164785.96087283411</v>
      </c>
    </row>
    <row r="18" spans="1:22" x14ac:dyDescent="0.25">
      <c r="B18" s="1">
        <v>1860.15</v>
      </c>
      <c r="C18" t="s">
        <v>55</v>
      </c>
      <c r="D18" s="4">
        <f>+'2013'!G18</f>
        <v>3147343.79</v>
      </c>
      <c r="E18" s="4">
        <f>12527+491</f>
        <v>13018</v>
      </c>
      <c r="F18" s="4"/>
      <c r="G18" s="13">
        <f t="shared" si="2"/>
        <v>3160361.79</v>
      </c>
      <c r="H18" s="4"/>
      <c r="I18" s="4">
        <f>+'2013'!L18</f>
        <v>-781599.43</v>
      </c>
      <c r="J18" s="4">
        <f>-[1]Summary!$H17</f>
        <v>-210690.78999999998</v>
      </c>
      <c r="K18" s="4">
        <v>0</v>
      </c>
      <c r="L18" s="13">
        <f t="shared" ref="L18" si="6">SUM(I18:K18)</f>
        <v>-992290.22</v>
      </c>
      <c r="M18" s="4"/>
      <c r="N18" s="4">
        <f t="shared" si="0"/>
        <v>2365744.36</v>
      </c>
      <c r="O18" s="4">
        <f t="shared" si="1"/>
        <v>13018</v>
      </c>
      <c r="P18" s="4">
        <f t="shared" si="4"/>
        <v>-210690.78999999998</v>
      </c>
      <c r="Q18" s="13">
        <f t="shared" ref="Q18" si="7">SUM(N18:P18)</f>
        <v>2168071.5699999998</v>
      </c>
      <c r="R18" s="4"/>
      <c r="T18" s="5">
        <f>+N19</f>
        <v>67545.84</v>
      </c>
      <c r="U18" s="26">
        <f>+T18/T19</f>
        <v>9.4059419107559092E-2</v>
      </c>
      <c r="V18" s="13">
        <f>+N53-V17</f>
        <v>-17108.927543030499</v>
      </c>
    </row>
    <row r="19" spans="1:22" x14ac:dyDescent="0.25">
      <c r="B19" t="s">
        <v>32</v>
      </c>
      <c r="C19" t="s">
        <v>33</v>
      </c>
      <c r="D19" s="4">
        <f>+'2013'!G19</f>
        <v>94211.66</v>
      </c>
      <c r="E19" s="4">
        <v>0</v>
      </c>
      <c r="F19" s="4">
        <v>0</v>
      </c>
      <c r="G19" s="13">
        <f t="shared" si="2"/>
        <v>94211.66</v>
      </c>
      <c r="H19" s="4"/>
      <c r="I19" s="4">
        <f>+'2013'!L19</f>
        <v>-26665.82</v>
      </c>
      <c r="J19" s="4">
        <f>-[1]Summary!$H18</f>
        <v>-7065.9600000000009</v>
      </c>
      <c r="K19" s="4">
        <v>0</v>
      </c>
      <c r="L19" s="13">
        <f t="shared" si="3"/>
        <v>-33731.78</v>
      </c>
      <c r="M19" s="4"/>
      <c r="N19" s="4">
        <f t="shared" si="0"/>
        <v>67545.84</v>
      </c>
      <c r="O19" s="4">
        <f t="shared" si="1"/>
        <v>0</v>
      </c>
      <c r="P19" s="4">
        <f t="shared" si="4"/>
        <v>-7065.9600000000009</v>
      </c>
      <c r="Q19" s="13">
        <f t="shared" si="5"/>
        <v>60479.88</v>
      </c>
      <c r="R19" s="4"/>
      <c r="T19" s="5">
        <f>+T17+T18</f>
        <v>718118.83000000019</v>
      </c>
      <c r="U19" s="26"/>
    </row>
    <row r="20" spans="1:22" ht="15.75" thickBot="1" x14ac:dyDescent="0.3">
      <c r="B20" s="2" t="s">
        <v>34</v>
      </c>
      <c r="C20" s="2" t="s">
        <v>35</v>
      </c>
      <c r="D20" s="18">
        <f>+'2013'!G20</f>
        <v>73618.78</v>
      </c>
      <c r="E20" s="18">
        <v>0</v>
      </c>
      <c r="F20" s="18">
        <v>0</v>
      </c>
      <c r="G20" s="19">
        <f t="shared" si="2"/>
        <v>73618.78</v>
      </c>
      <c r="H20" s="18"/>
      <c r="I20" s="18">
        <f>+'2013'!L20</f>
        <v>-15589.149999999998</v>
      </c>
      <c r="J20" s="18">
        <f>-[1]Summary!$H19</f>
        <v>-2385.3000000000002</v>
      </c>
      <c r="K20" s="18">
        <v>0</v>
      </c>
      <c r="L20" s="19">
        <f t="shared" si="3"/>
        <v>-17974.449999999997</v>
      </c>
      <c r="M20" s="18"/>
      <c r="N20" s="18">
        <f>+'2013'!Q20</f>
        <v>58029.63</v>
      </c>
      <c r="O20" s="18">
        <f t="shared" si="1"/>
        <v>0</v>
      </c>
      <c r="P20" s="18">
        <f t="shared" si="4"/>
        <v>-2385.3000000000002</v>
      </c>
      <c r="Q20" s="19">
        <f t="shared" si="5"/>
        <v>55644.329999999994</v>
      </c>
      <c r="R20" s="18"/>
      <c r="V20" s="13">
        <f>+V17+V18</f>
        <v>-181894.88841586461</v>
      </c>
    </row>
    <row r="21" spans="1:22" x14ac:dyDescent="0.25">
      <c r="D21" s="4"/>
      <c r="E21" s="4"/>
      <c r="F21" s="4"/>
      <c r="G21" s="13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1:22" s="9" customFormat="1" ht="15.75" thickBot="1" x14ac:dyDescent="0.3">
      <c r="A22"/>
      <c r="B22" s="10" t="s">
        <v>57</v>
      </c>
      <c r="C22" s="10"/>
      <c r="D22" s="19">
        <f>SUM(D7:D21)</f>
        <v>52177711.637999997</v>
      </c>
      <c r="E22" s="19">
        <f>SUM(E7:E21)</f>
        <v>1800000</v>
      </c>
      <c r="F22" s="19">
        <f>SUM(F7:F21)</f>
        <v>0</v>
      </c>
      <c r="G22" s="19">
        <f>SUM(G7:G21)</f>
        <v>53977711.637999989</v>
      </c>
      <c r="H22" s="19"/>
      <c r="I22" s="19">
        <f>SUM(I7:I21)</f>
        <v>-25322389.890000001</v>
      </c>
      <c r="J22" s="19">
        <f>SUM(J7:J21)</f>
        <v>-1014872.8800000001</v>
      </c>
      <c r="K22" s="19">
        <f>SUM(K7:K21)</f>
        <v>0</v>
      </c>
      <c r="L22" s="19">
        <f>SUM(L7:L21)</f>
        <v>-26337262.77</v>
      </c>
      <c r="M22" s="19"/>
      <c r="N22" s="19">
        <f>SUM(N7:N21)</f>
        <v>26855321.747999996</v>
      </c>
      <c r="O22" s="19">
        <f>SUM(O7:O21)</f>
        <v>1800000</v>
      </c>
      <c r="P22" s="19">
        <f>SUM(P7:P21)</f>
        <v>-1014872.8800000001</v>
      </c>
      <c r="Q22" s="19">
        <f>SUM(Q7:Q21)</f>
        <v>27640448.867999997</v>
      </c>
      <c r="R22" s="19"/>
    </row>
    <row r="23" spans="1:22" x14ac:dyDescent="0.25">
      <c r="D23" s="4"/>
      <c r="E23" s="4"/>
      <c r="F23" s="4"/>
      <c r="G23" s="13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1:22" x14ac:dyDescent="0.25">
      <c r="D24" s="4"/>
      <c r="E24" s="4"/>
      <c r="F24" s="4"/>
      <c r="G24" s="13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1:22" x14ac:dyDescent="0.25">
      <c r="B25" s="31">
        <v>1905</v>
      </c>
      <c r="C25" t="s">
        <v>56</v>
      </c>
      <c r="D25" s="4">
        <f>+'2013'!G25</f>
        <v>174187.53</v>
      </c>
      <c r="E25" s="4">
        <v>0</v>
      </c>
      <c r="F25" s="4">
        <v>0</v>
      </c>
      <c r="G25" s="13">
        <f t="shared" ref="G25" si="8">SUM(D25:F25)</f>
        <v>174187.53</v>
      </c>
      <c r="H25" s="4"/>
      <c r="I25" s="4">
        <f>+'2013'!L25</f>
        <v>0</v>
      </c>
      <c r="J25" s="4">
        <v>0</v>
      </c>
      <c r="K25" s="4">
        <v>0</v>
      </c>
      <c r="L25" s="13">
        <f t="shared" ref="L25" si="9">SUM(I25:K25)</f>
        <v>0</v>
      </c>
      <c r="M25" s="4"/>
      <c r="N25" s="4">
        <f t="shared" ref="N25:N38" si="10">+D25+I25</f>
        <v>174187.53</v>
      </c>
      <c r="O25" s="4">
        <f t="shared" ref="O25:O38" si="11">+E25+F25</f>
        <v>0</v>
      </c>
      <c r="P25" s="4">
        <f t="shared" ref="P25" si="12">+J25+K25</f>
        <v>0</v>
      </c>
      <c r="Q25" s="13">
        <f t="shared" ref="Q25" si="13">SUM(N25:P25)</f>
        <v>174187.53</v>
      </c>
      <c r="R25" s="4"/>
    </row>
    <row r="26" spans="1:22" x14ac:dyDescent="0.25">
      <c r="B26" s="32" t="s">
        <v>36</v>
      </c>
      <c r="C26" t="s">
        <v>37</v>
      </c>
      <c r="D26" s="4">
        <f>+'2013'!G26</f>
        <v>2396552.27</v>
      </c>
      <c r="E26" s="4">
        <v>100000</v>
      </c>
      <c r="F26" s="4">
        <v>0</v>
      </c>
      <c r="G26" s="13">
        <f t="shared" si="2"/>
        <v>2496552.27</v>
      </c>
      <c r="H26" s="4"/>
      <c r="I26" s="4">
        <f>+'2013'!L26</f>
        <v>-970945.52</v>
      </c>
      <c r="J26" s="4">
        <f>-[1]Summary!$H20</f>
        <v>-37130.17</v>
      </c>
      <c r="K26" s="4">
        <v>0</v>
      </c>
      <c r="L26" s="13">
        <f t="shared" si="3"/>
        <v>-1008075.6900000001</v>
      </c>
      <c r="M26" s="4"/>
      <c r="N26" s="4">
        <f t="shared" si="10"/>
        <v>1425606.75</v>
      </c>
      <c r="O26" s="4">
        <f t="shared" si="11"/>
        <v>100000</v>
      </c>
      <c r="P26" s="4">
        <f t="shared" si="4"/>
        <v>-37130.17</v>
      </c>
      <c r="Q26" s="13">
        <f t="shared" si="5"/>
        <v>1488476.58</v>
      </c>
      <c r="R26" s="4"/>
    </row>
    <row r="27" spans="1:22" x14ac:dyDescent="0.25">
      <c r="B27" s="32" t="s">
        <v>38</v>
      </c>
      <c r="C27" t="s">
        <v>39</v>
      </c>
      <c r="D27" s="4">
        <f>+'2013'!G27</f>
        <v>22164.09</v>
      </c>
      <c r="E27" s="4">
        <v>0</v>
      </c>
      <c r="F27" s="4">
        <v>0</v>
      </c>
      <c r="G27" s="13">
        <f t="shared" si="2"/>
        <v>22164.09</v>
      </c>
      <c r="H27" s="4"/>
      <c r="I27" s="4">
        <f>+'2013'!L27</f>
        <v>-4058.4300000000003</v>
      </c>
      <c r="J27" s="4">
        <f>-[1]Summary!$H21</f>
        <v>-2362.7600000000002</v>
      </c>
      <c r="K27" s="4">
        <v>0</v>
      </c>
      <c r="L27" s="13">
        <f t="shared" si="3"/>
        <v>-6421.1900000000005</v>
      </c>
      <c r="M27" s="4"/>
      <c r="N27" s="4">
        <f t="shared" si="10"/>
        <v>18105.66</v>
      </c>
      <c r="O27" s="4">
        <f t="shared" si="11"/>
        <v>0</v>
      </c>
      <c r="P27" s="4">
        <f t="shared" si="4"/>
        <v>-2362.7600000000002</v>
      </c>
      <c r="Q27" s="13">
        <f t="shared" si="5"/>
        <v>15742.9</v>
      </c>
      <c r="R27" s="4"/>
    </row>
    <row r="28" spans="1:22" x14ac:dyDescent="0.25">
      <c r="B28" s="32" t="s">
        <v>40</v>
      </c>
      <c r="C28" t="s">
        <v>105</v>
      </c>
      <c r="D28" s="4">
        <f>+'2013'!G28</f>
        <v>71936.87</v>
      </c>
      <c r="E28" s="4">
        <v>70000</v>
      </c>
      <c r="F28" s="4">
        <v>0</v>
      </c>
      <c r="G28" s="27">
        <f t="shared" si="2"/>
        <v>141936.87</v>
      </c>
      <c r="H28" s="4"/>
      <c r="I28" s="4">
        <f>+'2013'!L28</f>
        <v>-14387.28</v>
      </c>
      <c r="J28" s="4">
        <f>-[1]Summary!$H22</f>
        <v>-14193.64</v>
      </c>
      <c r="K28" s="4">
        <v>0</v>
      </c>
      <c r="L28" s="13">
        <f t="shared" si="3"/>
        <v>-28580.92</v>
      </c>
      <c r="M28" s="4"/>
      <c r="N28" s="4">
        <f t="shared" si="10"/>
        <v>57549.59</v>
      </c>
      <c r="O28" s="4">
        <f t="shared" si="11"/>
        <v>70000</v>
      </c>
      <c r="P28" s="4">
        <f t="shared" si="4"/>
        <v>-14193.64</v>
      </c>
      <c r="Q28" s="13">
        <f t="shared" si="5"/>
        <v>113355.95</v>
      </c>
      <c r="R28" s="4"/>
    </row>
    <row r="29" spans="1:22" x14ac:dyDescent="0.25">
      <c r="B29" s="32" t="s">
        <v>42</v>
      </c>
      <c r="C29" t="s">
        <v>43</v>
      </c>
      <c r="D29" s="4">
        <f>+'2013'!G29</f>
        <v>302556.79999999999</v>
      </c>
      <c r="E29" s="4">
        <v>19500</v>
      </c>
      <c r="F29" s="4">
        <v>0</v>
      </c>
      <c r="G29" s="13">
        <f t="shared" si="2"/>
        <v>322056.8</v>
      </c>
      <c r="H29" s="4"/>
      <c r="I29" s="4">
        <f>+'2013'!L29</f>
        <v>-100889.89</v>
      </c>
      <c r="J29" s="4">
        <f>-[1]Summary!$H23</f>
        <v>-64411.34</v>
      </c>
      <c r="K29" s="4">
        <v>0</v>
      </c>
      <c r="L29" s="13">
        <f t="shared" si="3"/>
        <v>-165301.22999999998</v>
      </c>
      <c r="M29" s="4"/>
      <c r="N29" s="4">
        <f t="shared" si="10"/>
        <v>201666.90999999997</v>
      </c>
      <c r="O29" s="4">
        <f t="shared" si="11"/>
        <v>19500</v>
      </c>
      <c r="P29" s="4">
        <f t="shared" si="4"/>
        <v>-64411.34</v>
      </c>
      <c r="Q29" s="13">
        <f t="shared" si="5"/>
        <v>156755.56999999998</v>
      </c>
      <c r="R29" s="4"/>
    </row>
    <row r="30" spans="1:22" x14ac:dyDescent="0.25">
      <c r="B30" s="32" t="s">
        <v>44</v>
      </c>
      <c r="C30" t="s">
        <v>45</v>
      </c>
      <c r="D30" s="4">
        <f>+'2013'!G30</f>
        <v>138101.22999999998</v>
      </c>
      <c r="E30" s="4">
        <v>76500</v>
      </c>
      <c r="F30" s="4">
        <v>0</v>
      </c>
      <c r="G30" s="13">
        <f t="shared" si="2"/>
        <v>214601.22999999998</v>
      </c>
      <c r="H30" s="4"/>
      <c r="I30" s="4">
        <f>+'2013'!L30</f>
        <v>-90242.9</v>
      </c>
      <c r="J30" s="4">
        <f>-[1]Summary!$H24</f>
        <v>-42920.25</v>
      </c>
      <c r="K30" s="4">
        <v>0</v>
      </c>
      <c r="L30" s="13">
        <f t="shared" si="3"/>
        <v>-133163.15</v>
      </c>
      <c r="M30" s="4"/>
      <c r="N30" s="4">
        <f t="shared" si="10"/>
        <v>47858.329999999987</v>
      </c>
      <c r="O30" s="4">
        <f t="shared" si="11"/>
        <v>76500</v>
      </c>
      <c r="P30" s="4">
        <f t="shared" si="4"/>
        <v>-42920.25</v>
      </c>
      <c r="Q30" s="13">
        <f t="shared" si="5"/>
        <v>81438.079999999987</v>
      </c>
      <c r="R30" s="4"/>
    </row>
    <row r="31" spans="1:22" x14ac:dyDescent="0.25">
      <c r="B31" s="32" t="s">
        <v>46</v>
      </c>
      <c r="C31" t="s">
        <v>47</v>
      </c>
      <c r="D31" s="4">
        <f>+'2013'!G31</f>
        <v>353134.18</v>
      </c>
      <c r="E31" s="4">
        <v>20000</v>
      </c>
      <c r="F31" s="4">
        <v>0</v>
      </c>
      <c r="G31" s="13">
        <f t="shared" si="2"/>
        <v>373134.18</v>
      </c>
      <c r="H31" s="4"/>
      <c r="I31" s="4">
        <f>+'2013'!L31</f>
        <v>-70626.84</v>
      </c>
      <c r="J31" s="4">
        <f>-[1]Summary!$H25</f>
        <v>-37313.42</v>
      </c>
      <c r="K31" s="4">
        <v>0</v>
      </c>
      <c r="L31" s="13">
        <f t="shared" si="3"/>
        <v>-107940.26</v>
      </c>
      <c r="M31" s="4"/>
      <c r="N31" s="4">
        <f t="shared" si="10"/>
        <v>282507.33999999997</v>
      </c>
      <c r="O31" s="4">
        <f t="shared" si="11"/>
        <v>20000</v>
      </c>
      <c r="P31" s="4">
        <f t="shared" si="4"/>
        <v>-37313.42</v>
      </c>
      <c r="Q31" s="13">
        <f t="shared" si="5"/>
        <v>265193.92</v>
      </c>
      <c r="R31" s="4"/>
    </row>
    <row r="32" spans="1:22" x14ac:dyDescent="0.25">
      <c r="B32" s="31">
        <v>1930</v>
      </c>
      <c r="C32" t="s">
        <v>59</v>
      </c>
      <c r="D32" s="4">
        <f>+'2013'!G32</f>
        <v>888423.48</v>
      </c>
      <c r="E32" s="4">
        <f>264050+D62</f>
        <v>352792.06</v>
      </c>
      <c r="F32" s="4"/>
      <c r="G32" s="13">
        <f t="shared" si="2"/>
        <v>1241215.54</v>
      </c>
      <c r="H32" s="4"/>
      <c r="I32" s="4">
        <f>+'2013'!L32</f>
        <v>-214554.31</v>
      </c>
      <c r="J32" s="4">
        <f>-[1]Summary!$H26</f>
        <v>-94676.605333333326</v>
      </c>
      <c r="K32" s="4"/>
      <c r="L32" s="13">
        <f t="shared" si="3"/>
        <v>-309230.91533333331</v>
      </c>
      <c r="M32" s="4"/>
      <c r="N32" s="4">
        <f t="shared" si="10"/>
        <v>673869.16999999993</v>
      </c>
      <c r="O32" s="4">
        <f t="shared" si="11"/>
        <v>352792.06</v>
      </c>
      <c r="P32" s="4">
        <f t="shared" si="4"/>
        <v>-94676.605333333326</v>
      </c>
      <c r="Q32" s="13">
        <f t="shared" ref="Q32" si="14">SUM(N32:P32)</f>
        <v>931984.62466666661</v>
      </c>
      <c r="R32" s="4"/>
    </row>
    <row r="33" spans="2:20" x14ac:dyDescent="0.25">
      <c r="B33" s="32" t="s">
        <v>48</v>
      </c>
      <c r="C33" t="s">
        <v>49</v>
      </c>
      <c r="D33" s="4">
        <f>+'2013'!G33</f>
        <v>400127.30000000005</v>
      </c>
      <c r="E33" s="4">
        <v>28000</v>
      </c>
      <c r="F33" s="4">
        <v>0</v>
      </c>
      <c r="G33" s="27">
        <f t="shared" si="2"/>
        <v>428127.30000000005</v>
      </c>
      <c r="H33" s="4"/>
      <c r="I33" s="4">
        <f>+'2013'!L33</f>
        <v>-83358.62</v>
      </c>
      <c r="J33" s="4">
        <f>-[1]Summary!$H27</f>
        <v>-42812.729999999996</v>
      </c>
      <c r="K33" s="4">
        <v>0</v>
      </c>
      <c r="L33" s="13">
        <f t="shared" si="3"/>
        <v>-126171.34999999999</v>
      </c>
      <c r="M33" s="4"/>
      <c r="N33" s="4">
        <f t="shared" si="10"/>
        <v>316768.68000000005</v>
      </c>
      <c r="O33" s="4">
        <f t="shared" si="11"/>
        <v>28000</v>
      </c>
      <c r="P33" s="4">
        <f t="shared" si="4"/>
        <v>-42812.729999999996</v>
      </c>
      <c r="Q33" s="13">
        <f t="shared" si="5"/>
        <v>301955.95000000007</v>
      </c>
      <c r="R33" s="4"/>
    </row>
    <row r="34" spans="2:20" x14ac:dyDescent="0.25">
      <c r="B34" s="32" t="s">
        <v>50</v>
      </c>
      <c r="C34" t="s">
        <v>51</v>
      </c>
      <c r="D34" s="4">
        <f>+'2013'!G34</f>
        <v>12465.77</v>
      </c>
      <c r="E34" s="4"/>
      <c r="F34" s="4">
        <v>0</v>
      </c>
      <c r="G34" s="13">
        <f t="shared" si="2"/>
        <v>12465.77</v>
      </c>
      <c r="H34" s="4"/>
      <c r="I34" s="4">
        <f>+'2013'!L34</f>
        <v>-4986.25</v>
      </c>
      <c r="J34" s="4">
        <f>-[1]Summary!$H28</f>
        <v>-2493.15</v>
      </c>
      <c r="K34" s="4">
        <v>0</v>
      </c>
      <c r="L34" s="13">
        <f t="shared" si="3"/>
        <v>-7479.4</v>
      </c>
      <c r="M34" s="4"/>
      <c r="N34" s="4">
        <f t="shared" si="10"/>
        <v>7479.52</v>
      </c>
      <c r="O34" s="4">
        <f t="shared" si="11"/>
        <v>0</v>
      </c>
      <c r="P34" s="4">
        <f t="shared" si="4"/>
        <v>-2493.15</v>
      </c>
      <c r="Q34" s="13">
        <f t="shared" si="5"/>
        <v>4986.3700000000008</v>
      </c>
      <c r="R34" s="4"/>
    </row>
    <row r="35" spans="2:20" x14ac:dyDescent="0.25">
      <c r="B35" s="32" t="s">
        <v>52</v>
      </c>
      <c r="C35" t="s">
        <v>53</v>
      </c>
      <c r="D35" s="4">
        <f>+'2013'!G35</f>
        <v>200000</v>
      </c>
      <c r="E35" s="4"/>
      <c r="F35" s="4">
        <v>0</v>
      </c>
      <c r="G35" s="13">
        <f t="shared" si="2"/>
        <v>200000</v>
      </c>
      <c r="H35" s="4"/>
      <c r="I35" s="4">
        <f>+'2013'!L35</f>
        <v>-26666.66</v>
      </c>
      <c r="J35" s="4">
        <f>-[1]Summary!$H29</f>
        <v>-13333.33</v>
      </c>
      <c r="K35" s="4">
        <v>0</v>
      </c>
      <c r="L35" s="13">
        <f t="shared" si="3"/>
        <v>-39999.99</v>
      </c>
      <c r="M35" s="4"/>
      <c r="N35" s="4">
        <f t="shared" si="10"/>
        <v>173333.34</v>
      </c>
      <c r="O35" s="4">
        <f t="shared" si="11"/>
        <v>0</v>
      </c>
      <c r="P35" s="4">
        <f t="shared" si="4"/>
        <v>-13333.33</v>
      </c>
      <c r="Q35" s="13">
        <f t="shared" si="5"/>
        <v>160000.01</v>
      </c>
      <c r="R35" s="4"/>
    </row>
    <row r="36" spans="2:20" x14ac:dyDescent="0.25">
      <c r="B36" s="31">
        <v>1980</v>
      </c>
      <c r="C36" t="s">
        <v>54</v>
      </c>
      <c r="D36" s="4">
        <f>+'2013'!G36</f>
        <v>58001.21</v>
      </c>
      <c r="E36" s="4">
        <v>0</v>
      </c>
      <c r="F36" s="4"/>
      <c r="G36" s="13">
        <f t="shared" si="2"/>
        <v>58001.21</v>
      </c>
      <c r="H36" s="4"/>
      <c r="I36" s="4">
        <f>+'2013'!L36</f>
        <v>-42217.229999999996</v>
      </c>
      <c r="J36" s="4">
        <f>-[1]Summary!$H30</f>
        <v>-5261.3099999999995</v>
      </c>
      <c r="K36" s="4"/>
      <c r="L36" s="13">
        <f t="shared" si="3"/>
        <v>-47478.539999999994</v>
      </c>
      <c r="M36" s="4"/>
      <c r="N36" s="4">
        <f t="shared" si="10"/>
        <v>15783.980000000003</v>
      </c>
      <c r="O36" s="4">
        <f t="shared" si="11"/>
        <v>0</v>
      </c>
      <c r="P36" s="4">
        <f t="shared" si="4"/>
        <v>-5261.3099999999995</v>
      </c>
      <c r="Q36" s="13">
        <f t="shared" ref="Q36" si="15">SUM(N36:P36)</f>
        <v>10522.670000000004</v>
      </c>
      <c r="R36" s="4"/>
    </row>
    <row r="37" spans="2:20" ht="15.75" thickBot="1" x14ac:dyDescent="0.3">
      <c r="B37" s="33">
        <v>1980.1</v>
      </c>
      <c r="C37" s="2" t="s">
        <v>66</v>
      </c>
      <c r="D37" s="18">
        <f>+'2013'!G37</f>
        <v>467702.37</v>
      </c>
      <c r="E37" s="18">
        <v>150000</v>
      </c>
      <c r="F37" s="18">
        <v>0</v>
      </c>
      <c r="G37" s="19">
        <f t="shared" si="2"/>
        <v>617702.37</v>
      </c>
      <c r="H37" s="18"/>
      <c r="I37" s="18">
        <f>+'2013'!L37</f>
        <v>-57707.33</v>
      </c>
      <c r="J37" s="18">
        <f>-[1]Summary!$H31</f>
        <v>-35833.149999999994</v>
      </c>
      <c r="K37" s="18">
        <v>0</v>
      </c>
      <c r="L37" s="19">
        <f t="shared" si="3"/>
        <v>-93540.479999999996</v>
      </c>
      <c r="M37" s="18"/>
      <c r="N37" s="18">
        <f t="shared" si="10"/>
        <v>409995.04</v>
      </c>
      <c r="O37" s="18">
        <f t="shared" si="11"/>
        <v>150000</v>
      </c>
      <c r="P37" s="18">
        <f t="shared" si="4"/>
        <v>-35833.149999999994</v>
      </c>
      <c r="Q37" s="19">
        <f t="shared" si="5"/>
        <v>524161.89</v>
      </c>
      <c r="R37" s="18"/>
    </row>
    <row r="38" spans="2:20" x14ac:dyDescent="0.25">
      <c r="D38" s="4"/>
      <c r="E38" s="4"/>
      <c r="F38" s="4">
        <v>0</v>
      </c>
      <c r="G38" s="13">
        <f t="shared" si="2"/>
        <v>0</v>
      </c>
      <c r="H38" s="4"/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0"/>
        <v>0</v>
      </c>
      <c r="O38" s="4">
        <f t="shared" si="11"/>
        <v>0</v>
      </c>
      <c r="P38" s="4">
        <f t="shared" si="4"/>
        <v>0</v>
      </c>
      <c r="Q38" s="13">
        <f t="shared" si="5"/>
        <v>0</v>
      </c>
      <c r="R38" s="4"/>
    </row>
    <row r="39" spans="2:20" s="9" customFormat="1" ht="15.75" thickBot="1" x14ac:dyDescent="0.3">
      <c r="B39" s="10" t="s">
        <v>58</v>
      </c>
      <c r="C39" s="10"/>
      <c r="D39" s="19">
        <f>SUM(D25:D38)</f>
        <v>5485353.0999999987</v>
      </c>
      <c r="E39" s="19">
        <f>SUM(E25:E38)</f>
        <v>816792.06</v>
      </c>
      <c r="F39" s="19">
        <f>SUM(F25:F38)</f>
        <v>0</v>
      </c>
      <c r="G39" s="19">
        <f>SUM(G25:G38)</f>
        <v>6302145.1599999992</v>
      </c>
      <c r="H39" s="19"/>
      <c r="I39" s="19">
        <f>SUM(I25:I38)</f>
        <v>-1680641.26</v>
      </c>
      <c r="J39" s="19">
        <f>SUM(J25:J38)</f>
        <v>-392741.85533333337</v>
      </c>
      <c r="K39" s="19">
        <f>SUM(K25:K38)</f>
        <v>0</v>
      </c>
      <c r="L39" s="19">
        <f>SUM(L25:L38)</f>
        <v>-2073383.1153333334</v>
      </c>
      <c r="M39" s="19"/>
      <c r="N39" s="19">
        <f>SUM(N25:N38)</f>
        <v>3804711.84</v>
      </c>
      <c r="O39" s="19">
        <f>SUM(O25:O38)</f>
        <v>816792.06</v>
      </c>
      <c r="P39" s="19">
        <f>SUM(P25:P38)</f>
        <v>-392741.85533333337</v>
      </c>
      <c r="Q39" s="19">
        <f>SUM(Q25:Q38)</f>
        <v>4228762.0446666665</v>
      </c>
      <c r="R39" s="19"/>
    </row>
    <row r="40" spans="2:20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2:20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2:20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2:20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  <c r="S43" s="28"/>
    </row>
    <row r="44" spans="2:20" x14ac:dyDescent="0.25">
      <c r="B44" s="24" t="s">
        <v>12</v>
      </c>
      <c r="C44" s="7" t="s">
        <v>13</v>
      </c>
      <c r="D44" s="8">
        <f>+'2013'!G44</f>
        <v>0</v>
      </c>
      <c r="E44" s="8">
        <v>0</v>
      </c>
      <c r="F44" s="8">
        <v>0</v>
      </c>
      <c r="G44" s="16">
        <f>SUM(D44:F44)</f>
        <v>0</v>
      </c>
      <c r="I44" s="8">
        <f>+'2013'!L44</f>
        <v>0</v>
      </c>
      <c r="J44" s="7"/>
      <c r="K44" s="7"/>
      <c r="L44" s="15"/>
      <c r="M44" s="4"/>
      <c r="N44" s="8">
        <f t="shared" ref="N44:N55" si="16">+D44+I44</f>
        <v>0</v>
      </c>
      <c r="O44" s="8">
        <f t="shared" ref="O44" si="17">+E44+F44</f>
        <v>0</v>
      </c>
      <c r="P44" s="8">
        <f t="shared" ref="P44" si="18">+J44+K44</f>
        <v>0</v>
      </c>
      <c r="Q44" s="16">
        <f t="shared" ref="Q44" si="19">SUM(N44:P44)</f>
        <v>0</v>
      </c>
      <c r="R44" s="4"/>
      <c r="S44" s="28"/>
    </row>
    <row r="45" spans="2:20" x14ac:dyDescent="0.25">
      <c r="B45" s="34" t="s">
        <v>14</v>
      </c>
      <c r="C45" s="7" t="s">
        <v>15</v>
      </c>
      <c r="D45" s="8">
        <f>+'2013'!G45</f>
        <v>-1333015.8299999998</v>
      </c>
      <c r="E45" s="8">
        <v>-3000</v>
      </c>
      <c r="F45" s="8">
        <v>0</v>
      </c>
      <c r="G45" s="16">
        <f>SUM(D45:F45)</f>
        <v>-1336015.8299999998</v>
      </c>
      <c r="I45" s="8">
        <f>+'2013'!L45</f>
        <v>410841.42037271289</v>
      </c>
      <c r="J45" s="8">
        <f>-[1]Summary!$H39</f>
        <v>24285.589999999997</v>
      </c>
      <c r="K45" s="8">
        <v>0</v>
      </c>
      <c r="L45" s="16">
        <f>SUM(I45:K45)</f>
        <v>435127.01037271286</v>
      </c>
      <c r="M45" s="4"/>
      <c r="N45" s="8">
        <f t="shared" si="16"/>
        <v>-922174.40962728695</v>
      </c>
      <c r="O45" s="8">
        <f t="shared" ref="O45:O55" si="20">+E45+F45</f>
        <v>-3000</v>
      </c>
      <c r="P45" s="8">
        <f t="shared" ref="P45:P55" si="21">+J45+K45</f>
        <v>24285.589999999997</v>
      </c>
      <c r="Q45" s="16">
        <f t="shared" ref="Q45:Q53" si="22">SUM(N45:P45)</f>
        <v>-900888.81962728698</v>
      </c>
      <c r="R45" s="4"/>
      <c r="S45" s="28"/>
      <c r="T45" s="22"/>
    </row>
    <row r="46" spans="2:20" x14ac:dyDescent="0.25">
      <c r="B46" s="34" t="s">
        <v>16</v>
      </c>
      <c r="C46" s="7" t="s">
        <v>17</v>
      </c>
      <c r="D46" s="8">
        <f>+'2013'!G46</f>
        <v>-1138800.3400000001</v>
      </c>
      <c r="E46" s="8">
        <v>-4000</v>
      </c>
      <c r="F46" s="8">
        <v>0</v>
      </c>
      <c r="G46" s="16">
        <f>SUM(D46:F46)</f>
        <v>-1142800.3400000001</v>
      </c>
      <c r="I46" s="8">
        <f>+'2013'!L46</f>
        <v>340947.03365983709</v>
      </c>
      <c r="J46" s="8">
        <f>-[1]Summary!$H40</f>
        <v>15105.560000000001</v>
      </c>
      <c r="K46" s="8">
        <v>0</v>
      </c>
      <c r="L46" s="16">
        <f>SUM(I46:K46)</f>
        <v>356052.59365983709</v>
      </c>
      <c r="M46" s="4"/>
      <c r="N46" s="8">
        <f t="shared" si="16"/>
        <v>-797853.30634016299</v>
      </c>
      <c r="O46" s="8">
        <f t="shared" si="20"/>
        <v>-4000</v>
      </c>
      <c r="P46" s="8">
        <f t="shared" si="21"/>
        <v>15105.560000000001</v>
      </c>
      <c r="Q46" s="16">
        <f t="shared" si="22"/>
        <v>-786747.74634016294</v>
      </c>
      <c r="R46" s="4"/>
      <c r="S46" s="28"/>
      <c r="T46" s="22"/>
    </row>
    <row r="47" spans="2:20" x14ac:dyDescent="0.25">
      <c r="B47" s="34" t="s">
        <v>18</v>
      </c>
      <c r="C47" s="7" t="s">
        <v>19</v>
      </c>
      <c r="D47" s="8">
        <f>+'2013'!G47</f>
        <v>-924766.24</v>
      </c>
      <c r="E47" s="8">
        <v>-22000</v>
      </c>
      <c r="F47" s="8">
        <v>0</v>
      </c>
      <c r="G47" s="16">
        <f t="shared" ref="G47:G55" si="23">SUM(D47:F47)</f>
        <v>-946766.24</v>
      </c>
      <c r="I47" s="8">
        <f>+'2013'!L47</f>
        <v>249690.34557171646</v>
      </c>
      <c r="J47" s="8">
        <f>-[1]Summary!$H41</f>
        <v>23667.82</v>
      </c>
      <c r="K47" s="8">
        <v>0</v>
      </c>
      <c r="L47" s="16">
        <f t="shared" ref="L47:L56" si="24">SUM(I47:K47)</f>
        <v>273358.16557171644</v>
      </c>
      <c r="M47" s="4"/>
      <c r="N47" s="8">
        <f t="shared" si="16"/>
        <v>-675075.89442828356</v>
      </c>
      <c r="O47" s="8">
        <f t="shared" si="20"/>
        <v>-22000</v>
      </c>
      <c r="P47" s="8">
        <f t="shared" si="21"/>
        <v>23667.82</v>
      </c>
      <c r="Q47" s="16">
        <f t="shared" si="22"/>
        <v>-673408.07442828361</v>
      </c>
      <c r="R47" s="4"/>
      <c r="S47" s="28"/>
      <c r="T47" s="22"/>
    </row>
    <row r="48" spans="2:20" x14ac:dyDescent="0.25">
      <c r="B48" s="34" t="s">
        <v>20</v>
      </c>
      <c r="C48" s="7" t="s">
        <v>21</v>
      </c>
      <c r="D48" s="8">
        <f>+'2013'!G48</f>
        <v>-1387037.5</v>
      </c>
      <c r="E48" s="8">
        <v>-34000</v>
      </c>
      <c r="F48" s="8">
        <v>0</v>
      </c>
      <c r="G48" s="16">
        <f t="shared" si="23"/>
        <v>-1421037.5</v>
      </c>
      <c r="I48" s="8">
        <f>+'2013'!L48</f>
        <v>425185.13715116697</v>
      </c>
      <c r="J48" s="8">
        <f>-[1]Summary!$H42</f>
        <v>30634.93</v>
      </c>
      <c r="K48" s="8">
        <v>0</v>
      </c>
      <c r="L48" s="16">
        <f t="shared" si="24"/>
        <v>455820.06715116696</v>
      </c>
      <c r="M48" s="4"/>
      <c r="N48" s="8">
        <f t="shared" si="16"/>
        <v>-961852.36284883297</v>
      </c>
      <c r="O48" s="8">
        <f t="shared" si="20"/>
        <v>-34000</v>
      </c>
      <c r="P48" s="8">
        <f t="shared" si="21"/>
        <v>30634.93</v>
      </c>
      <c r="Q48" s="16">
        <f t="shared" si="22"/>
        <v>-965217.43284883292</v>
      </c>
      <c r="R48" s="4"/>
      <c r="S48" s="28"/>
      <c r="T48" s="22"/>
    </row>
    <row r="49" spans="2:22" x14ac:dyDescent="0.25">
      <c r="B49" s="34" t="s">
        <v>22</v>
      </c>
      <c r="C49" s="7" t="s">
        <v>23</v>
      </c>
      <c r="D49" s="8">
        <f>+'2013'!G49</f>
        <v>-1410745.22</v>
      </c>
      <c r="E49" s="8">
        <v>-16000</v>
      </c>
      <c r="F49" s="8">
        <v>0</v>
      </c>
      <c r="G49" s="16">
        <f t="shared" si="23"/>
        <v>-1426745.22</v>
      </c>
      <c r="I49" s="8">
        <f>+'2013'!L49</f>
        <v>280629.39964880096</v>
      </c>
      <c r="J49" s="8">
        <f>-[1]Summary!$H43</f>
        <v>31641.460000000003</v>
      </c>
      <c r="K49" s="8">
        <v>0</v>
      </c>
      <c r="L49" s="16">
        <f t="shared" si="24"/>
        <v>312270.85964880098</v>
      </c>
      <c r="M49" s="4"/>
      <c r="N49" s="8">
        <f t="shared" si="16"/>
        <v>-1130115.820351199</v>
      </c>
      <c r="O49" s="8">
        <f t="shared" si="20"/>
        <v>-16000</v>
      </c>
      <c r="P49" s="8">
        <f t="shared" si="21"/>
        <v>31641.460000000003</v>
      </c>
      <c r="Q49" s="16">
        <f t="shared" si="22"/>
        <v>-1114474.3603511991</v>
      </c>
      <c r="R49" s="4"/>
      <c r="S49" s="28"/>
      <c r="T49" s="22"/>
    </row>
    <row r="50" spans="2:22" x14ac:dyDescent="0.25">
      <c r="B50" s="34" t="s">
        <v>24</v>
      </c>
      <c r="C50" s="7" t="s">
        <v>25</v>
      </c>
      <c r="D50" s="8">
        <f>+'2013'!G50</f>
        <v>-557893.87</v>
      </c>
      <c r="E50" s="8">
        <v>-2000</v>
      </c>
      <c r="F50" s="8">
        <v>0</v>
      </c>
      <c r="G50" s="16">
        <f t="shared" si="23"/>
        <v>-559893.87</v>
      </c>
      <c r="I50" s="8">
        <f>+'2013'!L50</f>
        <v>172629.86799237077</v>
      </c>
      <c r="J50" s="8">
        <f>-[1]Summary!$H44</f>
        <v>14021.41</v>
      </c>
      <c r="K50" s="8">
        <v>0</v>
      </c>
      <c r="L50" s="16">
        <f t="shared" si="24"/>
        <v>186651.27799237077</v>
      </c>
      <c r="M50" s="4"/>
      <c r="N50" s="8">
        <f t="shared" si="16"/>
        <v>-385264.00200762926</v>
      </c>
      <c r="O50" s="8">
        <f t="shared" si="20"/>
        <v>-2000</v>
      </c>
      <c r="P50" s="8">
        <f t="shared" si="21"/>
        <v>14021.41</v>
      </c>
      <c r="Q50" s="16">
        <f t="shared" si="22"/>
        <v>-373242.59200762928</v>
      </c>
      <c r="R50" s="4"/>
      <c r="S50" s="28"/>
      <c r="T50" s="22"/>
    </row>
    <row r="51" spans="2:22" x14ac:dyDescent="0.25">
      <c r="B51" s="34" t="s">
        <v>26</v>
      </c>
      <c r="C51" s="7" t="s">
        <v>27</v>
      </c>
      <c r="D51" s="8">
        <f>+'2013'!G51</f>
        <v>-613631.77999999991</v>
      </c>
      <c r="E51" s="8">
        <v>-3000</v>
      </c>
      <c r="F51" s="8">
        <v>0</v>
      </c>
      <c r="G51" s="16">
        <f t="shared" si="23"/>
        <v>-616631.77999999991</v>
      </c>
      <c r="I51" s="8">
        <f>+'2013'!L51</f>
        <v>190192.59581226695</v>
      </c>
      <c r="J51" s="8">
        <f>-[1]Summary!$H45</f>
        <v>13221.07</v>
      </c>
      <c r="K51" s="8">
        <v>0</v>
      </c>
      <c r="L51" s="16">
        <f t="shared" si="24"/>
        <v>203413.66581226696</v>
      </c>
      <c r="M51" s="4"/>
      <c r="N51" s="8">
        <f t="shared" si="16"/>
        <v>-423439.18418773299</v>
      </c>
      <c r="O51" s="8">
        <f t="shared" si="20"/>
        <v>-3000</v>
      </c>
      <c r="P51" s="8">
        <f t="shared" si="21"/>
        <v>13221.07</v>
      </c>
      <c r="Q51" s="16">
        <f t="shared" si="22"/>
        <v>-413218.11418773298</v>
      </c>
      <c r="R51" s="4"/>
      <c r="S51" s="28"/>
      <c r="T51" s="22"/>
    </row>
    <row r="52" spans="2:22" x14ac:dyDescent="0.25">
      <c r="B52" s="34" t="s">
        <v>28</v>
      </c>
      <c r="C52" s="7" t="s">
        <v>29</v>
      </c>
      <c r="D52" s="8">
        <f>+'2013'!G52</f>
        <v>-420223.44999999995</v>
      </c>
      <c r="E52" s="8">
        <v>-7000</v>
      </c>
      <c r="F52" s="8">
        <v>0</v>
      </c>
      <c r="G52" s="16">
        <f t="shared" si="23"/>
        <v>-427223.44999999995</v>
      </c>
      <c r="I52" s="8">
        <f>+'2013'!L52</f>
        <v>127718.60820699279</v>
      </c>
      <c r="J52" s="8">
        <f>-[1]Summary!$H46</f>
        <v>8720.9599999999991</v>
      </c>
      <c r="K52" s="8">
        <v>0</v>
      </c>
      <c r="L52" s="16">
        <f t="shared" si="24"/>
        <v>136439.56820699279</v>
      </c>
      <c r="M52" s="3"/>
      <c r="N52" s="8">
        <f t="shared" si="16"/>
        <v>-292504.84179300716</v>
      </c>
      <c r="O52" s="8">
        <f t="shared" si="20"/>
        <v>-7000</v>
      </c>
      <c r="P52" s="8">
        <f t="shared" si="21"/>
        <v>8720.9599999999991</v>
      </c>
      <c r="Q52" s="16">
        <f t="shared" si="22"/>
        <v>-290783.88179300714</v>
      </c>
      <c r="R52" s="3"/>
      <c r="S52" s="28"/>
      <c r="T52" s="22"/>
    </row>
    <row r="53" spans="2:22" x14ac:dyDescent="0.25">
      <c r="B53" s="34" t="s">
        <v>30</v>
      </c>
      <c r="C53" s="7" t="s">
        <v>31</v>
      </c>
      <c r="D53" s="8">
        <f>+'2013'!G53</f>
        <v>-295792.75</v>
      </c>
      <c r="E53" s="8">
        <v>0</v>
      </c>
      <c r="F53" s="8">
        <v>0</v>
      </c>
      <c r="G53" s="16">
        <f t="shared" si="23"/>
        <v>-295792.75</v>
      </c>
      <c r="I53" s="8">
        <f>+'2013'!L53</f>
        <v>113897.86158413537</v>
      </c>
      <c r="J53" s="8">
        <f>-[1]Summary!$H47</f>
        <v>16269.78</v>
      </c>
      <c r="K53" s="8">
        <v>0</v>
      </c>
      <c r="L53" s="16">
        <f t="shared" si="24"/>
        <v>130167.64158413537</v>
      </c>
      <c r="M53" s="3"/>
      <c r="N53" s="8">
        <f t="shared" si="16"/>
        <v>-181894.88841586461</v>
      </c>
      <c r="O53" s="8">
        <f t="shared" si="20"/>
        <v>0</v>
      </c>
      <c r="P53" s="8">
        <f t="shared" si="21"/>
        <v>16269.78</v>
      </c>
      <c r="Q53" s="16">
        <f t="shared" si="22"/>
        <v>-165625.10841586461</v>
      </c>
      <c r="R53" s="3"/>
      <c r="S53" s="28"/>
      <c r="T53" s="22"/>
    </row>
    <row r="54" spans="2:22" x14ac:dyDescent="0.25">
      <c r="B54" s="35">
        <v>1860.15</v>
      </c>
      <c r="C54" s="7" t="s">
        <v>55</v>
      </c>
      <c r="D54" s="8">
        <f>+'2013'!G54</f>
        <v>-2842.06</v>
      </c>
      <c r="E54" s="8">
        <v>-9000</v>
      </c>
      <c r="F54" s="8">
        <v>0</v>
      </c>
      <c r="G54" s="16">
        <f t="shared" si="23"/>
        <v>-11842.06</v>
      </c>
      <c r="I54" s="8">
        <f>+'2013'!L54</f>
        <v>189.47</v>
      </c>
      <c r="J54" s="8">
        <f>-[1]Summary!$H48</f>
        <v>389.47</v>
      </c>
      <c r="K54" s="8">
        <v>0</v>
      </c>
      <c r="L54" s="16">
        <f t="shared" si="24"/>
        <v>578.94000000000005</v>
      </c>
      <c r="M54" s="3"/>
      <c r="N54" s="8">
        <f t="shared" si="16"/>
        <v>-2652.59</v>
      </c>
      <c r="O54" s="8">
        <f t="shared" si="20"/>
        <v>-9000</v>
      </c>
      <c r="P54" s="8">
        <f t="shared" si="21"/>
        <v>389.47</v>
      </c>
      <c r="Q54" s="16">
        <f t="shared" ref="Q54:Q55" si="25">SUM(N54:P54)</f>
        <v>-11263.12</v>
      </c>
      <c r="R54" s="3"/>
      <c r="S54" s="28"/>
      <c r="T54" s="22"/>
      <c r="U54" s="3"/>
      <c r="V54" s="14"/>
    </row>
    <row r="55" spans="2:22" x14ac:dyDescent="0.25">
      <c r="B55" s="34" t="s">
        <v>32</v>
      </c>
      <c r="C55" s="7" t="s">
        <v>33</v>
      </c>
      <c r="D55" s="8">
        <f>+'2013'!G55</f>
        <v>-12919.73</v>
      </c>
      <c r="E55" s="8">
        <v>0</v>
      </c>
      <c r="F55" s="8">
        <v>0</v>
      </c>
      <c r="G55" s="16">
        <f t="shared" si="23"/>
        <v>-12919.73</v>
      </c>
      <c r="I55" s="8">
        <f>+'2013'!L55</f>
        <v>4490.6000000000004</v>
      </c>
      <c r="J55" s="8">
        <f>-[1]Summary!$H49</f>
        <v>2794.4</v>
      </c>
      <c r="K55" s="8">
        <v>0</v>
      </c>
      <c r="L55" s="16">
        <f t="shared" si="24"/>
        <v>7285</v>
      </c>
      <c r="M55" s="3"/>
      <c r="N55" s="8">
        <f t="shared" si="16"/>
        <v>-8429.1299999999992</v>
      </c>
      <c r="O55" s="8">
        <f t="shared" si="20"/>
        <v>0</v>
      </c>
      <c r="P55" s="8">
        <f t="shared" si="21"/>
        <v>2794.4</v>
      </c>
      <c r="Q55" s="16">
        <f t="shared" si="25"/>
        <v>-5634.73</v>
      </c>
      <c r="R55" s="3"/>
      <c r="S55" s="38"/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f>+'2013'!G56</f>
        <v>0</v>
      </c>
      <c r="E56" s="20">
        <v>0</v>
      </c>
      <c r="F56" s="20">
        <v>0</v>
      </c>
      <c r="G56" s="21">
        <f t="shared" ref="G56" si="26">SUM(D56:F56)</f>
        <v>0</v>
      </c>
      <c r="I56" s="20">
        <f>+'2013'!L56</f>
        <v>0</v>
      </c>
      <c r="J56" s="20">
        <v>0</v>
      </c>
      <c r="K56" s="20">
        <v>0</v>
      </c>
      <c r="L56" s="21">
        <f t="shared" si="24"/>
        <v>0</v>
      </c>
      <c r="M56" s="3"/>
      <c r="N56" s="20"/>
      <c r="O56" s="20">
        <v>0</v>
      </c>
      <c r="P56" s="20">
        <v>0</v>
      </c>
      <c r="Q56" s="21">
        <f t="shared" ref="Q56" si="27">SUM(N56:P56)</f>
        <v>0</v>
      </c>
      <c r="R56" s="3"/>
      <c r="S56" s="38"/>
      <c r="T56" s="3"/>
      <c r="U56" s="3"/>
      <c r="V56" s="14"/>
    </row>
    <row r="57" spans="2:22" x14ac:dyDescent="0.25">
      <c r="M57" s="3"/>
      <c r="R57" s="3"/>
      <c r="S57" s="38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-8097668.7700000005</v>
      </c>
      <c r="E58" s="21">
        <f>SUM(E44:E57)</f>
        <v>-100000</v>
      </c>
      <c r="F58" s="21">
        <f>SUM(F44:F57)</f>
        <v>0</v>
      </c>
      <c r="G58" s="21">
        <f>SUM(G44:G57)</f>
        <v>-8197668.7700000005</v>
      </c>
      <c r="H58" s="9"/>
      <c r="I58" s="21">
        <f>SUM(I44:I57)</f>
        <v>2316412.3400000008</v>
      </c>
      <c r="J58" s="21">
        <f>SUM(J44:J57)</f>
        <v>180752.44999999998</v>
      </c>
      <c r="K58" s="21">
        <f>SUM(K44:K57)</f>
        <v>0</v>
      </c>
      <c r="L58" s="21">
        <f>SUM(L44:L57)</f>
        <v>2497164.7900000005</v>
      </c>
      <c r="N58" s="21">
        <f>SUM(N44:N57)</f>
        <v>-5781256.4299999988</v>
      </c>
      <c r="O58" s="21">
        <f>SUM(O44:O57)</f>
        <v>-100000</v>
      </c>
      <c r="P58" s="21">
        <f>SUM(P44:P57)</f>
        <v>180752.44999999998</v>
      </c>
      <c r="Q58" s="21">
        <f>SUM(Q44:Q57)</f>
        <v>-5700503.9800000004</v>
      </c>
    </row>
    <row r="60" spans="2:22" x14ac:dyDescent="0.25">
      <c r="G60" s="4"/>
    </row>
    <row r="61" spans="2:22" x14ac:dyDescent="0.25">
      <c r="B61" t="s">
        <v>10</v>
      </c>
      <c r="D61" s="22">
        <f>+D22+D39+D58</f>
        <v>49565395.967999995</v>
      </c>
      <c r="E61" s="22">
        <f>+E22+E39+E58</f>
        <v>2516792.06</v>
      </c>
      <c r="F61" s="22">
        <f>+F22+F39+F58</f>
        <v>0</v>
      </c>
      <c r="G61" s="23">
        <f>+D61+E61+F61</f>
        <v>52082188.027999997</v>
      </c>
      <c r="I61" s="4">
        <f>+I22+I39+I58</f>
        <v>-24686618.810000002</v>
      </c>
      <c r="J61" s="4">
        <f>+J22+J39+J58</f>
        <v>-1226862.2853333335</v>
      </c>
      <c r="K61" s="4">
        <f>+K22+K39+K58</f>
        <v>0</v>
      </c>
      <c r="L61" s="13">
        <f>+I61+J61+K61</f>
        <v>-25913481.095333338</v>
      </c>
      <c r="N61" s="4">
        <f>+N22+N39+N58</f>
        <v>24878777.157999996</v>
      </c>
      <c r="O61" s="4">
        <f>+O22+O39+O58</f>
        <v>2516792.06</v>
      </c>
      <c r="P61" s="4">
        <f>+P22+P39+P58</f>
        <v>-1226862.2853333335</v>
      </c>
      <c r="Q61" s="13">
        <f>+N61+O61+P61</f>
        <v>26168706.932666659</v>
      </c>
    </row>
    <row r="62" spans="2:22" ht="15.75" thickBot="1" x14ac:dyDescent="0.3">
      <c r="B62" s="2" t="s">
        <v>61</v>
      </c>
      <c r="C62" s="2"/>
      <c r="D62" s="18">
        <f>+'2013'!G62</f>
        <v>88742.06</v>
      </c>
      <c r="E62" s="18">
        <f>-D62</f>
        <v>-88742.06</v>
      </c>
      <c r="F62" s="18">
        <v>0</v>
      </c>
      <c r="G62" s="19">
        <f>+D62+E62+F62</f>
        <v>0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88742.06</v>
      </c>
      <c r="O62" s="18">
        <f>+E62+F62</f>
        <v>-88742.06</v>
      </c>
      <c r="P62" s="18">
        <f>+J62+K62</f>
        <v>0</v>
      </c>
      <c r="Q62" s="18">
        <f>+N62+O62+P62</f>
        <v>0</v>
      </c>
    </row>
    <row r="63" spans="2:22" x14ac:dyDescent="0.25">
      <c r="L63"/>
    </row>
    <row r="64" spans="2:22" ht="15.75" thickBot="1" x14ac:dyDescent="0.3">
      <c r="B64" s="10" t="s">
        <v>64</v>
      </c>
      <c r="C64" s="2"/>
      <c r="D64" s="19">
        <f>+D61+D62</f>
        <v>49654138.027999997</v>
      </c>
      <c r="E64" s="19">
        <f>+E61+E62</f>
        <v>2428050</v>
      </c>
      <c r="F64" s="19">
        <f>+F61+F62</f>
        <v>0</v>
      </c>
      <c r="G64" s="19">
        <f>+G61+G62</f>
        <v>52082188.027999997</v>
      </c>
      <c r="I64" s="19">
        <f>+I61+I62</f>
        <v>-24686618.810000002</v>
      </c>
      <c r="J64" s="19">
        <f>+J61+J62</f>
        <v>-1226862.2853333335</v>
      </c>
      <c r="K64" s="19">
        <f>+K61+K62</f>
        <v>0</v>
      </c>
      <c r="L64" s="19">
        <f>+L61+L62</f>
        <v>-25913481.095333338</v>
      </c>
      <c r="N64" s="19">
        <f>+N61+N62</f>
        <v>24967519.217999995</v>
      </c>
      <c r="O64" s="19">
        <f>+O61+O62</f>
        <v>2428050</v>
      </c>
      <c r="P64" s="19">
        <f>+P61+P62</f>
        <v>-1226862.2853333335</v>
      </c>
      <c r="Q64" s="19">
        <f>+Q61+Q62</f>
        <v>26168706.932666659</v>
      </c>
    </row>
    <row r="65" spans="5:17" x14ac:dyDescent="0.25">
      <c r="G65"/>
      <c r="L65"/>
      <c r="Q65"/>
    </row>
    <row r="66" spans="5:17" x14ac:dyDescent="0.25">
      <c r="G66"/>
      <c r="L66"/>
      <c r="Q66"/>
    </row>
    <row r="67" spans="5:17" x14ac:dyDescent="0.25">
      <c r="G67"/>
      <c r="L67"/>
      <c r="Q67"/>
    </row>
    <row r="68" spans="5:17" x14ac:dyDescent="0.25">
      <c r="G68"/>
      <c r="L68"/>
      <c r="Q68"/>
    </row>
    <row r="69" spans="5:17" x14ac:dyDescent="0.25">
      <c r="G69"/>
      <c r="L69"/>
      <c r="Q69"/>
    </row>
    <row r="70" spans="5:17" x14ac:dyDescent="0.25">
      <c r="G70"/>
      <c r="L70"/>
      <c r="Q70"/>
    </row>
    <row r="71" spans="5:17" x14ac:dyDescent="0.25">
      <c r="G71"/>
      <c r="L71"/>
      <c r="Q71"/>
    </row>
    <row r="72" spans="5:17" x14ac:dyDescent="0.25">
      <c r="G72"/>
      <c r="L72"/>
      <c r="Q72"/>
    </row>
    <row r="73" spans="5:17" x14ac:dyDescent="0.25">
      <c r="E73" s="22"/>
    </row>
    <row r="75" spans="5:17" x14ac:dyDescent="0.25">
      <c r="E75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8:C17 B23:Q24 B21:K22 B38:Q43 B35:C35 E8:H8 B18:C19 F19:H19 B20:C20 E20:H20 O8:Q17 B31:C31 B25:C25 F25:H25 B26:C26 F26:H26 B27:C27 F27:H27 B28 F28:H28 B29:C29 F29:H29 B30:C30 F30:H30 F31:H31 B32:C32 F32:H32 B33:C33 F33:H33 B34:C34 F34:H34 F35:H35 B36:C36 E36:H36 B37:C37 F37:H37 K25:Q25 K26:Q26 K27:Q27 K28:Q28 K29:Q29 K30:Q30 K31:Q31 K32:P32 K33:P33 K34:P34 K35:P35 K36:Q36 K37:Q37 K17:M17 K19 K20 B57:Q60 B44:C44 E44:H44 B45:C45 F45:H45 B46:C46 F46:H46 B47:C47 F47:H47 B48:C48 F48:H48 B49:C49 F49:H49 B50:C50 F50:H50 B51:C51 F51:H51 B52:C52 F52:H52 B53:C53 F53:H53 B54:C54 F54:H54 B55:C55 F55:H55 B56:C56 F56:H56 J44:M44 K45:Q45 K46:Q46 K47:Q47 K48:Q48 K49:Q49 K50:Q50 K51:Q51 K52:Q52 K53:Q53 K54:Q54 K55:Q55 J56:Q56 F17:H17 F9:H9 F10:H10 F11:H11 F12:H12 F13:H13 F14:H14 F15:H15 K8:M8 K9:M9 K10:M10 K11:M11 K12:M12 K13:M13 K14:M14 K15:M15 K16:M16 K18 B63:Q68 B62:C62 F62:Q62 F16:H16 F18:H18 B61:D61 F61:Q61" numberStoredAsText="1"/>
    <ignoredError sqref="L21:Q22 Q32:Q35 L18:M20 O18:Q20" numberStoredAsText="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5"/>
  <sheetViews>
    <sheetView showGridLines="0" topLeftCell="C49" workbookViewId="0">
      <selection activeCell="T53" sqref="T53"/>
    </sheetView>
  </sheetViews>
  <sheetFormatPr defaultRowHeight="15" x14ac:dyDescent="0.25"/>
  <cols>
    <col min="1" max="1" width="12" customWidth="1"/>
    <col min="2" max="2" width="9.5703125" bestFit="1" customWidth="1"/>
    <col min="3" max="3" width="35.42578125" bestFit="1" customWidth="1"/>
    <col min="4" max="5" width="14.28515625" bestFit="1" customWidth="1"/>
    <col min="6" max="6" width="14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1" max="11" width="13.28515625" bestFit="1" customWidth="1"/>
    <col min="12" max="12" width="15" style="9" bestFit="1" customWidth="1"/>
    <col min="13" max="13" width="2.7109375" customWidth="1"/>
    <col min="14" max="14" width="14.28515625" bestFit="1" customWidth="1"/>
    <col min="15" max="16" width="14" bestFit="1" customWidth="1"/>
    <col min="17" max="17" width="14.28515625" style="9" bestFit="1" customWidth="1"/>
    <col min="18" max="18" width="26.7109375" bestFit="1" customWidth="1"/>
    <col min="19" max="19" width="11.5703125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B2" s="9" t="s">
        <v>79</v>
      </c>
      <c r="C2" s="9"/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f>+'2014'!G7</f>
        <v>7637.8779999999997</v>
      </c>
      <c r="E7" s="4">
        <v>0</v>
      </c>
      <c r="F7" s="4">
        <v>0</v>
      </c>
      <c r="G7" s="13">
        <f>SUM(D7:F7)</f>
        <v>7637.8779999999997</v>
      </c>
      <c r="H7" s="4"/>
      <c r="I7" s="4">
        <f>+'2014'!L7</f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18" si="0">+D7+I7</f>
        <v>7637.8779999999997</v>
      </c>
      <c r="O7" s="4">
        <f t="shared" ref="O7:O20" si="1">+E7+F7</f>
        <v>0</v>
      </c>
      <c r="P7" s="4">
        <f>+J7+K7</f>
        <v>0</v>
      </c>
      <c r="Q7" s="13">
        <f>SUM(N7:P7)</f>
        <v>7637.8779999999997</v>
      </c>
      <c r="R7" s="4"/>
    </row>
    <row r="8" spans="2:22" x14ac:dyDescent="0.25">
      <c r="B8" s="6" t="s">
        <v>12</v>
      </c>
      <c r="C8" t="s">
        <v>13</v>
      </c>
      <c r="D8" s="4">
        <f>+'2014'!G8</f>
        <v>850124.96</v>
      </c>
      <c r="E8" s="4">
        <v>0</v>
      </c>
      <c r="F8" s="4">
        <v>0</v>
      </c>
      <c r="G8" s="13">
        <f>SUM(D8:F8)</f>
        <v>850124.96</v>
      </c>
      <c r="H8" s="4"/>
      <c r="I8" s="4">
        <f>+'2014'!L8</f>
        <v>-833783.32000000007</v>
      </c>
      <c r="J8" s="4">
        <f>-[1]Summary!$I7</f>
        <v>-835.9</v>
      </c>
      <c r="K8" s="4">
        <v>0</v>
      </c>
      <c r="L8" s="13">
        <f>SUM(I8:K8)</f>
        <v>-834619.22000000009</v>
      </c>
      <c r="M8" s="4"/>
      <c r="N8" s="4">
        <f t="shared" si="0"/>
        <v>16341.639999999898</v>
      </c>
      <c r="O8" s="4">
        <f t="shared" si="1"/>
        <v>0</v>
      </c>
      <c r="P8" s="4">
        <f>+J8+K8</f>
        <v>-835.9</v>
      </c>
      <c r="Q8" s="13">
        <f>SUM(N8:P8)</f>
        <v>15505.739999999898</v>
      </c>
      <c r="R8" s="4"/>
    </row>
    <row r="9" spans="2:22" x14ac:dyDescent="0.25">
      <c r="B9" t="s">
        <v>14</v>
      </c>
      <c r="C9" t="s">
        <v>15</v>
      </c>
      <c r="D9" s="4">
        <f>+'2014'!G9</f>
        <v>9271290.959999999</v>
      </c>
      <c r="E9" s="4">
        <v>326655</v>
      </c>
      <c r="F9" s="4">
        <v>0</v>
      </c>
      <c r="G9" s="13">
        <f t="shared" ref="G9:G38" si="2">SUM(D9:F9)</f>
        <v>9597945.959999999</v>
      </c>
      <c r="H9" s="4"/>
      <c r="I9" s="4">
        <f>+'2014'!L9</f>
        <v>-4258901.33</v>
      </c>
      <c r="J9" s="4">
        <f>-[1]Summary!$I8</f>
        <v>-138178.85999999996</v>
      </c>
      <c r="K9" s="4">
        <v>0</v>
      </c>
      <c r="L9" s="13">
        <f t="shared" ref="L9:L38" si="3">SUM(I9:K9)</f>
        <v>-4397080.1900000004</v>
      </c>
      <c r="M9" s="4"/>
      <c r="N9" s="4">
        <f t="shared" si="0"/>
        <v>5012389.629999999</v>
      </c>
      <c r="O9" s="4">
        <f t="shared" si="1"/>
        <v>326655</v>
      </c>
      <c r="P9" s="4">
        <f t="shared" ref="P9:P38" si="4">+J9+K9</f>
        <v>-138178.85999999996</v>
      </c>
      <c r="Q9" s="13">
        <f t="shared" ref="Q9:Q38" si="5">SUM(N9:P9)</f>
        <v>5200865.7699999986</v>
      </c>
      <c r="R9" s="4"/>
    </row>
    <row r="10" spans="2:22" x14ac:dyDescent="0.25">
      <c r="B10" t="s">
        <v>16</v>
      </c>
      <c r="C10" t="s">
        <v>17</v>
      </c>
      <c r="D10" s="4">
        <f>+'2014'!G10</f>
        <v>8146956.2599999998</v>
      </c>
      <c r="E10" s="4">
        <v>268280</v>
      </c>
      <c r="F10" s="4">
        <v>0</v>
      </c>
      <c r="G10" s="13">
        <f t="shared" si="2"/>
        <v>8415236.2599999998</v>
      </c>
      <c r="H10" s="4"/>
      <c r="I10" s="4">
        <f>+'2014'!L10</f>
        <v>-4153075.14</v>
      </c>
      <c r="J10" s="4">
        <f>-[1]Summary!$I9</f>
        <v>-79686.024999999994</v>
      </c>
      <c r="K10" s="4">
        <v>0</v>
      </c>
      <c r="L10" s="13">
        <f t="shared" si="3"/>
        <v>-4232761.165</v>
      </c>
      <c r="M10" s="4"/>
      <c r="N10" s="4">
        <f t="shared" si="0"/>
        <v>3993881.1199999996</v>
      </c>
      <c r="O10" s="4">
        <f t="shared" si="1"/>
        <v>268280</v>
      </c>
      <c r="P10" s="4">
        <f t="shared" si="4"/>
        <v>-79686.024999999994</v>
      </c>
      <c r="Q10" s="13">
        <f t="shared" si="5"/>
        <v>4182475.0949999993</v>
      </c>
      <c r="R10" s="4"/>
    </row>
    <row r="11" spans="2:22" x14ac:dyDescent="0.25">
      <c r="B11" t="s">
        <v>18</v>
      </c>
      <c r="C11" t="s">
        <v>19</v>
      </c>
      <c r="D11" s="4">
        <f>+'2014'!G11</f>
        <v>5020039.6899999995</v>
      </c>
      <c r="E11" s="4">
        <v>329925</v>
      </c>
      <c r="F11" s="4">
        <v>0</v>
      </c>
      <c r="G11" s="13">
        <f t="shared" si="2"/>
        <v>5349964.6899999995</v>
      </c>
      <c r="H11" s="4"/>
      <c r="I11" s="4">
        <f>+'2014'!L11</f>
        <v>-2180747.17</v>
      </c>
      <c r="J11" s="4">
        <f>-[1]Summary!$I10</f>
        <v>-103634.75499999999</v>
      </c>
      <c r="K11" s="4">
        <v>0</v>
      </c>
      <c r="L11" s="13">
        <f t="shared" si="3"/>
        <v>-2284381.9249999998</v>
      </c>
      <c r="M11" s="4"/>
      <c r="N11" s="4">
        <f t="shared" si="0"/>
        <v>2839292.5199999996</v>
      </c>
      <c r="O11" s="4">
        <f t="shared" si="1"/>
        <v>329925</v>
      </c>
      <c r="P11" s="4">
        <f t="shared" si="4"/>
        <v>-103634.75499999999</v>
      </c>
      <c r="Q11" s="13">
        <f t="shared" si="5"/>
        <v>3065582.7649999997</v>
      </c>
      <c r="R11" s="4"/>
    </row>
    <row r="12" spans="2:22" x14ac:dyDescent="0.25">
      <c r="B12" t="s">
        <v>20</v>
      </c>
      <c r="C12" t="s">
        <v>21</v>
      </c>
      <c r="D12" s="4">
        <f>+'2014'!G12</f>
        <v>9183266.2300000004</v>
      </c>
      <c r="E12" s="4">
        <v>285377</v>
      </c>
      <c r="F12" s="4">
        <v>0</v>
      </c>
      <c r="G12" s="13">
        <f t="shared" si="2"/>
        <v>9468643.2300000004</v>
      </c>
      <c r="H12" s="4"/>
      <c r="I12" s="4">
        <f>+'2014'!L12</f>
        <v>-4198047.3299999991</v>
      </c>
      <c r="J12" s="4">
        <f>-[1]Summary!$I11</f>
        <v>-160565.29500000001</v>
      </c>
      <c r="K12" s="4">
        <v>0</v>
      </c>
      <c r="L12" s="13">
        <f t="shared" si="3"/>
        <v>-4358612.6249999991</v>
      </c>
      <c r="M12" s="4"/>
      <c r="N12" s="4">
        <f t="shared" si="0"/>
        <v>4985218.9000000013</v>
      </c>
      <c r="O12" s="4">
        <f t="shared" si="1"/>
        <v>285377</v>
      </c>
      <c r="P12" s="4">
        <f t="shared" si="4"/>
        <v>-160565.29500000001</v>
      </c>
      <c r="Q12" s="13">
        <f t="shared" si="5"/>
        <v>5110030.6050000014</v>
      </c>
      <c r="R12" s="4"/>
    </row>
    <row r="13" spans="2:22" x14ac:dyDescent="0.25">
      <c r="B13" t="s">
        <v>22</v>
      </c>
      <c r="C13" t="s">
        <v>23</v>
      </c>
      <c r="D13" s="4">
        <f>+'2014'!G13</f>
        <v>2403027.46</v>
      </c>
      <c r="E13" s="4">
        <v>270632</v>
      </c>
      <c r="F13" s="4">
        <v>0</v>
      </c>
      <c r="G13" s="13">
        <f t="shared" si="2"/>
        <v>2673659.46</v>
      </c>
      <c r="H13" s="4"/>
      <c r="I13" s="4">
        <f>+'2014'!L13</f>
        <v>-427215.7</v>
      </c>
      <c r="J13" s="4">
        <f>-[1]Summary!$I12</f>
        <v>-60491.360000000001</v>
      </c>
      <c r="K13" s="4">
        <v>0</v>
      </c>
      <c r="L13" s="13">
        <f t="shared" si="3"/>
        <v>-487707.06</v>
      </c>
      <c r="M13" s="4"/>
      <c r="N13" s="4">
        <f t="shared" si="0"/>
        <v>1975811.76</v>
      </c>
      <c r="O13" s="4">
        <f t="shared" si="1"/>
        <v>270632</v>
      </c>
      <c r="P13" s="4">
        <f t="shared" si="4"/>
        <v>-60491.360000000001</v>
      </c>
      <c r="Q13" s="13">
        <f t="shared" si="5"/>
        <v>2185952.4</v>
      </c>
      <c r="R13" s="4"/>
    </row>
    <row r="14" spans="2:22" x14ac:dyDescent="0.25">
      <c r="B14" t="s">
        <v>24</v>
      </c>
      <c r="C14" t="s">
        <v>25</v>
      </c>
      <c r="D14" s="4">
        <f>+'2014'!G14</f>
        <v>7833802.9100000001</v>
      </c>
      <c r="E14" s="4">
        <v>115271</v>
      </c>
      <c r="F14" s="4">
        <v>0</v>
      </c>
      <c r="G14" s="27">
        <f t="shared" si="2"/>
        <v>7949073.9100000001</v>
      </c>
      <c r="H14" s="4"/>
      <c r="I14" s="4">
        <f>+'2014'!L14</f>
        <v>-4940824.71</v>
      </c>
      <c r="J14" s="4">
        <f>-[1]Summary!$I13</f>
        <v>-112063.55</v>
      </c>
      <c r="K14" s="4">
        <v>0</v>
      </c>
      <c r="L14" s="13">
        <f t="shared" si="3"/>
        <v>-5052888.26</v>
      </c>
      <c r="M14" s="4"/>
      <c r="N14" s="4">
        <f t="shared" si="0"/>
        <v>2892978.2</v>
      </c>
      <c r="O14" s="4">
        <f t="shared" si="1"/>
        <v>115271</v>
      </c>
      <c r="P14" s="4">
        <f t="shared" si="4"/>
        <v>-112063.55</v>
      </c>
      <c r="Q14" s="13">
        <f t="shared" si="5"/>
        <v>2896185.6500000004</v>
      </c>
      <c r="R14" s="4"/>
    </row>
    <row r="15" spans="2:22" x14ac:dyDescent="0.25">
      <c r="B15" t="s">
        <v>26</v>
      </c>
      <c r="C15" t="s">
        <v>27</v>
      </c>
      <c r="D15" s="4">
        <f>+'2014'!G15</f>
        <v>4387185.87</v>
      </c>
      <c r="E15" s="4">
        <v>111533</v>
      </c>
      <c r="F15" s="4">
        <v>0</v>
      </c>
      <c r="G15" s="13">
        <f t="shared" si="2"/>
        <v>4498718.87</v>
      </c>
      <c r="H15" s="4"/>
      <c r="I15" s="4">
        <f>+'2014'!L15</f>
        <v>-2337375.6100000003</v>
      </c>
      <c r="J15" s="4">
        <f>-[1]Summary!$I14</f>
        <v>-66900.904999999999</v>
      </c>
      <c r="K15" s="4">
        <v>0</v>
      </c>
      <c r="L15" s="13">
        <f t="shared" si="3"/>
        <v>-2404276.5150000001</v>
      </c>
      <c r="M15" s="4"/>
      <c r="N15" s="4">
        <f t="shared" si="0"/>
        <v>2049810.2599999998</v>
      </c>
      <c r="O15" s="4">
        <f t="shared" si="1"/>
        <v>111533</v>
      </c>
      <c r="P15" s="4">
        <f t="shared" si="4"/>
        <v>-66900.904999999999</v>
      </c>
      <c r="Q15" s="13">
        <f t="shared" si="5"/>
        <v>2094442.3549999997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+'2014'!G16</f>
        <v>1267679.95</v>
      </c>
      <c r="E16" s="4">
        <v>29353</v>
      </c>
      <c r="F16" s="4">
        <v>0</v>
      </c>
      <c r="G16" s="27">
        <f t="shared" si="2"/>
        <v>1297032.95</v>
      </c>
      <c r="H16" s="4"/>
      <c r="I16" s="4">
        <f>+'2014'!L16</f>
        <v>-272918.34000000003</v>
      </c>
      <c r="J16" s="4">
        <f>-[1]Summary!$I15</f>
        <v>-30072.075000000001</v>
      </c>
      <c r="K16" s="4">
        <v>0</v>
      </c>
      <c r="L16" s="13">
        <f t="shared" si="3"/>
        <v>-302990.41500000004</v>
      </c>
      <c r="M16" s="4"/>
      <c r="N16" s="4">
        <f t="shared" si="0"/>
        <v>994761.60999999987</v>
      </c>
      <c r="O16" s="4">
        <f t="shared" si="1"/>
        <v>29353</v>
      </c>
      <c r="P16" s="4">
        <f t="shared" si="4"/>
        <v>-30072.075000000001</v>
      </c>
      <c r="Q16" s="13">
        <f t="shared" si="5"/>
        <v>994042.53499999992</v>
      </c>
      <c r="R16" s="4"/>
      <c r="U16" s="26"/>
    </row>
    <row r="17" spans="1:22" x14ac:dyDescent="0.25">
      <c r="B17" t="s">
        <v>30</v>
      </c>
      <c r="C17" t="s">
        <v>31</v>
      </c>
      <c r="D17" s="4">
        <f>+'2014'!G17</f>
        <v>2278507.2400000002</v>
      </c>
      <c r="E17" s="4">
        <v>0</v>
      </c>
      <c r="F17" s="4">
        <f>-D17</f>
        <v>-2278507.2400000002</v>
      </c>
      <c r="G17" s="13">
        <f>SUM(D17:F17)</f>
        <v>0</v>
      </c>
      <c r="H17" s="4"/>
      <c r="I17" s="4">
        <f>+'2014'!L17</f>
        <v>-1690377.67</v>
      </c>
      <c r="J17" s="4">
        <f>-[1]Summary!$I16</f>
        <v>0</v>
      </c>
      <c r="K17" s="4">
        <f>-I17</f>
        <v>1690377.67</v>
      </c>
      <c r="L17" s="13">
        <f t="shared" si="3"/>
        <v>0</v>
      </c>
      <c r="M17" s="4"/>
      <c r="N17" s="4">
        <f t="shared" si="0"/>
        <v>588129.5700000003</v>
      </c>
      <c r="O17" s="4">
        <f t="shared" si="1"/>
        <v>-2278507.2400000002</v>
      </c>
      <c r="P17" s="4">
        <f t="shared" si="4"/>
        <v>1690377.67</v>
      </c>
      <c r="Q17" s="13">
        <f t="shared" si="5"/>
        <v>0</v>
      </c>
      <c r="R17" s="17" t="s">
        <v>91</v>
      </c>
      <c r="T17" s="5">
        <f>+N17</f>
        <v>588129.5700000003</v>
      </c>
      <c r="U17" s="26">
        <f>+T17/T19</f>
        <v>0.90675455006090344</v>
      </c>
      <c r="V17" s="13">
        <f>+U17*N53</f>
        <v>-150181.32066041569</v>
      </c>
    </row>
    <row r="18" spans="1:22" x14ac:dyDescent="0.25">
      <c r="B18" s="1">
        <v>1860.15</v>
      </c>
      <c r="C18" t="s">
        <v>55</v>
      </c>
      <c r="D18" s="4">
        <f>+'2014'!G18</f>
        <v>3160361.79</v>
      </c>
      <c r="E18" s="4">
        <f>12483+491</f>
        <v>12974</v>
      </c>
      <c r="F18" s="4"/>
      <c r="G18" s="13">
        <f t="shared" si="2"/>
        <v>3173335.79</v>
      </c>
      <c r="H18" s="4"/>
      <c r="I18" s="4">
        <f>+'2014'!L18</f>
        <v>-992290.22</v>
      </c>
      <c r="J18" s="4">
        <f>-[1]Summary!$I17</f>
        <v>-211555.71999999997</v>
      </c>
      <c r="K18" s="4">
        <v>0</v>
      </c>
      <c r="L18" s="13">
        <f t="shared" ref="L18" si="6">SUM(I18:K18)</f>
        <v>-1203845.94</v>
      </c>
      <c r="M18" s="4"/>
      <c r="N18" s="4">
        <f t="shared" si="0"/>
        <v>2168071.5700000003</v>
      </c>
      <c r="O18" s="4">
        <f t="shared" si="1"/>
        <v>12974</v>
      </c>
      <c r="P18" s="4">
        <f t="shared" si="4"/>
        <v>-211555.71999999997</v>
      </c>
      <c r="Q18" s="13">
        <f t="shared" ref="Q18" si="7">SUM(N18:P18)</f>
        <v>1969489.8500000003</v>
      </c>
      <c r="R18" s="4"/>
      <c r="T18" s="5">
        <f>+N19</f>
        <v>60479.880000000005</v>
      </c>
      <c r="U18" s="26">
        <f>+T18/T19</f>
        <v>9.32454499390966E-2</v>
      </c>
      <c r="V18" s="13">
        <f>+N53-V17</f>
        <v>-15443.787755448953</v>
      </c>
    </row>
    <row r="19" spans="1:22" x14ac:dyDescent="0.25">
      <c r="B19" t="s">
        <v>32</v>
      </c>
      <c r="C19" t="s">
        <v>33</v>
      </c>
      <c r="D19" s="4">
        <f>+'2014'!G19</f>
        <v>94211.66</v>
      </c>
      <c r="E19" s="4">
        <v>0</v>
      </c>
      <c r="F19" s="4">
        <v>0</v>
      </c>
      <c r="G19" s="13">
        <f t="shared" si="2"/>
        <v>94211.66</v>
      </c>
      <c r="H19" s="4"/>
      <c r="I19" s="4">
        <f>+'2014'!L19</f>
        <v>-33731.78</v>
      </c>
      <c r="J19" s="4">
        <f>-[1]Summary!$I18</f>
        <v>-7065.9600000000009</v>
      </c>
      <c r="K19" s="4">
        <v>0</v>
      </c>
      <c r="L19" s="13">
        <f t="shared" si="3"/>
        <v>-40797.74</v>
      </c>
      <c r="M19" s="4"/>
      <c r="N19" s="4">
        <f>+D19+I19</f>
        <v>60479.880000000005</v>
      </c>
      <c r="O19" s="4">
        <f t="shared" si="1"/>
        <v>0</v>
      </c>
      <c r="P19" s="4">
        <f t="shared" si="4"/>
        <v>-7065.9600000000009</v>
      </c>
      <c r="Q19" s="13">
        <f t="shared" si="5"/>
        <v>53413.920000000006</v>
      </c>
      <c r="R19" s="4"/>
      <c r="T19" s="5">
        <f>+T17+T18</f>
        <v>648609.4500000003</v>
      </c>
      <c r="U19" s="26"/>
    </row>
    <row r="20" spans="1:22" ht="15.75" thickBot="1" x14ac:dyDescent="0.3">
      <c r="B20" s="2" t="s">
        <v>34</v>
      </c>
      <c r="C20" s="2" t="s">
        <v>35</v>
      </c>
      <c r="D20" s="18">
        <f>+'2014'!G20</f>
        <v>73618.78</v>
      </c>
      <c r="E20" s="18">
        <v>0</v>
      </c>
      <c r="F20" s="18">
        <v>0</v>
      </c>
      <c r="G20" s="19">
        <f t="shared" si="2"/>
        <v>73618.78</v>
      </c>
      <c r="H20" s="18"/>
      <c r="I20" s="18">
        <f>+'2014'!L20</f>
        <v>-17974.449999999997</v>
      </c>
      <c r="J20" s="18">
        <f>-[1]Summary!$I19</f>
        <v>-2385.3000000000002</v>
      </c>
      <c r="K20" s="18">
        <v>0</v>
      </c>
      <c r="L20" s="19">
        <f t="shared" si="3"/>
        <v>-20359.749999999996</v>
      </c>
      <c r="M20" s="18"/>
      <c r="N20" s="18">
        <f>+D20+I20</f>
        <v>55644.33</v>
      </c>
      <c r="O20" s="18">
        <f t="shared" si="1"/>
        <v>0</v>
      </c>
      <c r="P20" s="18">
        <f t="shared" si="4"/>
        <v>-2385.3000000000002</v>
      </c>
      <c r="Q20" s="19">
        <f t="shared" si="5"/>
        <v>53259.03</v>
      </c>
      <c r="R20" s="18"/>
      <c r="V20" s="13">
        <f>+V17+V18</f>
        <v>-165625.10841586464</v>
      </c>
    </row>
    <row r="21" spans="1:22" x14ac:dyDescent="0.25">
      <c r="D21" s="4"/>
      <c r="E21" s="4"/>
      <c r="F21" s="4"/>
      <c r="G21" s="13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1:22" s="9" customFormat="1" ht="15.75" thickBot="1" x14ac:dyDescent="0.3">
      <c r="A22"/>
      <c r="B22" s="10" t="s">
        <v>57</v>
      </c>
      <c r="C22" s="10"/>
      <c r="D22" s="19">
        <f>SUM(D7:D21)</f>
        <v>53977711.637999989</v>
      </c>
      <c r="E22" s="19">
        <f>SUM(E7:E21)</f>
        <v>1750000</v>
      </c>
      <c r="F22" s="19">
        <f>SUM(F7:F21)</f>
        <v>-2278507.2400000002</v>
      </c>
      <c r="G22" s="19">
        <f>SUM(G7:G21)</f>
        <v>53449204.398000002</v>
      </c>
      <c r="H22" s="19"/>
      <c r="I22" s="19">
        <f>SUM(I7:I21)</f>
        <v>-26337262.77</v>
      </c>
      <c r="J22" s="19">
        <f>SUM(J7:J21)</f>
        <v>-973435.70499999996</v>
      </c>
      <c r="K22" s="19">
        <f>SUM(K7:K21)</f>
        <v>1690377.67</v>
      </c>
      <c r="L22" s="19">
        <f>SUM(L7:L21)</f>
        <v>-25620320.805</v>
      </c>
      <c r="M22" s="19"/>
      <c r="N22" s="19">
        <f>SUM(N7:N21)</f>
        <v>27640448.867999997</v>
      </c>
      <c r="O22" s="19">
        <f>SUM(O7:O21)</f>
        <v>-528507.24000000022</v>
      </c>
      <c r="P22" s="19">
        <f>SUM(P7:P21)</f>
        <v>716941.96499999997</v>
      </c>
      <c r="Q22" s="19">
        <f>SUM(Q7:Q21)</f>
        <v>27828883.593000002</v>
      </c>
      <c r="R22" s="19"/>
    </row>
    <row r="23" spans="1:22" x14ac:dyDescent="0.25">
      <c r="D23" s="4"/>
      <c r="E23" s="4"/>
      <c r="F23" s="4"/>
      <c r="G23" s="13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1:22" x14ac:dyDescent="0.25">
      <c r="D24" s="4"/>
      <c r="E24" s="4"/>
      <c r="F24" s="4"/>
      <c r="G24" s="13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1:22" x14ac:dyDescent="0.25">
      <c r="B25" s="31">
        <v>1905</v>
      </c>
      <c r="C25" t="s">
        <v>56</v>
      </c>
      <c r="D25" s="4">
        <f>+'2014'!G25</f>
        <v>174187.53</v>
      </c>
      <c r="E25" s="4">
        <v>0</v>
      </c>
      <c r="F25" s="4">
        <v>0</v>
      </c>
      <c r="G25" s="13">
        <f t="shared" ref="G25" si="8">SUM(D25:F25)</f>
        <v>174187.53</v>
      </c>
      <c r="H25" s="4"/>
      <c r="I25" s="4">
        <f>+'2014'!L25</f>
        <v>0</v>
      </c>
      <c r="J25" s="4">
        <v>0</v>
      </c>
      <c r="K25" s="4">
        <v>0</v>
      </c>
      <c r="L25" s="13">
        <f t="shared" ref="L25" si="9">SUM(I25:K25)</f>
        <v>0</v>
      </c>
      <c r="M25" s="4"/>
      <c r="N25" s="4">
        <f t="shared" ref="N25:N38" si="10">+D25+I25</f>
        <v>174187.53</v>
      </c>
      <c r="O25" s="4">
        <f t="shared" ref="O25:O38" si="11">+E25+F25</f>
        <v>0</v>
      </c>
      <c r="P25" s="4">
        <f t="shared" ref="P25" si="12">+J25+K25</f>
        <v>0</v>
      </c>
      <c r="Q25" s="13">
        <f t="shared" ref="Q25" si="13">SUM(N25:P25)</f>
        <v>174187.53</v>
      </c>
      <c r="R25" s="4"/>
    </row>
    <row r="26" spans="1:22" x14ac:dyDescent="0.25">
      <c r="B26" s="32" t="s">
        <v>36</v>
      </c>
      <c r="C26" t="s">
        <v>37</v>
      </c>
      <c r="D26" s="4">
        <f>+'2014'!G26</f>
        <v>2496552.27</v>
      </c>
      <c r="E26" s="4">
        <v>100000</v>
      </c>
      <c r="F26" s="4">
        <v>0</v>
      </c>
      <c r="G26" s="13">
        <f t="shared" si="2"/>
        <v>2596552.27</v>
      </c>
      <c r="H26" s="4"/>
      <c r="I26" s="4">
        <f>+'2014'!L26</f>
        <v>-1008075.6900000001</v>
      </c>
      <c r="J26" s="4">
        <f>-[1]Summary!$I20</f>
        <v>-37963.504999999997</v>
      </c>
      <c r="K26" s="4">
        <v>0</v>
      </c>
      <c r="L26" s="13">
        <f t="shared" si="3"/>
        <v>-1046039.1950000001</v>
      </c>
      <c r="M26" s="4"/>
      <c r="N26" s="4">
        <f t="shared" si="10"/>
        <v>1488476.58</v>
      </c>
      <c r="O26" s="4">
        <f t="shared" si="11"/>
        <v>100000</v>
      </c>
      <c r="P26" s="4">
        <f t="shared" si="4"/>
        <v>-37963.504999999997</v>
      </c>
      <c r="Q26" s="13">
        <f t="shared" si="5"/>
        <v>1550513.0750000002</v>
      </c>
      <c r="R26" s="4"/>
    </row>
    <row r="27" spans="1:22" x14ac:dyDescent="0.25">
      <c r="B27" s="32" t="s">
        <v>38</v>
      </c>
      <c r="C27" t="s">
        <v>39</v>
      </c>
      <c r="D27" s="4">
        <f>+'2014'!G27</f>
        <v>22164.09</v>
      </c>
      <c r="E27" s="4">
        <v>0</v>
      </c>
      <c r="F27" s="4">
        <v>0</v>
      </c>
      <c r="G27" s="13">
        <f t="shared" si="2"/>
        <v>22164.09</v>
      </c>
      <c r="H27" s="4"/>
      <c r="I27" s="4">
        <f>+'2014'!L27</f>
        <v>-6421.1900000000005</v>
      </c>
      <c r="J27" s="4">
        <f>-[1]Summary!$I21</f>
        <v>-2362.7600000000002</v>
      </c>
      <c r="K27" s="4">
        <v>0</v>
      </c>
      <c r="L27" s="13">
        <f t="shared" si="3"/>
        <v>-8783.9500000000007</v>
      </c>
      <c r="M27" s="4"/>
      <c r="N27" s="4">
        <f t="shared" si="10"/>
        <v>15742.9</v>
      </c>
      <c r="O27" s="4">
        <f t="shared" si="11"/>
        <v>0</v>
      </c>
      <c r="P27" s="4">
        <f t="shared" si="4"/>
        <v>-2362.7600000000002</v>
      </c>
      <c r="Q27" s="13">
        <f t="shared" si="5"/>
        <v>13380.14</v>
      </c>
      <c r="R27" s="4"/>
    </row>
    <row r="28" spans="1:22" x14ac:dyDescent="0.25">
      <c r="B28" s="32" t="s">
        <v>40</v>
      </c>
      <c r="C28" t="s">
        <v>105</v>
      </c>
      <c r="D28" s="4">
        <f>+'2014'!G28</f>
        <v>141936.87</v>
      </c>
      <c r="E28" s="4">
        <v>70000</v>
      </c>
      <c r="F28" s="4">
        <v>0</v>
      </c>
      <c r="G28" s="27">
        <f t="shared" si="2"/>
        <v>211936.87</v>
      </c>
      <c r="H28" s="4"/>
      <c r="I28" s="4">
        <f>+'2014'!L28</f>
        <v>-28580.92</v>
      </c>
      <c r="J28" s="4">
        <f>-[1]Summary!$I22</f>
        <v>-17693.64</v>
      </c>
      <c r="K28" s="4">
        <v>0</v>
      </c>
      <c r="L28" s="13">
        <f t="shared" si="3"/>
        <v>-46274.559999999998</v>
      </c>
      <c r="M28" s="4"/>
      <c r="N28" s="4">
        <f t="shared" si="10"/>
        <v>113355.95</v>
      </c>
      <c r="O28" s="4">
        <f t="shared" si="11"/>
        <v>70000</v>
      </c>
      <c r="P28" s="4">
        <f t="shared" si="4"/>
        <v>-17693.64</v>
      </c>
      <c r="Q28" s="13">
        <f t="shared" si="5"/>
        <v>165662.31</v>
      </c>
      <c r="R28" s="4"/>
    </row>
    <row r="29" spans="1:22" x14ac:dyDescent="0.25">
      <c r="B29" s="32" t="s">
        <v>42</v>
      </c>
      <c r="C29" t="s">
        <v>43</v>
      </c>
      <c r="D29" s="4">
        <f>+'2014'!G29</f>
        <v>322056.8</v>
      </c>
      <c r="E29" s="4">
        <v>85000</v>
      </c>
      <c r="F29" s="4">
        <v>0</v>
      </c>
      <c r="G29" s="13">
        <f t="shared" si="2"/>
        <v>407056.8</v>
      </c>
      <c r="H29" s="4"/>
      <c r="I29" s="4">
        <f>+'2014'!L29</f>
        <v>-165301.22999999998</v>
      </c>
      <c r="J29" s="4">
        <f>-[1]Summary!$I23</f>
        <v>-69586.539999999994</v>
      </c>
      <c r="K29" s="4">
        <v>0</v>
      </c>
      <c r="L29" s="13">
        <f t="shared" si="3"/>
        <v>-234887.76999999996</v>
      </c>
      <c r="M29" s="4"/>
      <c r="N29" s="4">
        <f t="shared" si="10"/>
        <v>156755.57</v>
      </c>
      <c r="O29" s="4">
        <f t="shared" si="11"/>
        <v>85000</v>
      </c>
      <c r="P29" s="4">
        <f t="shared" si="4"/>
        <v>-69586.539999999994</v>
      </c>
      <c r="Q29" s="13">
        <f t="shared" si="5"/>
        <v>172169.03000000003</v>
      </c>
      <c r="R29" s="4"/>
    </row>
    <row r="30" spans="1:22" x14ac:dyDescent="0.25">
      <c r="B30" s="32" t="s">
        <v>44</v>
      </c>
      <c r="C30" t="s">
        <v>45</v>
      </c>
      <c r="D30" s="4">
        <f>+'2014'!G30</f>
        <v>214601.22999999998</v>
      </c>
      <c r="E30" s="4">
        <v>13000</v>
      </c>
      <c r="F30" s="4">
        <v>0</v>
      </c>
      <c r="G30" s="13">
        <f t="shared" si="2"/>
        <v>227601.22999999998</v>
      </c>
      <c r="H30" s="4"/>
      <c r="I30" s="4">
        <f>+'2014'!L30</f>
        <v>-133163.15</v>
      </c>
      <c r="J30" s="4">
        <f>-[1]Summary!$I24</f>
        <v>-27931.449999999997</v>
      </c>
      <c r="K30" s="4">
        <v>0</v>
      </c>
      <c r="L30" s="13">
        <f t="shared" si="3"/>
        <v>-161094.59999999998</v>
      </c>
      <c r="M30" s="4"/>
      <c r="N30" s="4">
        <f t="shared" si="10"/>
        <v>81438.079999999987</v>
      </c>
      <c r="O30" s="4">
        <f t="shared" si="11"/>
        <v>13000</v>
      </c>
      <c r="P30" s="4">
        <f t="shared" si="4"/>
        <v>-27931.449999999997</v>
      </c>
      <c r="Q30" s="13">
        <f t="shared" si="5"/>
        <v>66506.62999999999</v>
      </c>
      <c r="R30" s="4"/>
    </row>
    <row r="31" spans="1:22" x14ac:dyDescent="0.25">
      <c r="B31" s="32" t="s">
        <v>46</v>
      </c>
      <c r="C31" t="s">
        <v>47</v>
      </c>
      <c r="D31" s="4">
        <f>+'2014'!G31</f>
        <v>373134.18</v>
      </c>
      <c r="E31" s="4">
        <v>0</v>
      </c>
      <c r="F31" s="4">
        <v>0</v>
      </c>
      <c r="G31" s="13">
        <f t="shared" si="2"/>
        <v>373134.18</v>
      </c>
      <c r="H31" s="4"/>
      <c r="I31" s="4">
        <f>+'2014'!L31</f>
        <v>-107940.26</v>
      </c>
      <c r="J31" s="4">
        <f>-[1]Summary!$I25</f>
        <v>-37313.42</v>
      </c>
      <c r="K31" s="4">
        <v>0</v>
      </c>
      <c r="L31" s="13">
        <f t="shared" si="3"/>
        <v>-145253.68</v>
      </c>
      <c r="M31" s="4"/>
      <c r="N31" s="4">
        <f t="shared" si="10"/>
        <v>265193.92</v>
      </c>
      <c r="O31" s="4">
        <f t="shared" si="11"/>
        <v>0</v>
      </c>
      <c r="P31" s="4">
        <f t="shared" si="4"/>
        <v>-37313.42</v>
      </c>
      <c r="Q31" s="13">
        <f t="shared" si="5"/>
        <v>227880.5</v>
      </c>
      <c r="R31" s="4"/>
    </row>
    <row r="32" spans="1:22" x14ac:dyDescent="0.25">
      <c r="B32" s="31">
        <v>1930</v>
      </c>
      <c r="C32" t="s">
        <v>59</v>
      </c>
      <c r="D32" s="4">
        <f>+'2014'!G32</f>
        <v>1241215.54</v>
      </c>
      <c r="E32" s="4">
        <v>125000</v>
      </c>
      <c r="F32" s="4"/>
      <c r="G32" s="13">
        <f t="shared" si="2"/>
        <v>1366215.54</v>
      </c>
      <c r="H32" s="4"/>
      <c r="I32" s="4">
        <f>+'2014'!L32</f>
        <v>-309230.91533333331</v>
      </c>
      <c r="J32" s="4">
        <f>-[1]Summary!$I26</f>
        <v>-100926.60533333333</v>
      </c>
      <c r="K32" s="4"/>
      <c r="L32" s="13">
        <f t="shared" si="3"/>
        <v>-410157.52066666662</v>
      </c>
      <c r="M32" s="4"/>
      <c r="N32" s="4">
        <f t="shared" si="10"/>
        <v>931984.62466666673</v>
      </c>
      <c r="O32" s="4">
        <f t="shared" si="11"/>
        <v>125000</v>
      </c>
      <c r="P32" s="4">
        <f t="shared" si="4"/>
        <v>-100926.60533333333</v>
      </c>
      <c r="Q32" s="13">
        <f t="shared" ref="Q32" si="14">SUM(N32:P32)</f>
        <v>956058.01933333324</v>
      </c>
      <c r="R32" s="4"/>
    </row>
    <row r="33" spans="2:20" x14ac:dyDescent="0.25">
      <c r="B33" s="32" t="s">
        <v>48</v>
      </c>
      <c r="C33" t="s">
        <v>49</v>
      </c>
      <c r="D33" s="4">
        <f>+'2014'!G33</f>
        <v>428127.30000000005</v>
      </c>
      <c r="E33" s="4">
        <v>20000</v>
      </c>
      <c r="F33" s="4">
        <v>0</v>
      </c>
      <c r="G33" s="27">
        <f t="shared" si="2"/>
        <v>448127.30000000005</v>
      </c>
      <c r="H33" s="4"/>
      <c r="I33" s="4">
        <f>+'2014'!L33</f>
        <v>-126171.34999999999</v>
      </c>
      <c r="J33" s="4">
        <f>-[1]Summary!$I27</f>
        <v>-43812.729999999996</v>
      </c>
      <c r="K33" s="4">
        <v>0</v>
      </c>
      <c r="L33" s="13">
        <f t="shared" si="3"/>
        <v>-169984.08</v>
      </c>
      <c r="M33" s="4"/>
      <c r="N33" s="4">
        <f t="shared" si="10"/>
        <v>301955.95000000007</v>
      </c>
      <c r="O33" s="4">
        <f t="shared" si="11"/>
        <v>20000</v>
      </c>
      <c r="P33" s="4">
        <f t="shared" si="4"/>
        <v>-43812.729999999996</v>
      </c>
      <c r="Q33" s="13">
        <f t="shared" si="5"/>
        <v>278143.22000000009</v>
      </c>
      <c r="R33" s="4"/>
    </row>
    <row r="34" spans="2:20" x14ac:dyDescent="0.25">
      <c r="B34" s="32" t="s">
        <v>50</v>
      </c>
      <c r="C34" t="s">
        <v>51</v>
      </c>
      <c r="D34" s="4">
        <f>+'2014'!G34</f>
        <v>12465.77</v>
      </c>
      <c r="E34" s="4">
        <v>0</v>
      </c>
      <c r="F34" s="4">
        <v>0</v>
      </c>
      <c r="G34" s="13">
        <f t="shared" si="2"/>
        <v>12465.77</v>
      </c>
      <c r="H34" s="4"/>
      <c r="I34" s="4">
        <f>+'2014'!L34</f>
        <v>-7479.4</v>
      </c>
      <c r="J34" s="4">
        <f>-[1]Summary!$I28</f>
        <v>-2493.15</v>
      </c>
      <c r="K34" s="4">
        <v>0</v>
      </c>
      <c r="L34" s="13">
        <f t="shared" si="3"/>
        <v>-9972.5499999999993</v>
      </c>
      <c r="M34" s="4"/>
      <c r="N34" s="4">
        <f t="shared" si="10"/>
        <v>4986.3700000000008</v>
      </c>
      <c r="O34" s="4">
        <f t="shared" si="11"/>
        <v>0</v>
      </c>
      <c r="P34" s="4">
        <f t="shared" si="4"/>
        <v>-2493.15</v>
      </c>
      <c r="Q34" s="13">
        <f t="shared" si="5"/>
        <v>2493.2200000000007</v>
      </c>
      <c r="R34" s="4"/>
    </row>
    <row r="35" spans="2:20" x14ac:dyDescent="0.25">
      <c r="B35" s="32" t="s">
        <v>52</v>
      </c>
      <c r="C35" t="s">
        <v>53</v>
      </c>
      <c r="D35" s="4">
        <f>+'2014'!G35</f>
        <v>200000</v>
      </c>
      <c r="E35" s="4">
        <v>0</v>
      </c>
      <c r="F35" s="4">
        <v>0</v>
      </c>
      <c r="G35" s="13">
        <f t="shared" si="2"/>
        <v>200000</v>
      </c>
      <c r="H35" s="4"/>
      <c r="I35" s="4">
        <f>+'2014'!L35</f>
        <v>-39999.99</v>
      </c>
      <c r="J35" s="4">
        <f>-[1]Summary!$I29</f>
        <v>-13333.33</v>
      </c>
      <c r="K35" s="4">
        <v>0</v>
      </c>
      <c r="L35" s="13">
        <f t="shared" si="3"/>
        <v>-53333.32</v>
      </c>
      <c r="M35" s="4"/>
      <c r="N35" s="4">
        <f t="shared" si="10"/>
        <v>160000.01</v>
      </c>
      <c r="O35" s="4">
        <f t="shared" si="11"/>
        <v>0</v>
      </c>
      <c r="P35" s="4">
        <f t="shared" si="4"/>
        <v>-13333.33</v>
      </c>
      <c r="Q35" s="13">
        <f t="shared" si="5"/>
        <v>146666.68000000002</v>
      </c>
      <c r="R35" s="4"/>
    </row>
    <row r="36" spans="2:20" x14ac:dyDescent="0.25">
      <c r="B36" s="31">
        <v>1980</v>
      </c>
      <c r="C36" t="s">
        <v>54</v>
      </c>
      <c r="D36" s="4">
        <f>+'2014'!G36</f>
        <v>58001.21</v>
      </c>
      <c r="E36" s="4">
        <v>50000</v>
      </c>
      <c r="F36" s="4"/>
      <c r="G36" s="13">
        <f t="shared" si="2"/>
        <v>108001.20999999999</v>
      </c>
      <c r="H36" s="4"/>
      <c r="I36" s="4">
        <f>+'2014'!L36</f>
        <v>-47478.539999999994</v>
      </c>
      <c r="J36" s="4">
        <f>-[1]Summary!$I30</f>
        <v>-6511.3099999999995</v>
      </c>
      <c r="K36" s="4"/>
      <c r="L36" s="13">
        <f t="shared" si="3"/>
        <v>-53989.849999999991</v>
      </c>
      <c r="M36" s="4"/>
      <c r="N36" s="4">
        <f t="shared" si="10"/>
        <v>10522.670000000006</v>
      </c>
      <c r="O36" s="4">
        <f t="shared" si="11"/>
        <v>50000</v>
      </c>
      <c r="P36" s="4">
        <f t="shared" si="4"/>
        <v>-6511.3099999999995</v>
      </c>
      <c r="Q36" s="13">
        <f t="shared" ref="Q36" si="15">SUM(N36:P36)</f>
        <v>54011.360000000008</v>
      </c>
      <c r="R36" s="4"/>
    </row>
    <row r="37" spans="2:20" ht="15.75" thickBot="1" x14ac:dyDescent="0.3">
      <c r="B37" s="33">
        <v>1980.1</v>
      </c>
      <c r="C37" s="2" t="s">
        <v>66</v>
      </c>
      <c r="D37" s="18">
        <f>+'2014'!G37</f>
        <v>617702.37</v>
      </c>
      <c r="E37" s="18">
        <v>50000</v>
      </c>
      <c r="F37" s="18">
        <v>0</v>
      </c>
      <c r="G37" s="19">
        <f t="shared" si="2"/>
        <v>667702.37</v>
      </c>
      <c r="H37" s="18"/>
      <c r="I37" s="18">
        <f>+'2014'!L37</f>
        <v>-93540.479999999996</v>
      </c>
      <c r="J37" s="18">
        <f>-[1]Summary!$I31</f>
        <v>-40833.149999999994</v>
      </c>
      <c r="K37" s="18">
        <v>0</v>
      </c>
      <c r="L37" s="19">
        <f t="shared" si="3"/>
        <v>-134373.63</v>
      </c>
      <c r="M37" s="18"/>
      <c r="N37" s="18">
        <f t="shared" si="10"/>
        <v>524161.89</v>
      </c>
      <c r="O37" s="18">
        <f t="shared" si="11"/>
        <v>50000</v>
      </c>
      <c r="P37" s="18">
        <f t="shared" si="4"/>
        <v>-40833.149999999994</v>
      </c>
      <c r="Q37" s="19">
        <f t="shared" si="5"/>
        <v>533328.74</v>
      </c>
      <c r="R37" s="18"/>
    </row>
    <row r="38" spans="2:20" x14ac:dyDescent="0.25">
      <c r="D38" s="4"/>
      <c r="E38" s="4"/>
      <c r="F38" s="4">
        <v>0</v>
      </c>
      <c r="G38" s="13">
        <f t="shared" si="2"/>
        <v>0</v>
      </c>
      <c r="H38" s="4"/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0"/>
        <v>0</v>
      </c>
      <c r="O38" s="4">
        <f t="shared" si="11"/>
        <v>0</v>
      </c>
      <c r="P38" s="4">
        <f t="shared" si="4"/>
        <v>0</v>
      </c>
      <c r="Q38" s="13">
        <f t="shared" si="5"/>
        <v>0</v>
      </c>
      <c r="R38" s="4"/>
    </row>
    <row r="39" spans="2:20" s="9" customFormat="1" ht="15.75" thickBot="1" x14ac:dyDescent="0.3">
      <c r="B39" s="10" t="s">
        <v>58</v>
      </c>
      <c r="C39" s="10"/>
      <c r="D39" s="19">
        <f>SUM(D25:D38)</f>
        <v>6302145.1599999992</v>
      </c>
      <c r="E39" s="19">
        <f>SUM(E25:E38)</f>
        <v>513000</v>
      </c>
      <c r="F39" s="19">
        <f>SUM(F25:F38)</f>
        <v>0</v>
      </c>
      <c r="G39" s="19">
        <f>SUM(G25:G38)</f>
        <v>6815145.1599999992</v>
      </c>
      <c r="H39" s="19"/>
      <c r="I39" s="19">
        <f>SUM(I25:I38)</f>
        <v>-2073383.1153333334</v>
      </c>
      <c r="J39" s="19">
        <f>SUM(J25:J38)</f>
        <v>-400761.59033333336</v>
      </c>
      <c r="K39" s="19">
        <f>SUM(K25:K38)</f>
        <v>0</v>
      </c>
      <c r="L39" s="19">
        <f>SUM(L25:L38)</f>
        <v>-2474144.7056666664</v>
      </c>
      <c r="M39" s="19"/>
      <c r="N39" s="19">
        <f>SUM(N25:N38)</f>
        <v>4228762.0446666665</v>
      </c>
      <c r="O39" s="19">
        <f>SUM(O25:O38)</f>
        <v>513000</v>
      </c>
      <c r="P39" s="19">
        <f>SUM(P25:P38)</f>
        <v>-400761.59033333336</v>
      </c>
      <c r="Q39" s="19">
        <f>SUM(Q25:Q38)</f>
        <v>4341000.4543333342</v>
      </c>
      <c r="R39" s="19"/>
    </row>
    <row r="40" spans="2:20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2:20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2:20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2:20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  <c r="S43" s="28"/>
    </row>
    <row r="44" spans="2:20" x14ac:dyDescent="0.25">
      <c r="B44" s="24" t="s">
        <v>12</v>
      </c>
      <c r="C44" s="7" t="s">
        <v>13</v>
      </c>
      <c r="D44" s="8">
        <f>+'2014'!G44</f>
        <v>0</v>
      </c>
      <c r="E44" s="8">
        <v>0</v>
      </c>
      <c r="F44" s="8">
        <v>0</v>
      </c>
      <c r="G44" s="16">
        <f>SUM(D44:F44)</f>
        <v>0</v>
      </c>
      <c r="I44" s="8">
        <f>+'2014'!L44</f>
        <v>0</v>
      </c>
      <c r="J44" s="7"/>
      <c r="K44" s="7"/>
      <c r="L44" s="15"/>
      <c r="M44" s="4"/>
      <c r="N44" s="8">
        <f t="shared" ref="N44:N55" si="16">+D44+I44</f>
        <v>0</v>
      </c>
      <c r="O44" s="8">
        <f t="shared" ref="O44:O55" si="17">+E44+F44</f>
        <v>0</v>
      </c>
      <c r="P44" s="8">
        <f t="shared" ref="P44:P55" si="18">+J44+K44</f>
        <v>0</v>
      </c>
      <c r="Q44" s="16">
        <f t="shared" ref="Q44:Q53" si="19">SUM(N44:P44)</f>
        <v>0</v>
      </c>
      <c r="R44" s="4"/>
      <c r="S44" s="28"/>
    </row>
    <row r="45" spans="2:20" x14ac:dyDescent="0.25">
      <c r="B45" s="34" t="s">
        <v>14</v>
      </c>
      <c r="C45" s="7" t="s">
        <v>15</v>
      </c>
      <c r="D45" s="8">
        <f>+'2014'!G45</f>
        <v>-1336015.8299999998</v>
      </c>
      <c r="E45" s="8">
        <v>-3000</v>
      </c>
      <c r="F45" s="8">
        <v>0</v>
      </c>
      <c r="G45" s="16">
        <f>SUM(D45:F45)</f>
        <v>-1339015.8299999998</v>
      </c>
      <c r="I45" s="8">
        <f>+'2014'!L45</f>
        <v>435127.01037271286</v>
      </c>
      <c r="J45" s="8">
        <f>-[1]Summary!$I39</f>
        <v>24318.924999999996</v>
      </c>
      <c r="K45" s="8">
        <v>0</v>
      </c>
      <c r="L45" s="16">
        <f>SUM(I45:K45)</f>
        <v>459445.93537271285</v>
      </c>
      <c r="M45" s="4"/>
      <c r="N45" s="8">
        <f t="shared" si="16"/>
        <v>-900888.81962728698</v>
      </c>
      <c r="O45" s="8">
        <f t="shared" si="17"/>
        <v>-3000</v>
      </c>
      <c r="P45" s="8">
        <f t="shared" si="18"/>
        <v>24318.924999999996</v>
      </c>
      <c r="Q45" s="16">
        <f t="shared" si="19"/>
        <v>-879569.89462728694</v>
      </c>
      <c r="R45" s="4"/>
      <c r="S45" s="28"/>
      <c r="T45" s="22"/>
    </row>
    <row r="46" spans="2:20" x14ac:dyDescent="0.25">
      <c r="B46" s="34" t="s">
        <v>16</v>
      </c>
      <c r="C46" s="7" t="s">
        <v>17</v>
      </c>
      <c r="D46" s="8">
        <f>+'2014'!G46</f>
        <v>-1142800.3400000001</v>
      </c>
      <c r="E46" s="8">
        <v>-4000</v>
      </c>
      <c r="F46" s="8">
        <v>0</v>
      </c>
      <c r="G46" s="16">
        <f>SUM(D46:F46)</f>
        <v>-1146800.3400000001</v>
      </c>
      <c r="I46" s="8">
        <f>+'2014'!L46</f>
        <v>356052.59365983709</v>
      </c>
      <c r="J46" s="8">
        <f>-[1]Summary!$I40</f>
        <v>15138.895</v>
      </c>
      <c r="K46" s="8">
        <v>0</v>
      </c>
      <c r="L46" s="16">
        <f>SUM(I46:K46)</f>
        <v>371191.48865983711</v>
      </c>
      <c r="M46" s="4"/>
      <c r="N46" s="8">
        <f t="shared" si="16"/>
        <v>-786747.74634016305</v>
      </c>
      <c r="O46" s="8">
        <f t="shared" si="17"/>
        <v>-4000</v>
      </c>
      <c r="P46" s="8">
        <f t="shared" si="18"/>
        <v>15138.895</v>
      </c>
      <c r="Q46" s="16">
        <f t="shared" si="19"/>
        <v>-775608.85134016303</v>
      </c>
      <c r="R46" s="4"/>
      <c r="S46" s="28"/>
      <c r="T46" s="22"/>
    </row>
    <row r="47" spans="2:20" x14ac:dyDescent="0.25">
      <c r="B47" s="34" t="s">
        <v>18</v>
      </c>
      <c r="C47" s="7" t="s">
        <v>19</v>
      </c>
      <c r="D47" s="8">
        <f>+'2014'!G47</f>
        <v>-946766.24</v>
      </c>
      <c r="E47" s="8">
        <v>-22000</v>
      </c>
      <c r="F47" s="8">
        <v>0</v>
      </c>
      <c r="G47" s="16">
        <f t="shared" ref="G47:G55" si="20">SUM(D47:F47)</f>
        <v>-968766.24</v>
      </c>
      <c r="I47" s="8">
        <f>+'2014'!L47</f>
        <v>273358.16557171644</v>
      </c>
      <c r="J47" s="8">
        <f>-[1]Summary!$I41</f>
        <v>23942.82</v>
      </c>
      <c r="K47" s="8">
        <v>0</v>
      </c>
      <c r="L47" s="16">
        <f t="shared" ref="L47:L56" si="21">SUM(I47:K47)</f>
        <v>297300.98557171645</v>
      </c>
      <c r="M47" s="4"/>
      <c r="N47" s="8">
        <f t="shared" si="16"/>
        <v>-673408.07442828361</v>
      </c>
      <c r="O47" s="8">
        <f t="shared" si="17"/>
        <v>-22000</v>
      </c>
      <c r="P47" s="8">
        <f t="shared" si="18"/>
        <v>23942.82</v>
      </c>
      <c r="Q47" s="16">
        <f t="shared" si="19"/>
        <v>-671465.25442828366</v>
      </c>
      <c r="R47" s="4"/>
      <c r="S47" s="28"/>
      <c r="T47" s="22"/>
    </row>
    <row r="48" spans="2:20" x14ac:dyDescent="0.25">
      <c r="B48" s="34" t="s">
        <v>20</v>
      </c>
      <c r="C48" s="7" t="s">
        <v>21</v>
      </c>
      <c r="D48" s="8">
        <f>+'2014'!G48</f>
        <v>-1421037.5</v>
      </c>
      <c r="E48" s="8">
        <v>-34000</v>
      </c>
      <c r="F48" s="8">
        <v>0</v>
      </c>
      <c r="G48" s="16">
        <f t="shared" si="20"/>
        <v>-1455037.5</v>
      </c>
      <c r="I48" s="8">
        <f>+'2014'!L48</f>
        <v>455820.06715116696</v>
      </c>
      <c r="J48" s="8">
        <f>-[1]Summary!$I42</f>
        <v>31059.93</v>
      </c>
      <c r="K48" s="8">
        <v>0</v>
      </c>
      <c r="L48" s="16">
        <f t="shared" si="21"/>
        <v>486879.99715116696</v>
      </c>
      <c r="M48" s="4"/>
      <c r="N48" s="8">
        <f t="shared" si="16"/>
        <v>-965217.43284883304</v>
      </c>
      <c r="O48" s="8">
        <f t="shared" si="17"/>
        <v>-34000</v>
      </c>
      <c r="P48" s="8">
        <f t="shared" si="18"/>
        <v>31059.93</v>
      </c>
      <c r="Q48" s="16">
        <f t="shared" si="19"/>
        <v>-968157.50284883298</v>
      </c>
      <c r="R48" s="4"/>
      <c r="S48" s="28"/>
      <c r="T48" s="22"/>
    </row>
    <row r="49" spans="2:22" x14ac:dyDescent="0.25">
      <c r="B49" s="34" t="s">
        <v>22</v>
      </c>
      <c r="C49" s="7" t="s">
        <v>23</v>
      </c>
      <c r="D49" s="8">
        <f>+'2014'!G49</f>
        <v>-1426745.22</v>
      </c>
      <c r="E49" s="8">
        <v>-16000</v>
      </c>
      <c r="F49" s="8">
        <v>0</v>
      </c>
      <c r="G49" s="16">
        <f t="shared" si="20"/>
        <v>-1442745.22</v>
      </c>
      <c r="I49" s="8">
        <f>+'2014'!L49</f>
        <v>312270.85964880098</v>
      </c>
      <c r="J49" s="8">
        <f>-[1]Summary!$I43</f>
        <v>31841.460000000003</v>
      </c>
      <c r="K49" s="8">
        <v>0</v>
      </c>
      <c r="L49" s="16">
        <f t="shared" si="21"/>
        <v>344112.319648801</v>
      </c>
      <c r="M49" s="4"/>
      <c r="N49" s="8">
        <f t="shared" si="16"/>
        <v>-1114474.3603511991</v>
      </c>
      <c r="O49" s="8">
        <f t="shared" si="17"/>
        <v>-16000</v>
      </c>
      <c r="P49" s="8">
        <f t="shared" si="18"/>
        <v>31841.460000000003</v>
      </c>
      <c r="Q49" s="16">
        <f t="shared" si="19"/>
        <v>-1098632.9003511991</v>
      </c>
      <c r="R49" s="4"/>
      <c r="S49" s="28"/>
      <c r="T49" s="22"/>
    </row>
    <row r="50" spans="2:22" x14ac:dyDescent="0.25">
      <c r="B50" s="34" t="s">
        <v>24</v>
      </c>
      <c r="C50" s="7" t="s">
        <v>25</v>
      </c>
      <c r="D50" s="8">
        <f>+'2014'!G50</f>
        <v>-559893.87</v>
      </c>
      <c r="E50" s="8">
        <v>-2000</v>
      </c>
      <c r="F50" s="8">
        <v>0</v>
      </c>
      <c r="G50" s="16">
        <f t="shared" si="20"/>
        <v>-561893.87</v>
      </c>
      <c r="I50" s="8">
        <f>+'2014'!L50</f>
        <v>186651.27799237077</v>
      </c>
      <c r="J50" s="8">
        <f>-[1]Summary!$I44</f>
        <v>14058.91</v>
      </c>
      <c r="K50" s="8">
        <v>0</v>
      </c>
      <c r="L50" s="16">
        <f t="shared" si="21"/>
        <v>200710.18799237077</v>
      </c>
      <c r="M50" s="4"/>
      <c r="N50" s="8">
        <f t="shared" si="16"/>
        <v>-373242.59200762922</v>
      </c>
      <c r="O50" s="8">
        <f t="shared" si="17"/>
        <v>-2000</v>
      </c>
      <c r="P50" s="8">
        <f t="shared" si="18"/>
        <v>14058.91</v>
      </c>
      <c r="Q50" s="16">
        <f t="shared" si="19"/>
        <v>-361183.68200762925</v>
      </c>
      <c r="R50" s="4"/>
      <c r="S50" s="28"/>
      <c r="T50" s="22"/>
    </row>
    <row r="51" spans="2:22" x14ac:dyDescent="0.25">
      <c r="B51" s="34" t="s">
        <v>26</v>
      </c>
      <c r="C51" s="7" t="s">
        <v>27</v>
      </c>
      <c r="D51" s="8">
        <f>+'2014'!G51</f>
        <v>-616631.77999999991</v>
      </c>
      <c r="E51" s="8">
        <v>-3000</v>
      </c>
      <c r="F51" s="8">
        <v>0</v>
      </c>
      <c r="G51" s="16">
        <f t="shared" si="20"/>
        <v>-619631.77999999991</v>
      </c>
      <c r="I51" s="8">
        <f>+'2014'!L51</f>
        <v>203413.66581226696</v>
      </c>
      <c r="J51" s="8">
        <f>-[1]Summary!$I45</f>
        <v>13258.57</v>
      </c>
      <c r="K51" s="8">
        <v>0</v>
      </c>
      <c r="L51" s="16">
        <f t="shared" si="21"/>
        <v>216672.23581226697</v>
      </c>
      <c r="M51" s="4"/>
      <c r="N51" s="8">
        <f t="shared" si="16"/>
        <v>-413218.11418773292</v>
      </c>
      <c r="O51" s="8">
        <f t="shared" si="17"/>
        <v>-3000</v>
      </c>
      <c r="P51" s="8">
        <f t="shared" si="18"/>
        <v>13258.57</v>
      </c>
      <c r="Q51" s="16">
        <f t="shared" si="19"/>
        <v>-402959.54418773291</v>
      </c>
      <c r="R51" s="4"/>
      <c r="S51" s="28"/>
      <c r="T51" s="22"/>
    </row>
    <row r="52" spans="2:22" x14ac:dyDescent="0.25">
      <c r="B52" s="34" t="s">
        <v>28</v>
      </c>
      <c r="C52" s="7" t="s">
        <v>29</v>
      </c>
      <c r="D52" s="8">
        <f>+'2014'!G52</f>
        <v>-427223.44999999995</v>
      </c>
      <c r="E52" s="8">
        <v>-7000</v>
      </c>
      <c r="F52" s="8">
        <v>0</v>
      </c>
      <c r="G52" s="16">
        <f t="shared" si="20"/>
        <v>-434223.44999999995</v>
      </c>
      <c r="I52" s="8">
        <f>+'2014'!L52</f>
        <v>136439.56820699279</v>
      </c>
      <c r="J52" s="8">
        <f>-[1]Summary!$I46</f>
        <v>8808.4599999999991</v>
      </c>
      <c r="K52" s="8">
        <v>0</v>
      </c>
      <c r="L52" s="16">
        <f t="shared" si="21"/>
        <v>145248.02820699278</v>
      </c>
      <c r="M52" s="3"/>
      <c r="N52" s="8">
        <f t="shared" si="16"/>
        <v>-290783.88179300714</v>
      </c>
      <c r="O52" s="8">
        <f t="shared" si="17"/>
        <v>-7000</v>
      </c>
      <c r="P52" s="8">
        <f t="shared" si="18"/>
        <v>8808.4599999999991</v>
      </c>
      <c r="Q52" s="16">
        <f t="shared" si="19"/>
        <v>-288975.42179300712</v>
      </c>
      <c r="R52" s="3"/>
      <c r="S52" s="28"/>
      <c r="T52" s="22"/>
    </row>
    <row r="53" spans="2:22" x14ac:dyDescent="0.25">
      <c r="B53" s="34" t="s">
        <v>30</v>
      </c>
      <c r="C53" s="7" t="s">
        <v>31</v>
      </c>
      <c r="D53" s="8">
        <f>+'2014'!G53</f>
        <v>-295792.75</v>
      </c>
      <c r="E53" s="8">
        <v>0</v>
      </c>
      <c r="F53" s="8">
        <f>-D53</f>
        <v>295792.75</v>
      </c>
      <c r="G53" s="16">
        <f t="shared" si="20"/>
        <v>0</v>
      </c>
      <c r="I53" s="8">
        <f>+'2014'!L53</f>
        <v>130167.64158413537</v>
      </c>
      <c r="J53" s="8">
        <f>-[1]Summary!$I47</f>
        <v>0</v>
      </c>
      <c r="K53" s="8">
        <f>-I53</f>
        <v>-130167.64158413537</v>
      </c>
      <c r="L53" s="16">
        <f t="shared" si="21"/>
        <v>0</v>
      </c>
      <c r="M53" s="3"/>
      <c r="N53" s="8">
        <f t="shared" si="16"/>
        <v>-165625.10841586464</v>
      </c>
      <c r="O53" s="8">
        <f t="shared" si="17"/>
        <v>295792.75</v>
      </c>
      <c r="P53" s="8">
        <f t="shared" si="18"/>
        <v>-130167.64158413537</v>
      </c>
      <c r="Q53" s="16">
        <f t="shared" si="19"/>
        <v>0</v>
      </c>
      <c r="R53" s="3"/>
      <c r="S53" s="28"/>
      <c r="T53" s="22">
        <f>+N17+N53</f>
        <v>422504.46158413566</v>
      </c>
    </row>
    <row r="54" spans="2:22" x14ac:dyDescent="0.25">
      <c r="B54" s="35">
        <v>1860.15</v>
      </c>
      <c r="C54" s="7" t="s">
        <v>55</v>
      </c>
      <c r="D54" s="8">
        <f>+'2014'!G54</f>
        <v>-11842.06</v>
      </c>
      <c r="E54" s="8">
        <v>-9000</v>
      </c>
      <c r="F54" s="8">
        <v>0</v>
      </c>
      <c r="G54" s="16">
        <f t="shared" si="20"/>
        <v>-20842.059999999998</v>
      </c>
      <c r="I54" s="8">
        <f>+'2014'!L54</f>
        <v>578.94000000000005</v>
      </c>
      <c r="J54" s="8">
        <f>-[1]Summary!$I48</f>
        <v>589.47</v>
      </c>
      <c r="K54" s="8">
        <v>0</v>
      </c>
      <c r="L54" s="16">
        <f t="shared" si="21"/>
        <v>1168.4100000000001</v>
      </c>
      <c r="M54" s="3"/>
      <c r="N54" s="8">
        <f t="shared" si="16"/>
        <v>-11263.119999999999</v>
      </c>
      <c r="O54" s="8">
        <f t="shared" si="17"/>
        <v>-9000</v>
      </c>
      <c r="P54" s="8">
        <f t="shared" si="18"/>
        <v>589.47</v>
      </c>
      <c r="Q54" s="16">
        <f t="shared" ref="Q54:Q55" si="22">SUM(N54:P54)</f>
        <v>-19673.649999999998</v>
      </c>
      <c r="R54" s="3"/>
      <c r="S54" s="28"/>
      <c r="T54" s="22"/>
      <c r="U54" s="3"/>
      <c r="V54" s="14"/>
    </row>
    <row r="55" spans="2:22" x14ac:dyDescent="0.25">
      <c r="B55" s="34" t="s">
        <v>32</v>
      </c>
      <c r="C55" s="7" t="s">
        <v>33</v>
      </c>
      <c r="D55" s="8">
        <f>+'2014'!G55</f>
        <v>-12919.73</v>
      </c>
      <c r="E55" s="8">
        <v>0</v>
      </c>
      <c r="F55" s="8">
        <v>0</v>
      </c>
      <c r="G55" s="16">
        <f t="shared" si="20"/>
        <v>-12919.73</v>
      </c>
      <c r="I55" s="8">
        <f>+'2014'!L55</f>
        <v>7285</v>
      </c>
      <c r="J55" s="8">
        <f>-[1]Summary!$I49</f>
        <v>2961.0650000000001</v>
      </c>
      <c r="K55" s="8">
        <v>0</v>
      </c>
      <c r="L55" s="16">
        <f t="shared" si="21"/>
        <v>10246.065000000001</v>
      </c>
      <c r="M55" s="3"/>
      <c r="N55" s="8">
        <f t="shared" si="16"/>
        <v>-5634.73</v>
      </c>
      <c r="O55" s="8">
        <f t="shared" si="17"/>
        <v>0</v>
      </c>
      <c r="P55" s="8">
        <f t="shared" si="18"/>
        <v>2961.0650000000001</v>
      </c>
      <c r="Q55" s="16">
        <f t="shared" si="22"/>
        <v>-2673.6649999999995</v>
      </c>
      <c r="R55" s="3"/>
      <c r="S55" s="38"/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f>+'2014'!G56</f>
        <v>0</v>
      </c>
      <c r="E56" s="20">
        <v>0</v>
      </c>
      <c r="F56" s="20">
        <v>0</v>
      </c>
      <c r="G56" s="21">
        <f t="shared" ref="G56" si="23">SUM(D56:F56)</f>
        <v>0</v>
      </c>
      <c r="I56" s="20">
        <f>+'2014'!L56</f>
        <v>0</v>
      </c>
      <c r="J56" s="20">
        <v>0</v>
      </c>
      <c r="K56" s="20">
        <v>0</v>
      </c>
      <c r="L56" s="21">
        <f t="shared" si="21"/>
        <v>0</v>
      </c>
      <c r="M56" s="3"/>
      <c r="N56" s="20"/>
      <c r="O56" s="20">
        <v>0</v>
      </c>
      <c r="P56" s="20">
        <v>0</v>
      </c>
      <c r="Q56" s="21">
        <f t="shared" ref="Q56" si="24">SUM(N56:P56)</f>
        <v>0</v>
      </c>
      <c r="R56" s="3"/>
      <c r="S56" s="38"/>
      <c r="T56" s="3"/>
      <c r="U56" s="3"/>
      <c r="V56" s="14"/>
    </row>
    <row r="57" spans="2:22" x14ac:dyDescent="0.25">
      <c r="M57" s="3"/>
      <c r="R57" s="3"/>
      <c r="S57" s="38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-8197668.7700000005</v>
      </c>
      <c r="E58" s="21">
        <f>SUM(E44:E57)</f>
        <v>-100000</v>
      </c>
      <c r="F58" s="21">
        <f>SUM(F44:F57)</f>
        <v>295792.75</v>
      </c>
      <c r="G58" s="21">
        <f>SUM(G44:G57)</f>
        <v>-8001876.0200000005</v>
      </c>
      <c r="H58" s="9"/>
      <c r="I58" s="21">
        <f>SUM(I44:I57)</f>
        <v>2497164.7900000005</v>
      </c>
      <c r="J58" s="21">
        <f>SUM(J44:J57)</f>
        <v>165978.505</v>
      </c>
      <c r="K58" s="21">
        <f>SUM(K44:K57)</f>
        <v>-130167.64158413537</v>
      </c>
      <c r="L58" s="21">
        <f>SUM(L44:L57)</f>
        <v>2532975.6534158648</v>
      </c>
      <c r="N58" s="21">
        <f>SUM(N44:N57)</f>
        <v>-5700503.9800000004</v>
      </c>
      <c r="O58" s="21">
        <f>SUM(O44:O57)</f>
        <v>195792.75</v>
      </c>
      <c r="P58" s="21">
        <f>SUM(P44:P57)</f>
        <v>35810.863415864631</v>
      </c>
      <c r="Q58" s="21">
        <f>SUM(Q44:Q57)</f>
        <v>-5468900.3665841362</v>
      </c>
    </row>
    <row r="60" spans="2:22" x14ac:dyDescent="0.25">
      <c r="G60" s="4"/>
    </row>
    <row r="61" spans="2:22" x14ac:dyDescent="0.25">
      <c r="B61" t="s">
        <v>10</v>
      </c>
      <c r="D61" s="22">
        <f>+D22+D39+D58</f>
        <v>52082188.027999982</v>
      </c>
      <c r="E61" s="22">
        <f>+E22+E39+E58</f>
        <v>2163000</v>
      </c>
      <c r="F61" s="22">
        <f>+F22+F39+F58</f>
        <v>-1982714.4900000002</v>
      </c>
      <c r="G61" s="23">
        <f>+D61+E61+F61</f>
        <v>52262473.53799998</v>
      </c>
      <c r="I61" s="4">
        <f>+I22+I39+I58</f>
        <v>-25913481.095333334</v>
      </c>
      <c r="J61" s="4">
        <f>+J22+J39+J58</f>
        <v>-1208218.7903333334</v>
      </c>
      <c r="K61" s="4">
        <f>+K22+K39+K58</f>
        <v>1560210.0284158646</v>
      </c>
      <c r="L61" s="13">
        <f>+I61+J61+K61</f>
        <v>-25561489.857250802</v>
      </c>
      <c r="N61" s="4">
        <f>+N22+N39+N58</f>
        <v>26168706.932666663</v>
      </c>
      <c r="O61" s="4">
        <f>+O22+O39+O58</f>
        <v>180285.50999999978</v>
      </c>
      <c r="P61" s="4">
        <f>+P22+P39+P58</f>
        <v>351991.23808253126</v>
      </c>
      <c r="Q61" s="13">
        <f>+N61+O61+P61</f>
        <v>26700983.680749197</v>
      </c>
    </row>
    <row r="62" spans="2:22" ht="15.75" thickBot="1" x14ac:dyDescent="0.3">
      <c r="B62" s="2" t="s">
        <v>61</v>
      </c>
      <c r="C62" s="2"/>
      <c r="D62" s="18">
        <f>+'2014'!G62</f>
        <v>0</v>
      </c>
      <c r="E62" s="18">
        <v>0</v>
      </c>
      <c r="F62" s="18">
        <v>0</v>
      </c>
      <c r="G62" s="19">
        <f>+D62+E62+F62</f>
        <v>0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0</v>
      </c>
      <c r="O62" s="18">
        <f>+E62+F62</f>
        <v>0</v>
      </c>
      <c r="P62" s="18">
        <f>+J62+K62</f>
        <v>0</v>
      </c>
      <c r="Q62" s="18">
        <f>+N62+O62+P62</f>
        <v>0</v>
      </c>
    </row>
    <row r="63" spans="2:22" x14ac:dyDescent="0.25">
      <c r="L63"/>
    </row>
    <row r="64" spans="2:22" ht="15.75" thickBot="1" x14ac:dyDescent="0.3">
      <c r="B64" s="10" t="s">
        <v>64</v>
      </c>
      <c r="C64" s="2"/>
      <c r="D64" s="19">
        <f>+D61+D62</f>
        <v>52082188.027999982</v>
      </c>
      <c r="E64" s="19">
        <f>+E61+E62</f>
        <v>2163000</v>
      </c>
      <c r="F64" s="19">
        <f>+F61+F62</f>
        <v>-1982714.4900000002</v>
      </c>
      <c r="G64" s="19">
        <f>+G61+G62</f>
        <v>52262473.53799998</v>
      </c>
      <c r="I64" s="19">
        <f>+I61+I62</f>
        <v>-25913481.095333334</v>
      </c>
      <c r="J64" s="19">
        <f>+J61+J62</f>
        <v>-1208218.7903333334</v>
      </c>
      <c r="K64" s="19">
        <f>+K61+K62</f>
        <v>1560210.0284158646</v>
      </c>
      <c r="L64" s="19">
        <f>+L61+L62</f>
        <v>-25561489.857250802</v>
      </c>
      <c r="N64" s="19">
        <f>+N61+N62</f>
        <v>26168706.932666663</v>
      </c>
      <c r="O64" s="19">
        <f>+O61+O62</f>
        <v>180285.50999999978</v>
      </c>
      <c r="P64" s="19">
        <f>+P61+P62</f>
        <v>351991.23808253126</v>
      </c>
      <c r="Q64" s="19">
        <f>+Q61+Q62</f>
        <v>26700983.680749197</v>
      </c>
    </row>
    <row r="65" spans="3:17" x14ac:dyDescent="0.25">
      <c r="G65"/>
      <c r="L65"/>
      <c r="Q65"/>
    </row>
    <row r="66" spans="3:17" x14ac:dyDescent="0.25">
      <c r="G66" s="22"/>
      <c r="L66"/>
      <c r="Q66"/>
    </row>
    <row r="67" spans="3:17" x14ac:dyDescent="0.25">
      <c r="G67"/>
      <c r="L67"/>
      <c r="Q67"/>
    </row>
    <row r="68" spans="3:17" x14ac:dyDescent="0.25">
      <c r="C68" t="s">
        <v>104</v>
      </c>
      <c r="D68" s="5">
        <f>+F17+K17+F53+K53</f>
        <v>-422504.46158413566</v>
      </c>
      <c r="G68"/>
      <c r="L68"/>
      <c r="Q68"/>
    </row>
    <row r="69" spans="3:17" x14ac:dyDescent="0.25">
      <c r="G69"/>
      <c r="L69"/>
      <c r="Q69"/>
    </row>
    <row r="70" spans="3:17" x14ac:dyDescent="0.25">
      <c r="G70"/>
      <c r="L70"/>
      <c r="Q70"/>
    </row>
    <row r="71" spans="3:17" x14ac:dyDescent="0.25">
      <c r="G71"/>
      <c r="L71"/>
      <c r="Q71"/>
    </row>
    <row r="72" spans="3:17" x14ac:dyDescent="0.25">
      <c r="G72"/>
      <c r="L72"/>
      <c r="Q72"/>
    </row>
    <row r="73" spans="3:17" x14ac:dyDescent="0.25">
      <c r="E73" s="22"/>
    </row>
    <row r="75" spans="3:17" x14ac:dyDescent="0.25">
      <c r="E75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8:D17 B21:Q24 B18:D18 B38:Q44 B36:D36 H17:I17 B19:D20 F20:I20 F18:I18 B27:I27 B25:D25 F25:I25 B31:D31 B28 F28:I28 B29:D29 F29:I29 B30:D30 F30:I30 F31:I31 B32:D32 F32:I32 B33:D33 F33:I33 B57:Q60 B45:D56 F56:Q56 F8:I8 K8:Q8 F9:I9 K9:Q9 F10:I10 K10:Q10 F11:I11 K11:Q11 F12:I12 K12:Q12 F13:I13 K13:Q13 F14:I14 K14:Q14 F15:I15 K15:Q15 F16:I16 K16:Q16 L17:Q17 K18 F19:I19 K19:M19 K20:M20 K25:Q25 B26:D26 K26:Q26 K27:Q27 K28:Q28 K29:Q29 K30:Q30 K31:Q31 K32:P32 K33:P33 B34:I34 K34:P34 B35:I35 K35:P35 K36:P36 B37:D37 K37:Q37 F45:I45 K45:Q45 F46:I46 K46:Q46 F47:I47 K47:Q47 F48:I48 K48:Q48 F49:I49 K49:Q49 F50:I50 K50:Q50 F51:I51 K51:Q51 F52:I52 K52:Q52 G53:I53 L53:Q53 F54:I54 K54:Q54 B69:Q71 B68 E68:Q68 B63:Q64 B61:E61 G61:Q61 O19:Q19 O20:Q20 D28 B62:C62 E62:Q62 B67:Q67 B65:F65 H65:Q65 B66:F66 H66:Q66 F55:I55 K55:Q55 F36:I36 F37:I37 F26:I26" numberStoredAsText="1"/>
    <ignoredError sqref="L18:Q18 Q32:Q36" numberStoredAsText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5"/>
  <sheetViews>
    <sheetView topLeftCell="C34" workbookViewId="0">
      <selection activeCell="E29" sqref="E29"/>
    </sheetView>
  </sheetViews>
  <sheetFormatPr defaultRowHeight="15" x14ac:dyDescent="0.25"/>
  <cols>
    <col min="1" max="1" width="12" customWidth="1"/>
    <col min="2" max="2" width="9.5703125" bestFit="1" customWidth="1"/>
    <col min="3" max="3" width="35.42578125" bestFit="1" customWidth="1"/>
    <col min="4" max="5" width="14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2" max="12" width="15" style="9" bestFit="1" customWidth="1"/>
    <col min="13" max="13" width="2.7109375" customWidth="1"/>
    <col min="14" max="14" width="14.28515625" bestFit="1" customWidth="1"/>
    <col min="15" max="15" width="13.28515625" bestFit="1" customWidth="1"/>
    <col min="16" max="16" width="14" bestFit="1" customWidth="1"/>
    <col min="17" max="17" width="14.28515625" style="9" bestFit="1" customWidth="1"/>
    <col min="19" max="19" width="11.5703125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B2" s="9" t="s">
        <v>78</v>
      </c>
      <c r="C2" s="9"/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f>+'2015'!G7</f>
        <v>7637.8779999999997</v>
      </c>
      <c r="E7" s="4">
        <v>0</v>
      </c>
      <c r="F7" s="4">
        <v>0</v>
      </c>
      <c r="G7" s="13">
        <f>SUM(D7:F7)</f>
        <v>7637.8779999999997</v>
      </c>
      <c r="H7" s="4"/>
      <c r="I7" s="4">
        <f>+'2015'!L7</f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19" si="0">+D7+I7</f>
        <v>7637.8779999999997</v>
      </c>
      <c r="O7" s="4">
        <f t="shared" ref="O7:O20" si="1">+E7+F7</f>
        <v>0</v>
      </c>
      <c r="P7" s="4">
        <f>+J7+K7</f>
        <v>0</v>
      </c>
      <c r="Q7" s="13">
        <f>SUM(N7:P7)</f>
        <v>7637.8779999999997</v>
      </c>
      <c r="R7" s="4"/>
    </row>
    <row r="8" spans="2:22" x14ac:dyDescent="0.25">
      <c r="B8" s="6" t="s">
        <v>12</v>
      </c>
      <c r="C8" t="s">
        <v>13</v>
      </c>
      <c r="D8" s="4">
        <f>+'2015'!G8</f>
        <v>850124.96</v>
      </c>
      <c r="E8" s="4">
        <v>0</v>
      </c>
      <c r="F8" s="4">
        <v>0</v>
      </c>
      <c r="G8" s="13">
        <f>SUM(D8:F8)</f>
        <v>850124.96</v>
      </c>
      <c r="H8" s="4"/>
      <c r="I8" s="4">
        <f>+'2015'!L8</f>
        <v>-834619.22000000009</v>
      </c>
      <c r="J8" s="4">
        <f>-[1]Summary!$J7</f>
        <v>-835.9</v>
      </c>
      <c r="K8" s="4">
        <v>0</v>
      </c>
      <c r="L8" s="13">
        <f>SUM(I8:K8)</f>
        <v>-835455.12000000011</v>
      </c>
      <c r="M8" s="4"/>
      <c r="N8" s="4">
        <f t="shared" si="0"/>
        <v>15505.739999999874</v>
      </c>
      <c r="O8" s="4">
        <f t="shared" si="1"/>
        <v>0</v>
      </c>
      <c r="P8" s="4">
        <f>+J8+K8</f>
        <v>-835.9</v>
      </c>
      <c r="Q8" s="13">
        <f>SUM(N8:P8)</f>
        <v>14669.839999999875</v>
      </c>
      <c r="R8" s="4"/>
    </row>
    <row r="9" spans="2:22" x14ac:dyDescent="0.25">
      <c r="B9" t="s">
        <v>14</v>
      </c>
      <c r="C9" t="s">
        <v>15</v>
      </c>
      <c r="D9" s="4">
        <f>+'2015'!G9</f>
        <v>9597945.959999999</v>
      </c>
      <c r="E9" s="4">
        <v>334952</v>
      </c>
      <c r="F9" s="4">
        <v>0</v>
      </c>
      <c r="G9" s="13">
        <f t="shared" ref="G9:G38" si="2">SUM(D9:F9)</f>
        <v>9932897.959999999</v>
      </c>
      <c r="H9" s="4"/>
      <c r="I9" s="4">
        <f>+'2015'!L9</f>
        <v>-4397080.1900000004</v>
      </c>
      <c r="J9" s="4">
        <f>-[1]Summary!$J8</f>
        <v>-145530.04999999996</v>
      </c>
      <c r="K9" s="4">
        <v>0</v>
      </c>
      <c r="L9" s="13">
        <f t="shared" ref="L9:L38" si="3">SUM(I9:K9)</f>
        <v>-4542610.24</v>
      </c>
      <c r="M9" s="4"/>
      <c r="N9" s="4">
        <f t="shared" si="0"/>
        <v>5200865.7699999986</v>
      </c>
      <c r="O9" s="4">
        <f t="shared" si="1"/>
        <v>334952</v>
      </c>
      <c r="P9" s="4">
        <f t="shared" ref="P9:P38" si="4">+J9+K9</f>
        <v>-145530.04999999996</v>
      </c>
      <c r="Q9" s="13">
        <f t="shared" ref="Q9:Q38" si="5">SUM(N9:P9)</f>
        <v>5390287.7199999988</v>
      </c>
      <c r="R9" s="4"/>
    </row>
    <row r="10" spans="2:22" x14ac:dyDescent="0.25">
      <c r="B10" t="s">
        <v>16</v>
      </c>
      <c r="C10" t="s">
        <v>17</v>
      </c>
      <c r="D10" s="4">
        <f>+'2015'!G10</f>
        <v>8415236.2599999998</v>
      </c>
      <c r="E10" s="4">
        <v>275061</v>
      </c>
      <c r="F10" s="4">
        <v>0</v>
      </c>
      <c r="G10" s="13">
        <f t="shared" si="2"/>
        <v>8690297.2599999998</v>
      </c>
      <c r="H10" s="4"/>
      <c r="I10" s="4">
        <f>+'2015'!L10</f>
        <v>-4232761.165</v>
      </c>
      <c r="J10" s="4">
        <f>-[1]Summary!$J9</f>
        <v>-84213.865000000005</v>
      </c>
      <c r="K10" s="4">
        <v>0</v>
      </c>
      <c r="L10" s="13">
        <f t="shared" si="3"/>
        <v>-4316975.03</v>
      </c>
      <c r="M10" s="4"/>
      <c r="N10" s="4">
        <f t="shared" si="0"/>
        <v>4182475.0949999997</v>
      </c>
      <c r="O10" s="4">
        <f t="shared" si="1"/>
        <v>275061</v>
      </c>
      <c r="P10" s="4">
        <f t="shared" si="4"/>
        <v>-84213.865000000005</v>
      </c>
      <c r="Q10" s="13">
        <f t="shared" si="5"/>
        <v>4373322.2299999995</v>
      </c>
      <c r="R10" s="4"/>
    </row>
    <row r="11" spans="2:22" x14ac:dyDescent="0.25">
      <c r="B11" t="s">
        <v>18</v>
      </c>
      <c r="C11" t="s">
        <v>19</v>
      </c>
      <c r="D11" s="4">
        <f>+'2015'!G11</f>
        <v>5349964.6899999995</v>
      </c>
      <c r="E11" s="4">
        <v>337123</v>
      </c>
      <c r="F11" s="4">
        <v>0</v>
      </c>
      <c r="G11" s="13">
        <f t="shared" si="2"/>
        <v>5687087.6899999995</v>
      </c>
      <c r="H11" s="4"/>
      <c r="I11" s="4">
        <f>+'2015'!L11</f>
        <v>-2284381.9249999998</v>
      </c>
      <c r="J11" s="4">
        <f>-[1]Summary!$J10</f>
        <v>-111972.85999999999</v>
      </c>
      <c r="K11" s="4">
        <v>0</v>
      </c>
      <c r="L11" s="13">
        <f t="shared" si="3"/>
        <v>-2396354.7849999997</v>
      </c>
      <c r="M11" s="4"/>
      <c r="N11" s="4">
        <f t="shared" si="0"/>
        <v>3065582.7649999997</v>
      </c>
      <c r="O11" s="4">
        <f t="shared" si="1"/>
        <v>337123</v>
      </c>
      <c r="P11" s="4">
        <f t="shared" si="4"/>
        <v>-111972.85999999999</v>
      </c>
      <c r="Q11" s="13">
        <f t="shared" si="5"/>
        <v>3290732.9049999998</v>
      </c>
      <c r="R11" s="4"/>
    </row>
    <row r="12" spans="2:22" x14ac:dyDescent="0.25">
      <c r="B12" t="s">
        <v>20</v>
      </c>
      <c r="C12" t="s">
        <v>21</v>
      </c>
      <c r="D12" s="4">
        <f>+'2015'!G12</f>
        <v>9468643.2300000004</v>
      </c>
      <c r="E12" s="4">
        <v>290634</v>
      </c>
      <c r="F12" s="4">
        <v>0</v>
      </c>
      <c r="G12" s="13">
        <f t="shared" si="2"/>
        <v>9759277.2300000004</v>
      </c>
      <c r="H12" s="4"/>
      <c r="I12" s="4">
        <f>+'2015'!L12</f>
        <v>-4358612.6249999991</v>
      </c>
      <c r="J12" s="4">
        <f>-[1]Summary!$J11</f>
        <v>-167765.435</v>
      </c>
      <c r="K12" s="4">
        <v>0</v>
      </c>
      <c r="L12" s="13">
        <f t="shared" si="3"/>
        <v>-4526378.0599999987</v>
      </c>
      <c r="M12" s="4"/>
      <c r="N12" s="4">
        <f t="shared" si="0"/>
        <v>5110030.6050000014</v>
      </c>
      <c r="O12" s="4">
        <f t="shared" si="1"/>
        <v>290634</v>
      </c>
      <c r="P12" s="4">
        <f t="shared" si="4"/>
        <v>-167765.435</v>
      </c>
      <c r="Q12" s="13">
        <f t="shared" si="5"/>
        <v>5232899.1700000018</v>
      </c>
      <c r="R12" s="4"/>
    </row>
    <row r="13" spans="2:22" x14ac:dyDescent="0.25">
      <c r="B13" t="s">
        <v>22</v>
      </c>
      <c r="C13" t="s">
        <v>23</v>
      </c>
      <c r="D13" s="4">
        <f>+'2015'!G13</f>
        <v>2673659.46</v>
      </c>
      <c r="E13" s="4">
        <v>276946</v>
      </c>
      <c r="F13" s="4">
        <v>0</v>
      </c>
      <c r="G13" s="13">
        <f t="shared" si="2"/>
        <v>2950605.46</v>
      </c>
      <c r="H13" s="4"/>
      <c r="I13" s="4">
        <f>+'2015'!L13</f>
        <v>-487707.06</v>
      </c>
      <c r="J13" s="4">
        <f>-[1]Summary!$J12</f>
        <v>-67336.085000000006</v>
      </c>
      <c r="K13" s="4">
        <v>0</v>
      </c>
      <c r="L13" s="13">
        <f t="shared" si="3"/>
        <v>-555043.14500000002</v>
      </c>
      <c r="M13" s="4"/>
      <c r="N13" s="4">
        <f t="shared" si="0"/>
        <v>2185952.4</v>
      </c>
      <c r="O13" s="4">
        <f t="shared" si="1"/>
        <v>276946</v>
      </c>
      <c r="P13" s="4">
        <f t="shared" si="4"/>
        <v>-67336.085000000006</v>
      </c>
      <c r="Q13" s="13">
        <f t="shared" si="5"/>
        <v>2395562.3149999999</v>
      </c>
      <c r="R13" s="4"/>
    </row>
    <row r="14" spans="2:22" x14ac:dyDescent="0.25">
      <c r="B14" t="s">
        <v>24</v>
      </c>
      <c r="C14" t="s">
        <v>25</v>
      </c>
      <c r="D14" s="4">
        <f>+'2015'!G14</f>
        <v>7949073.9100000001</v>
      </c>
      <c r="E14" s="4">
        <v>118223</v>
      </c>
      <c r="F14" s="4">
        <v>0</v>
      </c>
      <c r="G14" s="27">
        <f t="shared" si="2"/>
        <v>8067296.9100000001</v>
      </c>
      <c r="H14" s="4"/>
      <c r="I14" s="4">
        <f>+'2015'!L14</f>
        <v>-5052888.26</v>
      </c>
      <c r="J14" s="4">
        <f>-[1]Summary!$J13</f>
        <v>-116460.02</v>
      </c>
      <c r="K14" s="4">
        <v>0</v>
      </c>
      <c r="L14" s="13">
        <f t="shared" si="3"/>
        <v>-5169348.2799999993</v>
      </c>
      <c r="M14" s="4"/>
      <c r="N14" s="4">
        <f t="shared" si="0"/>
        <v>2896185.6500000004</v>
      </c>
      <c r="O14" s="4">
        <f t="shared" si="1"/>
        <v>118223</v>
      </c>
      <c r="P14" s="4">
        <f t="shared" si="4"/>
        <v>-116460.02</v>
      </c>
      <c r="Q14" s="13">
        <f t="shared" si="5"/>
        <v>2897948.6300000004</v>
      </c>
      <c r="R14" s="4"/>
    </row>
    <row r="15" spans="2:22" x14ac:dyDescent="0.25">
      <c r="B15" t="s">
        <v>26</v>
      </c>
      <c r="C15" t="s">
        <v>27</v>
      </c>
      <c r="D15" s="4">
        <f>+'2015'!G15</f>
        <v>4498718.87</v>
      </c>
      <c r="E15" s="4">
        <v>114288</v>
      </c>
      <c r="F15" s="4">
        <v>0</v>
      </c>
      <c r="G15" s="13">
        <f t="shared" si="2"/>
        <v>4613006.87</v>
      </c>
      <c r="H15" s="4"/>
      <c r="I15" s="4">
        <f>+'2015'!L15</f>
        <v>-2404276.5150000001</v>
      </c>
      <c r="J15" s="4">
        <f>-[1]Summary!$J14</f>
        <v>-69723.67</v>
      </c>
      <c r="K15" s="4">
        <v>0</v>
      </c>
      <c r="L15" s="13">
        <f t="shared" si="3"/>
        <v>-2474000.1850000001</v>
      </c>
      <c r="M15" s="4"/>
      <c r="N15" s="4">
        <f t="shared" si="0"/>
        <v>2094442.355</v>
      </c>
      <c r="O15" s="4">
        <f t="shared" si="1"/>
        <v>114288</v>
      </c>
      <c r="P15" s="4">
        <f t="shared" si="4"/>
        <v>-69723.67</v>
      </c>
      <c r="Q15" s="13">
        <f t="shared" si="5"/>
        <v>2139006.6850000001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+'2015'!G16</f>
        <v>1297032.95</v>
      </c>
      <c r="E16" s="4">
        <v>29764</v>
      </c>
      <c r="F16" s="4">
        <v>0</v>
      </c>
      <c r="G16" s="27">
        <f t="shared" si="2"/>
        <v>1326796.95</v>
      </c>
      <c r="H16" s="4"/>
      <c r="I16" s="4">
        <f>+'2015'!L16</f>
        <v>-302990.41500000004</v>
      </c>
      <c r="J16" s="4">
        <f>-[1]Summary!$J15</f>
        <v>-30811.040000000001</v>
      </c>
      <c r="K16" s="4">
        <v>0</v>
      </c>
      <c r="L16" s="13">
        <f t="shared" si="3"/>
        <v>-333801.45500000002</v>
      </c>
      <c r="M16" s="4"/>
      <c r="N16" s="4">
        <f t="shared" si="0"/>
        <v>994042.53499999992</v>
      </c>
      <c r="O16" s="4">
        <f t="shared" si="1"/>
        <v>29764</v>
      </c>
      <c r="P16" s="4">
        <f t="shared" si="4"/>
        <v>-30811.040000000001</v>
      </c>
      <c r="Q16" s="13">
        <f t="shared" si="5"/>
        <v>992995.49499999988</v>
      </c>
      <c r="R16" s="4"/>
      <c r="U16" s="26"/>
    </row>
    <row r="17" spans="1:22" x14ac:dyDescent="0.25">
      <c r="B17" t="s">
        <v>30</v>
      </c>
      <c r="C17" t="s">
        <v>31</v>
      </c>
      <c r="D17" s="4">
        <f>+'2015'!G17</f>
        <v>0</v>
      </c>
      <c r="E17" s="4">
        <v>0</v>
      </c>
      <c r="F17" s="4">
        <v>0</v>
      </c>
      <c r="G17" s="13">
        <f t="shared" si="2"/>
        <v>0</v>
      </c>
      <c r="H17" s="4"/>
      <c r="I17" s="4">
        <f>+'2015'!L17</f>
        <v>0</v>
      </c>
      <c r="J17" s="4">
        <f>-[1]Summary!$J16</f>
        <v>0</v>
      </c>
      <c r="K17" s="4">
        <v>0</v>
      </c>
      <c r="L17" s="13">
        <f t="shared" si="3"/>
        <v>0</v>
      </c>
      <c r="M17" s="4"/>
      <c r="N17" s="4">
        <f t="shared" si="0"/>
        <v>0</v>
      </c>
      <c r="O17" s="4">
        <f t="shared" si="1"/>
        <v>0</v>
      </c>
      <c r="P17" s="4">
        <f t="shared" si="4"/>
        <v>0</v>
      </c>
      <c r="Q17" s="13">
        <f t="shared" si="5"/>
        <v>0</v>
      </c>
      <c r="R17" s="4"/>
      <c r="T17" s="5">
        <f>+N17</f>
        <v>0</v>
      </c>
      <c r="U17" s="26">
        <f>+T17/T19</f>
        <v>0</v>
      </c>
      <c r="V17" s="13">
        <f>+U17*N53</f>
        <v>0</v>
      </c>
    </row>
    <row r="18" spans="1:22" x14ac:dyDescent="0.25">
      <c r="B18" s="1">
        <v>1860.15</v>
      </c>
      <c r="C18" t="s">
        <v>55</v>
      </c>
      <c r="D18" s="4">
        <f>+'2015'!G18</f>
        <v>3173335.79</v>
      </c>
      <c r="E18" s="4">
        <f>12518+491</f>
        <v>13009</v>
      </c>
      <c r="F18" s="4"/>
      <c r="G18" s="13">
        <f t="shared" si="2"/>
        <v>3186344.79</v>
      </c>
      <c r="H18" s="4"/>
      <c r="I18" s="4">
        <f>+'2015'!L18</f>
        <v>-1203845.94</v>
      </c>
      <c r="J18" s="4">
        <f>-[1]Summary!$J17</f>
        <v>-212422.98999999996</v>
      </c>
      <c r="K18" s="4">
        <v>0</v>
      </c>
      <c r="L18" s="13">
        <f t="shared" ref="L18" si="6">SUM(I18:K18)</f>
        <v>-1416268.93</v>
      </c>
      <c r="M18" s="4"/>
      <c r="N18" s="4">
        <f t="shared" si="0"/>
        <v>1969489.85</v>
      </c>
      <c r="O18" s="4">
        <f t="shared" si="1"/>
        <v>13009</v>
      </c>
      <c r="P18" s="4">
        <f t="shared" si="4"/>
        <v>-212422.98999999996</v>
      </c>
      <c r="Q18" s="13">
        <f t="shared" ref="Q18" si="7">SUM(N18:P18)</f>
        <v>1770075.86</v>
      </c>
      <c r="R18" s="4"/>
      <c r="T18" s="5">
        <f>+N19</f>
        <v>53413.920000000006</v>
      </c>
      <c r="U18" s="26">
        <f>+T18/T19</f>
        <v>1</v>
      </c>
      <c r="V18" s="13">
        <f>+N53-V17</f>
        <v>0</v>
      </c>
    </row>
    <row r="19" spans="1:22" x14ac:dyDescent="0.25">
      <c r="B19" t="s">
        <v>32</v>
      </c>
      <c r="C19" t="s">
        <v>33</v>
      </c>
      <c r="D19" s="4">
        <f>+'2015'!G19</f>
        <v>94211.66</v>
      </c>
      <c r="E19" s="4">
        <v>0</v>
      </c>
      <c r="F19" s="4">
        <v>0</v>
      </c>
      <c r="G19" s="13">
        <f t="shared" si="2"/>
        <v>94211.66</v>
      </c>
      <c r="H19" s="4"/>
      <c r="I19" s="4">
        <f>+'2015'!L19</f>
        <v>-40797.74</v>
      </c>
      <c r="J19" s="4">
        <f>-[1]Summary!$J18</f>
        <v>-7065.9600000000009</v>
      </c>
      <c r="K19" s="4">
        <v>0</v>
      </c>
      <c r="L19" s="13">
        <f t="shared" si="3"/>
        <v>-47863.7</v>
      </c>
      <c r="M19" s="4"/>
      <c r="N19" s="4">
        <f t="shared" si="0"/>
        <v>53413.920000000006</v>
      </c>
      <c r="O19" s="4">
        <f t="shared" si="1"/>
        <v>0</v>
      </c>
      <c r="P19" s="4">
        <f t="shared" si="4"/>
        <v>-7065.9600000000009</v>
      </c>
      <c r="Q19" s="13">
        <f t="shared" si="5"/>
        <v>46347.960000000006</v>
      </c>
      <c r="R19" s="4"/>
      <c r="T19" s="5">
        <f>+T17+T18</f>
        <v>53413.920000000006</v>
      </c>
      <c r="U19" s="26"/>
    </row>
    <row r="20" spans="1:22" ht="15.75" thickBot="1" x14ac:dyDescent="0.3">
      <c r="B20" s="2" t="s">
        <v>34</v>
      </c>
      <c r="C20" s="2" t="s">
        <v>35</v>
      </c>
      <c r="D20" s="18">
        <f>+'2015'!G20</f>
        <v>73618.78</v>
      </c>
      <c r="E20" s="18">
        <v>0</v>
      </c>
      <c r="F20" s="18">
        <v>0</v>
      </c>
      <c r="G20" s="19">
        <f t="shared" si="2"/>
        <v>73618.78</v>
      </c>
      <c r="H20" s="18"/>
      <c r="I20" s="18">
        <f>+'2015'!L20</f>
        <v>-20359.749999999996</v>
      </c>
      <c r="J20" s="18">
        <f>-[1]Summary!$J19</f>
        <v>-2385.3000000000002</v>
      </c>
      <c r="K20" s="18">
        <v>0</v>
      </c>
      <c r="L20" s="19">
        <f t="shared" si="3"/>
        <v>-22745.049999999996</v>
      </c>
      <c r="M20" s="18"/>
      <c r="N20" s="18">
        <f>+'2013'!Q20</f>
        <v>58029.63</v>
      </c>
      <c r="O20" s="18">
        <f t="shared" si="1"/>
        <v>0</v>
      </c>
      <c r="P20" s="18">
        <f t="shared" si="4"/>
        <v>-2385.3000000000002</v>
      </c>
      <c r="Q20" s="19">
        <f t="shared" si="5"/>
        <v>55644.329999999994</v>
      </c>
      <c r="R20" s="18"/>
      <c r="V20" s="13">
        <f>+V17+V18</f>
        <v>0</v>
      </c>
    </row>
    <row r="21" spans="1:22" x14ac:dyDescent="0.25">
      <c r="D21" s="4"/>
      <c r="E21" s="4"/>
      <c r="F21" s="4"/>
      <c r="G21" s="13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1:22" s="9" customFormat="1" ht="15.75" thickBot="1" x14ac:dyDescent="0.3">
      <c r="A22"/>
      <c r="B22" s="10" t="s">
        <v>57</v>
      </c>
      <c r="C22" s="10"/>
      <c r="D22" s="19">
        <f>SUM(D7:D21)</f>
        <v>53449204.398000002</v>
      </c>
      <c r="E22" s="19">
        <f>SUM(E7:E21)</f>
        <v>1790000</v>
      </c>
      <c r="F22" s="19">
        <f>SUM(F7:F21)</f>
        <v>0</v>
      </c>
      <c r="G22" s="19">
        <f>SUM(G7:G21)</f>
        <v>55239204.398000002</v>
      </c>
      <c r="H22" s="19"/>
      <c r="I22" s="19">
        <f>SUM(I7:I21)</f>
        <v>-25620320.805</v>
      </c>
      <c r="J22" s="19">
        <f>SUM(J7:J21)</f>
        <v>-1016523.175</v>
      </c>
      <c r="K22" s="19">
        <f>SUM(K7:K21)</f>
        <v>0</v>
      </c>
      <c r="L22" s="19">
        <f>SUM(L7:L21)</f>
        <v>-26636843.979999993</v>
      </c>
      <c r="M22" s="19"/>
      <c r="N22" s="19">
        <f>SUM(N7:N21)</f>
        <v>27833654.193</v>
      </c>
      <c r="O22" s="19">
        <f>SUM(O7:O21)</f>
        <v>1790000</v>
      </c>
      <c r="P22" s="19">
        <f>SUM(P7:P21)</f>
        <v>-1016523.175</v>
      </c>
      <c r="Q22" s="19">
        <f>SUM(Q7:Q21)</f>
        <v>28607131.017999999</v>
      </c>
      <c r="R22" s="19"/>
    </row>
    <row r="23" spans="1:22" x14ac:dyDescent="0.25">
      <c r="D23" s="4"/>
      <c r="E23" s="4"/>
      <c r="F23" s="4"/>
      <c r="G23" s="13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1:22" x14ac:dyDescent="0.25">
      <c r="D24" s="4"/>
      <c r="E24" s="4"/>
      <c r="F24" s="4"/>
      <c r="G24" s="13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1:22" x14ac:dyDescent="0.25">
      <c r="B25" s="31">
        <v>1905</v>
      </c>
      <c r="C25" t="s">
        <v>56</v>
      </c>
      <c r="D25" s="4">
        <f>+'2015'!G25</f>
        <v>174187.53</v>
      </c>
      <c r="E25" s="4">
        <v>0</v>
      </c>
      <c r="F25" s="4">
        <v>0</v>
      </c>
      <c r="G25" s="13">
        <f t="shared" ref="G25" si="8">SUM(D25:F25)</f>
        <v>174187.53</v>
      </c>
      <c r="H25" s="4"/>
      <c r="I25" s="4">
        <f>+'2015'!L25</f>
        <v>0</v>
      </c>
      <c r="J25" s="4">
        <v>0</v>
      </c>
      <c r="K25" s="4">
        <v>0</v>
      </c>
      <c r="L25" s="13">
        <f t="shared" ref="L25" si="9">SUM(I25:K25)</f>
        <v>0</v>
      </c>
      <c r="M25" s="4"/>
      <c r="N25" s="4">
        <f t="shared" ref="N25:N38" si="10">+D25+I25</f>
        <v>174187.53</v>
      </c>
      <c r="O25" s="4">
        <f t="shared" ref="O25:O38" si="11">+E25+F25</f>
        <v>0</v>
      </c>
      <c r="P25" s="4">
        <f t="shared" ref="P25" si="12">+J25+K25</f>
        <v>0</v>
      </c>
      <c r="Q25" s="13">
        <f t="shared" ref="Q25" si="13">SUM(N25:P25)</f>
        <v>174187.53</v>
      </c>
      <c r="R25" s="4"/>
    </row>
    <row r="26" spans="1:22" x14ac:dyDescent="0.25">
      <c r="B26" s="32" t="s">
        <v>36</v>
      </c>
      <c r="C26" t="s">
        <v>37</v>
      </c>
      <c r="D26" s="4">
        <f>+'2015'!G26</f>
        <v>2596552.27</v>
      </c>
      <c r="E26" s="4">
        <v>115000</v>
      </c>
      <c r="F26" s="4">
        <v>0</v>
      </c>
      <c r="G26" s="13">
        <f t="shared" si="2"/>
        <v>2711552.27</v>
      </c>
      <c r="H26" s="4"/>
      <c r="I26" s="4">
        <f>+'2015'!L26</f>
        <v>-1046039.1950000001</v>
      </c>
      <c r="J26" s="4">
        <f>-[1]Summary!$J20</f>
        <v>-39755.174999999996</v>
      </c>
      <c r="K26" s="4">
        <v>0</v>
      </c>
      <c r="L26" s="13">
        <f t="shared" si="3"/>
        <v>-1085794.3700000001</v>
      </c>
      <c r="M26" s="4"/>
      <c r="N26" s="4">
        <f t="shared" si="10"/>
        <v>1550513.075</v>
      </c>
      <c r="O26" s="4">
        <f t="shared" si="11"/>
        <v>115000</v>
      </c>
      <c r="P26" s="4">
        <f t="shared" si="4"/>
        <v>-39755.174999999996</v>
      </c>
      <c r="Q26" s="13">
        <f t="shared" si="5"/>
        <v>1625757.9</v>
      </c>
      <c r="R26" s="4"/>
    </row>
    <row r="27" spans="1:22" x14ac:dyDescent="0.25">
      <c r="B27" s="32" t="s">
        <v>38</v>
      </c>
      <c r="C27" t="s">
        <v>39</v>
      </c>
      <c r="D27" s="4">
        <f>+'2015'!G27</f>
        <v>22164.09</v>
      </c>
      <c r="E27" s="4">
        <v>0</v>
      </c>
      <c r="F27" s="4">
        <v>0</v>
      </c>
      <c r="G27" s="13">
        <f t="shared" si="2"/>
        <v>22164.09</v>
      </c>
      <c r="H27" s="4"/>
      <c r="I27" s="4">
        <f>+'2015'!L27</f>
        <v>-8783.9500000000007</v>
      </c>
      <c r="J27" s="4">
        <f>-[1]Summary!$J21</f>
        <v>-2362.7600000000002</v>
      </c>
      <c r="K27" s="4">
        <v>0</v>
      </c>
      <c r="L27" s="13">
        <f t="shared" si="3"/>
        <v>-11146.710000000001</v>
      </c>
      <c r="M27" s="4"/>
      <c r="N27" s="4">
        <f t="shared" si="10"/>
        <v>13380.14</v>
      </c>
      <c r="O27" s="4">
        <f t="shared" si="11"/>
        <v>0</v>
      </c>
      <c r="P27" s="4">
        <f t="shared" si="4"/>
        <v>-2362.7600000000002</v>
      </c>
      <c r="Q27" s="13">
        <f t="shared" si="5"/>
        <v>11017.38</v>
      </c>
      <c r="R27" s="4"/>
    </row>
    <row r="28" spans="1:22" x14ac:dyDescent="0.25">
      <c r="B28" s="32" t="s">
        <v>40</v>
      </c>
      <c r="C28" t="s">
        <v>105</v>
      </c>
      <c r="D28" s="4">
        <f>+'2015'!G28</f>
        <v>211936.87</v>
      </c>
      <c r="E28" s="4">
        <v>60000</v>
      </c>
      <c r="F28" s="4">
        <v>0</v>
      </c>
      <c r="G28" s="27">
        <f t="shared" si="2"/>
        <v>271936.87</v>
      </c>
      <c r="H28" s="4"/>
      <c r="I28" s="4">
        <f>+'2015'!L28</f>
        <v>-46274.559999999998</v>
      </c>
      <c r="J28" s="4">
        <f>-[1]Summary!$J22</f>
        <v>-24193.64</v>
      </c>
      <c r="K28" s="4">
        <v>0</v>
      </c>
      <c r="L28" s="13">
        <f t="shared" si="3"/>
        <v>-70468.2</v>
      </c>
      <c r="M28" s="4"/>
      <c r="N28" s="4">
        <f t="shared" si="10"/>
        <v>165662.31</v>
      </c>
      <c r="O28" s="4">
        <f t="shared" si="11"/>
        <v>60000</v>
      </c>
      <c r="P28" s="4">
        <f t="shared" si="4"/>
        <v>-24193.64</v>
      </c>
      <c r="Q28" s="13">
        <f t="shared" si="5"/>
        <v>201468.66999999998</v>
      </c>
      <c r="R28" s="4"/>
    </row>
    <row r="29" spans="1:22" x14ac:dyDescent="0.25">
      <c r="B29" s="32" t="s">
        <v>42</v>
      </c>
      <c r="C29" t="s">
        <v>43</v>
      </c>
      <c r="D29" s="4">
        <f>+'2015'!G29</f>
        <v>407056.8</v>
      </c>
      <c r="E29" s="4">
        <v>47000</v>
      </c>
      <c r="F29" s="4">
        <v>0</v>
      </c>
      <c r="G29" s="13">
        <f t="shared" si="2"/>
        <v>454056.8</v>
      </c>
      <c r="H29" s="4"/>
      <c r="I29" s="4">
        <f>+'2015'!L29</f>
        <v>-234887.76999999996</v>
      </c>
      <c r="J29" s="4">
        <f>-[1]Summary!$J23</f>
        <v>-76416.300000000017</v>
      </c>
      <c r="K29" s="4">
        <v>0</v>
      </c>
      <c r="L29" s="13">
        <f t="shared" si="3"/>
        <v>-311304.06999999995</v>
      </c>
      <c r="M29" s="4"/>
      <c r="N29" s="4">
        <f t="shared" si="10"/>
        <v>172169.03000000003</v>
      </c>
      <c r="O29" s="4">
        <f t="shared" si="11"/>
        <v>47000</v>
      </c>
      <c r="P29" s="4">
        <f t="shared" si="4"/>
        <v>-76416.300000000017</v>
      </c>
      <c r="Q29" s="13">
        <f t="shared" si="5"/>
        <v>142752.73000000001</v>
      </c>
      <c r="R29" s="4"/>
    </row>
    <row r="30" spans="1:22" x14ac:dyDescent="0.25">
      <c r="B30" s="32" t="s">
        <v>44</v>
      </c>
      <c r="C30" t="s">
        <v>45</v>
      </c>
      <c r="D30" s="4">
        <f>+'2015'!G30</f>
        <v>227601.22999999998</v>
      </c>
      <c r="E30" s="4">
        <f>84000-25000</f>
        <v>59000</v>
      </c>
      <c r="F30" s="4">
        <v>0</v>
      </c>
      <c r="G30" s="13">
        <f t="shared" si="2"/>
        <v>286601.23</v>
      </c>
      <c r="H30" s="4"/>
      <c r="I30" s="4">
        <f>+'2015'!L30</f>
        <v>-161094.59999999998</v>
      </c>
      <c r="J30" s="4">
        <f>-[1]Summary!$J24</f>
        <v>-29679.629999999997</v>
      </c>
      <c r="K30" s="4">
        <v>0</v>
      </c>
      <c r="L30" s="13">
        <f t="shared" si="3"/>
        <v>-190774.22999999998</v>
      </c>
      <c r="M30" s="4"/>
      <c r="N30" s="4">
        <f t="shared" si="10"/>
        <v>66506.63</v>
      </c>
      <c r="O30" s="4">
        <f t="shared" si="11"/>
        <v>59000</v>
      </c>
      <c r="P30" s="4">
        <f t="shared" si="4"/>
        <v>-29679.629999999997</v>
      </c>
      <c r="Q30" s="13">
        <f t="shared" si="5"/>
        <v>95827</v>
      </c>
      <c r="R30" s="4"/>
    </row>
    <row r="31" spans="1:22" x14ac:dyDescent="0.25">
      <c r="B31" s="32" t="s">
        <v>46</v>
      </c>
      <c r="C31" t="s">
        <v>47</v>
      </c>
      <c r="D31" s="4">
        <f>+'2015'!G31</f>
        <v>373134.18</v>
      </c>
      <c r="E31" s="4">
        <v>25000</v>
      </c>
      <c r="F31" s="4">
        <v>0</v>
      </c>
      <c r="G31" s="13">
        <f t="shared" si="2"/>
        <v>398134.18</v>
      </c>
      <c r="H31" s="4"/>
      <c r="I31" s="4">
        <f>+'2015'!L31</f>
        <v>-145253.68</v>
      </c>
      <c r="J31" s="4">
        <f>-[1]Summary!$J25</f>
        <v>-38563.42</v>
      </c>
      <c r="K31" s="4">
        <v>0</v>
      </c>
      <c r="L31" s="13">
        <f t="shared" si="3"/>
        <v>-183817.09999999998</v>
      </c>
      <c r="M31" s="4"/>
      <c r="N31" s="4">
        <f t="shared" si="10"/>
        <v>227880.5</v>
      </c>
      <c r="O31" s="4">
        <f t="shared" si="11"/>
        <v>25000</v>
      </c>
      <c r="P31" s="4">
        <f t="shared" si="4"/>
        <v>-38563.42</v>
      </c>
      <c r="Q31" s="13">
        <f t="shared" si="5"/>
        <v>214317.08000000002</v>
      </c>
      <c r="R31" s="4"/>
    </row>
    <row r="32" spans="1:22" x14ac:dyDescent="0.25">
      <c r="B32" s="31">
        <v>1930</v>
      </c>
      <c r="C32" t="s">
        <v>59</v>
      </c>
      <c r="D32" s="4">
        <f>+'2015'!G32</f>
        <v>1366215.54</v>
      </c>
      <c r="E32" s="4">
        <v>60000</v>
      </c>
      <c r="F32" s="4"/>
      <c r="G32" s="13">
        <f t="shared" si="2"/>
        <v>1426215.54</v>
      </c>
      <c r="H32" s="4"/>
      <c r="I32" s="4">
        <f>+'2015'!L32</f>
        <v>-410157.52066666662</v>
      </c>
      <c r="J32" s="4">
        <f>-[1]Summary!$J26</f>
        <v>-113176.60533333333</v>
      </c>
      <c r="K32" s="4"/>
      <c r="L32" s="13">
        <f t="shared" si="3"/>
        <v>-523334.12599999993</v>
      </c>
      <c r="M32" s="4"/>
      <c r="N32" s="4">
        <f t="shared" si="10"/>
        <v>956058.01933333348</v>
      </c>
      <c r="O32" s="4">
        <f t="shared" si="11"/>
        <v>60000</v>
      </c>
      <c r="P32" s="4">
        <f t="shared" si="4"/>
        <v>-113176.60533333333</v>
      </c>
      <c r="Q32" s="13">
        <f t="shared" ref="Q32" si="14">SUM(N32:P32)</f>
        <v>902881.41400000011</v>
      </c>
      <c r="R32" s="4"/>
    </row>
    <row r="33" spans="2:20" x14ac:dyDescent="0.25">
      <c r="B33" s="32" t="s">
        <v>48</v>
      </c>
      <c r="C33" t="s">
        <v>49</v>
      </c>
      <c r="D33" s="4">
        <f>+'2015'!G33</f>
        <v>448127.30000000005</v>
      </c>
      <c r="E33" s="4">
        <v>20000</v>
      </c>
      <c r="F33" s="4">
        <v>0</v>
      </c>
      <c r="G33" s="27">
        <f t="shared" si="2"/>
        <v>468127.30000000005</v>
      </c>
      <c r="H33" s="4"/>
      <c r="I33" s="4">
        <f>+'2015'!L33</f>
        <v>-169984.08</v>
      </c>
      <c r="J33" s="4">
        <f>-[1]Summary!$J27</f>
        <v>-45812.729999999996</v>
      </c>
      <c r="K33" s="4">
        <v>0</v>
      </c>
      <c r="L33" s="13">
        <f t="shared" si="3"/>
        <v>-215796.81</v>
      </c>
      <c r="M33" s="4"/>
      <c r="N33" s="4">
        <f t="shared" si="10"/>
        <v>278143.22000000009</v>
      </c>
      <c r="O33" s="4">
        <f t="shared" si="11"/>
        <v>20000</v>
      </c>
      <c r="P33" s="4">
        <f t="shared" si="4"/>
        <v>-45812.729999999996</v>
      </c>
      <c r="Q33" s="13">
        <f t="shared" si="5"/>
        <v>252330.49000000011</v>
      </c>
      <c r="R33" s="4"/>
    </row>
    <row r="34" spans="2:20" x14ac:dyDescent="0.25">
      <c r="B34" s="32" t="s">
        <v>50</v>
      </c>
      <c r="C34" t="s">
        <v>51</v>
      </c>
      <c r="D34" s="4">
        <f>+'2015'!G34</f>
        <v>12465.77</v>
      </c>
      <c r="E34" s="4">
        <v>0</v>
      </c>
      <c r="F34" s="4">
        <v>0</v>
      </c>
      <c r="G34" s="13">
        <f t="shared" si="2"/>
        <v>12465.77</v>
      </c>
      <c r="H34" s="4"/>
      <c r="I34" s="4">
        <f>+'2015'!L34</f>
        <v>-9972.5499999999993</v>
      </c>
      <c r="J34" s="4">
        <f>-[1]Summary!$J28</f>
        <v>-2493.17</v>
      </c>
      <c r="K34" s="4">
        <v>0</v>
      </c>
      <c r="L34" s="13">
        <f t="shared" si="3"/>
        <v>-12465.72</v>
      </c>
      <c r="M34" s="4"/>
      <c r="N34" s="4">
        <f t="shared" si="10"/>
        <v>2493.2200000000012</v>
      </c>
      <c r="O34" s="4">
        <f t="shared" si="11"/>
        <v>0</v>
      </c>
      <c r="P34" s="4">
        <f t="shared" si="4"/>
        <v>-2493.17</v>
      </c>
      <c r="Q34" s="13">
        <f t="shared" si="5"/>
        <v>5.0000000001091394E-2</v>
      </c>
      <c r="R34" s="4"/>
    </row>
    <row r="35" spans="2:20" x14ac:dyDescent="0.25">
      <c r="B35" s="32" t="s">
        <v>52</v>
      </c>
      <c r="C35" t="s">
        <v>53</v>
      </c>
      <c r="D35" s="4">
        <f>+'2015'!G35</f>
        <v>200000</v>
      </c>
      <c r="E35" s="4">
        <v>0</v>
      </c>
      <c r="F35" s="4">
        <v>0</v>
      </c>
      <c r="G35" s="13">
        <f t="shared" si="2"/>
        <v>200000</v>
      </c>
      <c r="H35" s="4"/>
      <c r="I35" s="4">
        <f>+'2015'!L35</f>
        <v>-53333.32</v>
      </c>
      <c r="J35" s="4">
        <f>-[1]Summary!$J29</f>
        <v>-13333.33</v>
      </c>
      <c r="K35" s="4">
        <v>0</v>
      </c>
      <c r="L35" s="13">
        <f t="shared" si="3"/>
        <v>-66666.649999999994</v>
      </c>
      <c r="M35" s="4"/>
      <c r="N35" s="4">
        <f t="shared" si="10"/>
        <v>146666.68</v>
      </c>
      <c r="O35" s="4">
        <f t="shared" si="11"/>
        <v>0</v>
      </c>
      <c r="P35" s="4">
        <f t="shared" si="4"/>
        <v>-13333.33</v>
      </c>
      <c r="Q35" s="13">
        <f t="shared" si="5"/>
        <v>133333.35</v>
      </c>
      <c r="R35" s="4"/>
    </row>
    <row r="36" spans="2:20" x14ac:dyDescent="0.25">
      <c r="B36" s="31">
        <v>1980</v>
      </c>
      <c r="C36" t="s">
        <v>54</v>
      </c>
      <c r="D36" s="4">
        <f>+'2015'!G36</f>
        <v>108001.20999999999</v>
      </c>
      <c r="E36" s="4">
        <v>50000</v>
      </c>
      <c r="F36" s="4"/>
      <c r="G36" s="13">
        <f t="shared" si="2"/>
        <v>158001.21</v>
      </c>
      <c r="H36" s="4"/>
      <c r="I36" s="4">
        <f>+'2015'!L36</f>
        <v>-53989.849999999991</v>
      </c>
      <c r="J36" s="4">
        <f>-[1]Summary!$J30</f>
        <v>-9011.3399999999983</v>
      </c>
      <c r="K36" s="4"/>
      <c r="L36" s="13">
        <f t="shared" si="3"/>
        <v>-63001.189999999988</v>
      </c>
      <c r="M36" s="4"/>
      <c r="N36" s="4">
        <f t="shared" si="10"/>
        <v>54011.360000000001</v>
      </c>
      <c r="O36" s="4">
        <f t="shared" si="11"/>
        <v>50000</v>
      </c>
      <c r="P36" s="4">
        <f t="shared" si="4"/>
        <v>-9011.3399999999983</v>
      </c>
      <c r="Q36" s="13">
        <f t="shared" ref="Q36" si="15">SUM(N36:P36)</f>
        <v>95000.02</v>
      </c>
      <c r="R36" s="4"/>
    </row>
    <row r="37" spans="2:20" ht="15.75" thickBot="1" x14ac:dyDescent="0.3">
      <c r="B37" s="33">
        <v>1980.1</v>
      </c>
      <c r="C37" s="2" t="s">
        <v>66</v>
      </c>
      <c r="D37" s="18">
        <f>+'2015'!G37</f>
        <v>667702.37</v>
      </c>
      <c r="E37" s="18">
        <v>0</v>
      </c>
      <c r="F37" s="18">
        <v>0</v>
      </c>
      <c r="G37" s="19">
        <f t="shared" si="2"/>
        <v>667702.37</v>
      </c>
      <c r="H37" s="18"/>
      <c r="I37" s="18">
        <f>+'2015'!L37</f>
        <v>-134373.63</v>
      </c>
      <c r="J37" s="18">
        <f>-[1]Summary!$J31</f>
        <v>-47499.814999999995</v>
      </c>
      <c r="K37" s="18">
        <v>0</v>
      </c>
      <c r="L37" s="19">
        <f t="shared" si="3"/>
        <v>-181873.44500000001</v>
      </c>
      <c r="M37" s="18"/>
      <c r="N37" s="18">
        <f t="shared" si="10"/>
        <v>533328.74</v>
      </c>
      <c r="O37" s="18">
        <f t="shared" si="11"/>
        <v>0</v>
      </c>
      <c r="P37" s="18">
        <f t="shared" si="4"/>
        <v>-47499.814999999995</v>
      </c>
      <c r="Q37" s="19">
        <f t="shared" si="5"/>
        <v>485828.92499999999</v>
      </c>
      <c r="R37" s="18"/>
    </row>
    <row r="38" spans="2:20" x14ac:dyDescent="0.25">
      <c r="D38" s="4"/>
      <c r="E38" s="4">
        <v>0</v>
      </c>
      <c r="F38" s="4">
        <v>0</v>
      </c>
      <c r="G38" s="13">
        <f t="shared" si="2"/>
        <v>0</v>
      </c>
      <c r="H38" s="4"/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0"/>
        <v>0</v>
      </c>
      <c r="O38" s="4">
        <f t="shared" si="11"/>
        <v>0</v>
      </c>
      <c r="P38" s="4">
        <f t="shared" si="4"/>
        <v>0</v>
      </c>
      <c r="Q38" s="13">
        <f t="shared" si="5"/>
        <v>0</v>
      </c>
      <c r="R38" s="4"/>
    </row>
    <row r="39" spans="2:20" s="9" customFormat="1" ht="15.75" thickBot="1" x14ac:dyDescent="0.3">
      <c r="B39" s="10" t="s">
        <v>58</v>
      </c>
      <c r="C39" s="10"/>
      <c r="D39" s="19">
        <f>SUM(D25:D38)</f>
        <v>6815145.1599999992</v>
      </c>
      <c r="E39" s="19">
        <f>SUM(E25:E38)</f>
        <v>436000</v>
      </c>
      <c r="F39" s="19">
        <f>SUM(F25:F38)</f>
        <v>0</v>
      </c>
      <c r="G39" s="19">
        <f>SUM(G25:G38)</f>
        <v>7251145.1599999992</v>
      </c>
      <c r="H39" s="19"/>
      <c r="I39" s="19">
        <f>SUM(I25:I38)</f>
        <v>-2474144.7056666664</v>
      </c>
      <c r="J39" s="19">
        <f>SUM(J25:J38)</f>
        <v>-442297.91533333331</v>
      </c>
      <c r="K39" s="19">
        <f>SUM(K25:K38)</f>
        <v>0</v>
      </c>
      <c r="L39" s="19">
        <f>SUM(L25:L38)</f>
        <v>-2916442.6209999998</v>
      </c>
      <c r="M39" s="19"/>
      <c r="N39" s="19">
        <f>SUM(N25:N38)</f>
        <v>4341000.4543333342</v>
      </c>
      <c r="O39" s="19">
        <f>SUM(O25:O38)</f>
        <v>436000</v>
      </c>
      <c r="P39" s="19">
        <f>SUM(P25:P38)</f>
        <v>-442297.91533333331</v>
      </c>
      <c r="Q39" s="19">
        <f>SUM(Q25:Q38)</f>
        <v>4334702.5389999999</v>
      </c>
      <c r="R39" s="19"/>
    </row>
    <row r="40" spans="2:20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2:20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2:20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2:20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  <c r="S43" s="28"/>
    </row>
    <row r="44" spans="2:20" x14ac:dyDescent="0.25">
      <c r="B44" s="24" t="s">
        <v>12</v>
      </c>
      <c r="C44" s="7" t="s">
        <v>13</v>
      </c>
      <c r="D44" s="8">
        <f>+'2015'!G44</f>
        <v>0</v>
      </c>
      <c r="E44" s="8">
        <v>0</v>
      </c>
      <c r="F44" s="8">
        <v>0</v>
      </c>
      <c r="G44" s="16">
        <f>SUM(D44:F44)</f>
        <v>0</v>
      </c>
      <c r="I44" s="8">
        <f>+'2015'!L44</f>
        <v>0</v>
      </c>
      <c r="J44" s="7"/>
      <c r="K44" s="7"/>
      <c r="L44" s="15"/>
      <c r="M44" s="4"/>
      <c r="N44" s="8">
        <f t="shared" ref="N44:N55" si="16">+D44+I44</f>
        <v>0</v>
      </c>
      <c r="O44" s="8">
        <f t="shared" ref="O44:O55" si="17">+E44+F44</f>
        <v>0</v>
      </c>
      <c r="P44" s="8">
        <f t="shared" ref="P44:P55" si="18">+J44+K44</f>
        <v>0</v>
      </c>
      <c r="Q44" s="16">
        <f t="shared" ref="Q44:Q53" si="19">SUM(N44:P44)</f>
        <v>0</v>
      </c>
      <c r="R44" s="4"/>
      <c r="S44" s="28"/>
    </row>
    <row r="45" spans="2:20" x14ac:dyDescent="0.25">
      <c r="B45" s="34" t="s">
        <v>14</v>
      </c>
      <c r="C45" s="7" t="s">
        <v>15</v>
      </c>
      <c r="D45" s="8">
        <f>+'2015'!G45</f>
        <v>-1339015.8299999998</v>
      </c>
      <c r="E45" s="8">
        <v>-3000</v>
      </c>
      <c r="F45" s="8">
        <v>0</v>
      </c>
      <c r="G45" s="16">
        <f>SUM(D45:F45)</f>
        <v>-1342015.8299999998</v>
      </c>
      <c r="I45" s="8">
        <f>+'2015'!L45</f>
        <v>459445.93537271285</v>
      </c>
      <c r="J45" s="8">
        <f>-[1]Summary!$J39</f>
        <v>24385.594999999994</v>
      </c>
      <c r="K45" s="8">
        <v>0</v>
      </c>
      <c r="L45" s="16">
        <f>SUM(I45:K45)</f>
        <v>483831.53037271282</v>
      </c>
      <c r="M45" s="4"/>
      <c r="N45" s="8">
        <f t="shared" si="16"/>
        <v>-879569.89462728705</v>
      </c>
      <c r="O45" s="8">
        <f t="shared" si="17"/>
        <v>-3000</v>
      </c>
      <c r="P45" s="8">
        <f t="shared" si="18"/>
        <v>24385.594999999994</v>
      </c>
      <c r="Q45" s="16">
        <f t="shared" si="19"/>
        <v>-858184.29962728708</v>
      </c>
      <c r="R45" s="4"/>
      <c r="S45" s="28"/>
      <c r="T45" s="22"/>
    </row>
    <row r="46" spans="2:20" x14ac:dyDescent="0.25">
      <c r="B46" s="34" t="s">
        <v>16</v>
      </c>
      <c r="C46" s="7" t="s">
        <v>17</v>
      </c>
      <c r="D46" s="8">
        <f>+'2015'!G46</f>
        <v>-1146800.3400000001</v>
      </c>
      <c r="E46" s="8">
        <v>-4000</v>
      </c>
      <c r="F46" s="8">
        <v>0</v>
      </c>
      <c r="G46" s="16">
        <f>SUM(D46:F46)</f>
        <v>-1150800.3400000001</v>
      </c>
      <c r="I46" s="8">
        <f>+'2015'!L46</f>
        <v>371191.48865983711</v>
      </c>
      <c r="J46" s="8">
        <f>-[1]Summary!$J40</f>
        <v>15205.565000000001</v>
      </c>
      <c r="K46" s="8">
        <v>0</v>
      </c>
      <c r="L46" s="16">
        <f>SUM(I46:K46)</f>
        <v>386397.05365983711</v>
      </c>
      <c r="M46" s="4"/>
      <c r="N46" s="8">
        <f t="shared" si="16"/>
        <v>-775608.85134016303</v>
      </c>
      <c r="O46" s="8">
        <f t="shared" si="17"/>
        <v>-4000</v>
      </c>
      <c r="P46" s="8">
        <f t="shared" si="18"/>
        <v>15205.565000000001</v>
      </c>
      <c r="Q46" s="16">
        <f t="shared" si="19"/>
        <v>-764403.28634016309</v>
      </c>
      <c r="R46" s="4"/>
      <c r="S46" s="28"/>
      <c r="T46" s="22"/>
    </row>
    <row r="47" spans="2:20" x14ac:dyDescent="0.25">
      <c r="B47" s="34" t="s">
        <v>18</v>
      </c>
      <c r="C47" s="7" t="s">
        <v>19</v>
      </c>
      <c r="D47" s="8">
        <f>+'2015'!G47</f>
        <v>-968766.24</v>
      </c>
      <c r="E47" s="8">
        <v>-22000</v>
      </c>
      <c r="F47" s="8">
        <v>0</v>
      </c>
      <c r="G47" s="16">
        <f t="shared" ref="G47:G55" si="20">SUM(D47:F47)</f>
        <v>-990766.24</v>
      </c>
      <c r="I47" s="8">
        <f>+'2015'!L47</f>
        <v>297300.98557171645</v>
      </c>
      <c r="J47" s="8">
        <f>-[1]Summary!$J41</f>
        <v>24492.82</v>
      </c>
      <c r="K47" s="8">
        <v>0</v>
      </c>
      <c r="L47" s="16">
        <f t="shared" ref="L47:L56" si="21">SUM(I47:K47)</f>
        <v>321793.80557171645</v>
      </c>
      <c r="M47" s="4"/>
      <c r="N47" s="8">
        <f t="shared" si="16"/>
        <v>-671465.25442828354</v>
      </c>
      <c r="O47" s="8">
        <f t="shared" si="17"/>
        <v>-22000</v>
      </c>
      <c r="P47" s="8">
        <f t="shared" si="18"/>
        <v>24492.82</v>
      </c>
      <c r="Q47" s="16">
        <f t="shared" si="19"/>
        <v>-668972.4344282836</v>
      </c>
      <c r="R47" s="4"/>
      <c r="S47" s="28"/>
      <c r="T47" s="22"/>
    </row>
    <row r="48" spans="2:20" x14ac:dyDescent="0.25">
      <c r="B48" s="34" t="s">
        <v>20</v>
      </c>
      <c r="C48" s="7" t="s">
        <v>21</v>
      </c>
      <c r="D48" s="8">
        <f>+'2015'!G48</f>
        <v>-1455037.5</v>
      </c>
      <c r="E48" s="8">
        <v>-34000</v>
      </c>
      <c r="F48" s="8">
        <v>0</v>
      </c>
      <c r="G48" s="16">
        <f t="shared" si="20"/>
        <v>-1489037.5</v>
      </c>
      <c r="I48" s="8">
        <f>+'2015'!L48</f>
        <v>486879.99715116696</v>
      </c>
      <c r="J48" s="8">
        <f>-[1]Summary!$J42</f>
        <v>31909.93</v>
      </c>
      <c r="K48" s="8">
        <v>0</v>
      </c>
      <c r="L48" s="16">
        <f t="shared" si="21"/>
        <v>518789.92715116695</v>
      </c>
      <c r="M48" s="4"/>
      <c r="N48" s="8">
        <f t="shared" si="16"/>
        <v>-968157.5028488331</v>
      </c>
      <c r="O48" s="8">
        <f t="shared" si="17"/>
        <v>-34000</v>
      </c>
      <c r="P48" s="8">
        <f t="shared" si="18"/>
        <v>31909.93</v>
      </c>
      <c r="Q48" s="16">
        <f t="shared" si="19"/>
        <v>-970247.57284883305</v>
      </c>
      <c r="R48" s="4"/>
      <c r="S48" s="28"/>
      <c r="T48" s="22"/>
    </row>
    <row r="49" spans="2:22" x14ac:dyDescent="0.25">
      <c r="B49" s="34" t="s">
        <v>22</v>
      </c>
      <c r="C49" s="7" t="s">
        <v>23</v>
      </c>
      <c r="D49" s="8">
        <f>+'2015'!G49</f>
        <v>-1442745.22</v>
      </c>
      <c r="E49" s="8">
        <v>-16000</v>
      </c>
      <c r="F49" s="8">
        <v>0</v>
      </c>
      <c r="G49" s="16">
        <f t="shared" si="20"/>
        <v>-1458745.22</v>
      </c>
      <c r="I49" s="8">
        <f>+'2015'!L49</f>
        <v>344112.319648801</v>
      </c>
      <c r="J49" s="8">
        <f>-[1]Summary!$J43</f>
        <v>32241.460000000003</v>
      </c>
      <c r="K49" s="8">
        <v>0</v>
      </c>
      <c r="L49" s="16">
        <f t="shared" si="21"/>
        <v>376353.77964880102</v>
      </c>
      <c r="M49" s="4"/>
      <c r="N49" s="8">
        <f t="shared" si="16"/>
        <v>-1098632.9003511989</v>
      </c>
      <c r="O49" s="8">
        <f t="shared" si="17"/>
        <v>-16000</v>
      </c>
      <c r="P49" s="8">
        <f t="shared" si="18"/>
        <v>32241.460000000003</v>
      </c>
      <c r="Q49" s="16">
        <f t="shared" si="19"/>
        <v>-1082391.4403511989</v>
      </c>
      <c r="R49" s="4"/>
      <c r="S49" s="28"/>
      <c r="T49" s="22"/>
    </row>
    <row r="50" spans="2:22" x14ac:dyDescent="0.25">
      <c r="B50" s="34" t="s">
        <v>24</v>
      </c>
      <c r="C50" s="7" t="s">
        <v>25</v>
      </c>
      <c r="D50" s="8">
        <f>+'2015'!G50</f>
        <v>-561893.87</v>
      </c>
      <c r="E50" s="8">
        <v>-2000</v>
      </c>
      <c r="F50" s="8">
        <v>0</v>
      </c>
      <c r="G50" s="16">
        <f t="shared" si="20"/>
        <v>-563893.87</v>
      </c>
      <c r="I50" s="8">
        <f>+'2015'!L50</f>
        <v>200710.18799237077</v>
      </c>
      <c r="J50" s="8">
        <f>-[1]Summary!$J44</f>
        <v>14133.91</v>
      </c>
      <c r="K50" s="8">
        <v>0</v>
      </c>
      <c r="L50" s="16">
        <f t="shared" si="21"/>
        <v>214844.09799237078</v>
      </c>
      <c r="M50" s="4"/>
      <c r="N50" s="8">
        <f t="shared" si="16"/>
        <v>-361183.68200762919</v>
      </c>
      <c r="O50" s="8">
        <f t="shared" si="17"/>
        <v>-2000</v>
      </c>
      <c r="P50" s="8">
        <f t="shared" si="18"/>
        <v>14133.91</v>
      </c>
      <c r="Q50" s="16">
        <f t="shared" si="19"/>
        <v>-349049.77200762922</v>
      </c>
      <c r="R50" s="4"/>
      <c r="S50" s="28"/>
      <c r="T50" s="22"/>
    </row>
    <row r="51" spans="2:22" x14ac:dyDescent="0.25">
      <c r="B51" s="34" t="s">
        <v>26</v>
      </c>
      <c r="C51" s="7" t="s">
        <v>27</v>
      </c>
      <c r="D51" s="8">
        <f>+'2015'!G51</f>
        <v>-619631.77999999991</v>
      </c>
      <c r="E51" s="8">
        <v>-3000</v>
      </c>
      <c r="F51" s="8">
        <v>0</v>
      </c>
      <c r="G51" s="16">
        <f t="shared" si="20"/>
        <v>-622631.77999999991</v>
      </c>
      <c r="I51" s="8">
        <f>+'2015'!L51</f>
        <v>216672.23581226697</v>
      </c>
      <c r="J51" s="8">
        <f>-[1]Summary!$J45</f>
        <v>13333.57</v>
      </c>
      <c r="K51" s="8">
        <v>0</v>
      </c>
      <c r="L51" s="16">
        <f t="shared" si="21"/>
        <v>230005.80581226698</v>
      </c>
      <c r="M51" s="4"/>
      <c r="N51" s="8">
        <f t="shared" si="16"/>
        <v>-402959.54418773297</v>
      </c>
      <c r="O51" s="8">
        <f t="shared" si="17"/>
        <v>-3000</v>
      </c>
      <c r="P51" s="8">
        <f t="shared" si="18"/>
        <v>13333.57</v>
      </c>
      <c r="Q51" s="16">
        <f t="shared" si="19"/>
        <v>-392625.97418773297</v>
      </c>
      <c r="R51" s="4"/>
      <c r="S51" s="28"/>
      <c r="T51" s="22"/>
    </row>
    <row r="52" spans="2:22" x14ac:dyDescent="0.25">
      <c r="B52" s="34" t="s">
        <v>28</v>
      </c>
      <c r="C52" s="7" t="s">
        <v>29</v>
      </c>
      <c r="D52" s="8">
        <f>+'2015'!G52</f>
        <v>-434223.44999999995</v>
      </c>
      <c r="E52" s="8">
        <v>-7000</v>
      </c>
      <c r="F52" s="8">
        <v>0</v>
      </c>
      <c r="G52" s="16">
        <f t="shared" si="20"/>
        <v>-441223.44999999995</v>
      </c>
      <c r="I52" s="8">
        <f>+'2015'!L52</f>
        <v>145248.02820699278</v>
      </c>
      <c r="J52" s="8">
        <f>-[1]Summary!$J46</f>
        <v>8983.4599999999991</v>
      </c>
      <c r="K52" s="8">
        <v>0</v>
      </c>
      <c r="L52" s="16">
        <f t="shared" si="21"/>
        <v>154231.48820699277</v>
      </c>
      <c r="M52" s="3"/>
      <c r="N52" s="8">
        <f t="shared" si="16"/>
        <v>-288975.42179300718</v>
      </c>
      <c r="O52" s="8">
        <f t="shared" si="17"/>
        <v>-7000</v>
      </c>
      <c r="P52" s="8">
        <f t="shared" si="18"/>
        <v>8983.4599999999991</v>
      </c>
      <c r="Q52" s="16">
        <f t="shared" si="19"/>
        <v>-286991.96179300715</v>
      </c>
      <c r="R52" s="3"/>
      <c r="S52" s="28"/>
      <c r="T52" s="22"/>
    </row>
    <row r="53" spans="2:22" x14ac:dyDescent="0.25">
      <c r="B53" s="34" t="s">
        <v>30</v>
      </c>
      <c r="C53" s="7" t="s">
        <v>31</v>
      </c>
      <c r="D53" s="8">
        <f>+'2015'!G53</f>
        <v>0</v>
      </c>
      <c r="E53" s="8">
        <v>0</v>
      </c>
      <c r="F53" s="8">
        <v>0</v>
      </c>
      <c r="G53" s="16">
        <f t="shared" si="20"/>
        <v>0</v>
      </c>
      <c r="I53" s="8">
        <f>+'2015'!L53</f>
        <v>0</v>
      </c>
      <c r="J53" s="8">
        <f>-[1]Summary!$J47</f>
        <v>0</v>
      </c>
      <c r="K53" s="8">
        <v>0</v>
      </c>
      <c r="L53" s="16">
        <f t="shared" si="21"/>
        <v>0</v>
      </c>
      <c r="M53" s="3"/>
      <c r="N53" s="8">
        <f t="shared" si="16"/>
        <v>0</v>
      </c>
      <c r="O53" s="8">
        <f t="shared" si="17"/>
        <v>0</v>
      </c>
      <c r="P53" s="8">
        <f t="shared" si="18"/>
        <v>0</v>
      </c>
      <c r="Q53" s="16">
        <f t="shared" si="19"/>
        <v>0</v>
      </c>
      <c r="R53" s="3"/>
      <c r="S53" s="28"/>
      <c r="T53" s="22"/>
    </row>
    <row r="54" spans="2:22" x14ac:dyDescent="0.25">
      <c r="B54" s="35">
        <v>1860.15</v>
      </c>
      <c r="C54" s="7" t="s">
        <v>55</v>
      </c>
      <c r="D54" s="8">
        <f>+'2015'!G54</f>
        <v>-20842.059999999998</v>
      </c>
      <c r="E54" s="8">
        <v>-9000</v>
      </c>
      <c r="F54" s="8">
        <v>0</v>
      </c>
      <c r="G54" s="16">
        <f t="shared" si="20"/>
        <v>-29842.059999999998</v>
      </c>
      <c r="I54" s="8">
        <f>+'2015'!L54</f>
        <v>1168.4100000000001</v>
      </c>
      <c r="J54" s="8">
        <f>-[1]Summary!$J48</f>
        <v>689.47</v>
      </c>
      <c r="K54" s="8">
        <v>0</v>
      </c>
      <c r="L54" s="16">
        <f t="shared" si="21"/>
        <v>1857.88</v>
      </c>
      <c r="M54" s="3"/>
      <c r="N54" s="8">
        <f t="shared" si="16"/>
        <v>-19673.649999999998</v>
      </c>
      <c r="O54" s="8">
        <f t="shared" si="17"/>
        <v>-9000</v>
      </c>
      <c r="P54" s="8">
        <f t="shared" si="18"/>
        <v>689.47</v>
      </c>
      <c r="Q54" s="16">
        <f t="shared" ref="Q54:Q55" si="22">SUM(N54:P54)</f>
        <v>-27984.179999999997</v>
      </c>
      <c r="R54" s="3"/>
      <c r="S54" s="28"/>
      <c r="T54" s="22"/>
      <c r="U54" s="3"/>
      <c r="V54" s="14"/>
    </row>
    <row r="55" spans="2:22" x14ac:dyDescent="0.25">
      <c r="B55" s="34" t="s">
        <v>32</v>
      </c>
      <c r="C55" s="7" t="s">
        <v>33</v>
      </c>
      <c r="D55" s="8">
        <f>+'2015'!G55</f>
        <v>-12919.73</v>
      </c>
      <c r="E55" s="8">
        <v>0</v>
      </c>
      <c r="F55" s="8">
        <v>0</v>
      </c>
      <c r="G55" s="16">
        <f t="shared" si="20"/>
        <v>-12919.73</v>
      </c>
      <c r="I55" s="8">
        <f>+'2015'!L55</f>
        <v>10246.065000000001</v>
      </c>
      <c r="J55" s="8">
        <f>-[1]Summary!$J49</f>
        <v>3294.395</v>
      </c>
      <c r="K55" s="8">
        <v>0</v>
      </c>
      <c r="L55" s="16">
        <f t="shared" si="21"/>
        <v>13540.460000000001</v>
      </c>
      <c r="M55" s="3"/>
      <c r="N55" s="8">
        <f t="shared" si="16"/>
        <v>-2673.6649999999991</v>
      </c>
      <c r="O55" s="8">
        <f t="shared" si="17"/>
        <v>0</v>
      </c>
      <c r="P55" s="8">
        <f t="shared" si="18"/>
        <v>3294.395</v>
      </c>
      <c r="Q55" s="16">
        <f t="shared" si="22"/>
        <v>620.73000000000093</v>
      </c>
      <c r="R55" s="3"/>
      <c r="S55" s="38"/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f>+'2015'!G56</f>
        <v>0</v>
      </c>
      <c r="E56" s="20">
        <v>0</v>
      </c>
      <c r="F56" s="20">
        <v>0</v>
      </c>
      <c r="G56" s="21">
        <f t="shared" ref="G56" si="23">SUM(D56:F56)</f>
        <v>0</v>
      </c>
      <c r="I56" s="20">
        <f>+'2015'!L56</f>
        <v>0</v>
      </c>
      <c r="J56" s="20">
        <v>0</v>
      </c>
      <c r="K56" s="20">
        <v>0</v>
      </c>
      <c r="L56" s="21">
        <f t="shared" si="21"/>
        <v>0</v>
      </c>
      <c r="M56" s="3"/>
      <c r="N56" s="20"/>
      <c r="O56" s="20">
        <v>0</v>
      </c>
      <c r="P56" s="20">
        <v>0</v>
      </c>
      <c r="Q56" s="21">
        <f t="shared" ref="Q56" si="24">SUM(N56:P56)</f>
        <v>0</v>
      </c>
      <c r="R56" s="3"/>
      <c r="S56" s="38"/>
      <c r="T56" s="3"/>
      <c r="U56" s="3"/>
      <c r="V56" s="14"/>
    </row>
    <row r="57" spans="2:22" x14ac:dyDescent="0.25">
      <c r="M57" s="3"/>
      <c r="R57" s="3"/>
      <c r="S57" s="38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-8001876.0200000005</v>
      </c>
      <c r="E58" s="21">
        <f>SUM(E44:E57)</f>
        <v>-100000</v>
      </c>
      <c r="F58" s="21">
        <f>SUM(F44:F57)</f>
        <v>0</v>
      </c>
      <c r="G58" s="21">
        <f>SUM(G44:G57)</f>
        <v>-8101876.0200000005</v>
      </c>
      <c r="H58" s="9"/>
      <c r="I58" s="21">
        <f>SUM(I44:I57)</f>
        <v>2532975.6534158648</v>
      </c>
      <c r="J58" s="21">
        <f>SUM(J44:J57)</f>
        <v>168670.17499999999</v>
      </c>
      <c r="K58" s="21">
        <f>SUM(K44:K57)</f>
        <v>0</v>
      </c>
      <c r="L58" s="21">
        <f>SUM(L44:L57)</f>
        <v>2701645.8284158651</v>
      </c>
      <c r="N58" s="21">
        <f>SUM(N44:N57)</f>
        <v>-5468900.3665841362</v>
      </c>
      <c r="O58" s="21">
        <f>SUM(O44:O57)</f>
        <v>-100000</v>
      </c>
      <c r="P58" s="21">
        <f>SUM(P44:P57)</f>
        <v>168670.17499999999</v>
      </c>
      <c r="Q58" s="21">
        <f>SUM(Q44:Q57)</f>
        <v>-5400230.1915841345</v>
      </c>
    </row>
    <row r="60" spans="2:22" x14ac:dyDescent="0.25">
      <c r="G60" s="4"/>
    </row>
    <row r="61" spans="2:22" x14ac:dyDescent="0.25">
      <c r="B61" t="s">
        <v>10</v>
      </c>
      <c r="D61" s="22">
        <f>+D22+D39+D58</f>
        <v>52262473.537999995</v>
      </c>
      <c r="E61" s="22">
        <f>+E22+E39+E58</f>
        <v>2126000</v>
      </c>
      <c r="F61" s="22">
        <f>+F22+F39+F58</f>
        <v>0</v>
      </c>
      <c r="G61" s="23">
        <f>+D61+E61+F61</f>
        <v>54388473.537999995</v>
      </c>
      <c r="I61" s="4">
        <f>+I22+I39+I58</f>
        <v>-25561489.857250798</v>
      </c>
      <c r="J61" s="4">
        <f>+J22+J39+J58</f>
        <v>-1290150.9153333332</v>
      </c>
      <c r="K61" s="4">
        <f>+K22+K39+K58</f>
        <v>0</v>
      </c>
      <c r="L61" s="13">
        <f>+I61+J61+K61</f>
        <v>-26851640.772584133</v>
      </c>
      <c r="N61" s="4">
        <f>+N22+N39+N58</f>
        <v>26705754.280749198</v>
      </c>
      <c r="O61" s="4">
        <f>+O22+O39+O58</f>
        <v>2126000</v>
      </c>
      <c r="P61" s="4">
        <f>+P22+P39+P58</f>
        <v>-1290150.9153333332</v>
      </c>
      <c r="Q61" s="13">
        <f>+N61+O61+P61</f>
        <v>27541603.365415864</v>
      </c>
    </row>
    <row r="62" spans="2:22" ht="15.75" thickBot="1" x14ac:dyDescent="0.3">
      <c r="B62" s="2" t="s">
        <v>61</v>
      </c>
      <c r="C62" s="2"/>
      <c r="D62" s="18">
        <f>+'2015'!G62</f>
        <v>0</v>
      </c>
      <c r="E62" s="18">
        <v>0</v>
      </c>
      <c r="F62" s="18">
        <v>0</v>
      </c>
      <c r="G62" s="19">
        <f>+D62+E62+F62</f>
        <v>0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0</v>
      </c>
      <c r="O62" s="18">
        <f>+E62+F62</f>
        <v>0</v>
      </c>
      <c r="P62" s="18">
        <f>+J62+K62</f>
        <v>0</v>
      </c>
      <c r="Q62" s="18">
        <f>+N62+O62+P62</f>
        <v>0</v>
      </c>
    </row>
    <row r="63" spans="2:22" x14ac:dyDescent="0.25">
      <c r="L63"/>
    </row>
    <row r="64" spans="2:22" ht="15.75" thickBot="1" x14ac:dyDescent="0.3">
      <c r="B64" s="10" t="s">
        <v>64</v>
      </c>
      <c r="C64" s="2"/>
      <c r="D64" s="19">
        <f>+D61+D62</f>
        <v>52262473.537999995</v>
      </c>
      <c r="E64" s="19">
        <f>+E61+E62</f>
        <v>2126000</v>
      </c>
      <c r="F64" s="19">
        <f>+F61+F62</f>
        <v>0</v>
      </c>
      <c r="G64" s="19">
        <f>+G61+G62</f>
        <v>54388473.537999995</v>
      </c>
      <c r="I64" s="19">
        <f>+I61+I62</f>
        <v>-25561489.857250798</v>
      </c>
      <c r="J64" s="19">
        <f>+J61+J62</f>
        <v>-1290150.9153333332</v>
      </c>
      <c r="K64" s="19">
        <f>+K61+K62</f>
        <v>0</v>
      </c>
      <c r="L64" s="19">
        <f>+L61+L62</f>
        <v>-26851640.772584133</v>
      </c>
      <c r="N64" s="19">
        <f>+N61+N62</f>
        <v>26705754.280749198</v>
      </c>
      <c r="O64" s="19">
        <f>+O61+O62</f>
        <v>2126000</v>
      </c>
      <c r="P64" s="19">
        <f>+P61+P62</f>
        <v>-1290150.9153333332</v>
      </c>
      <c r="Q64" s="19">
        <f>+Q61+Q62</f>
        <v>27541603.365415864</v>
      </c>
    </row>
    <row r="65" spans="5:17" x14ac:dyDescent="0.25">
      <c r="G65"/>
      <c r="L65"/>
      <c r="Q65"/>
    </row>
    <row r="66" spans="5:17" x14ac:dyDescent="0.25">
      <c r="G66"/>
      <c r="L66"/>
      <c r="Q66"/>
    </row>
    <row r="67" spans="5:17" x14ac:dyDescent="0.25">
      <c r="G67"/>
      <c r="L67"/>
      <c r="Q67"/>
    </row>
    <row r="68" spans="5:17" x14ac:dyDescent="0.25">
      <c r="G68"/>
      <c r="L68"/>
      <c r="Q68"/>
    </row>
    <row r="69" spans="5:17" x14ac:dyDescent="0.25">
      <c r="G69"/>
      <c r="L69"/>
      <c r="Q69"/>
    </row>
    <row r="70" spans="5:17" x14ac:dyDescent="0.25">
      <c r="G70"/>
      <c r="L70"/>
      <c r="Q70"/>
    </row>
    <row r="71" spans="5:17" x14ac:dyDescent="0.25">
      <c r="G71"/>
      <c r="L71"/>
      <c r="Q71"/>
    </row>
    <row r="72" spans="5:17" x14ac:dyDescent="0.25">
      <c r="G72"/>
      <c r="L72"/>
      <c r="Q72"/>
    </row>
    <row r="73" spans="5:17" x14ac:dyDescent="0.25">
      <c r="E73" s="22"/>
    </row>
    <row r="75" spans="5:17" x14ac:dyDescent="0.25">
      <c r="E75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8:D17 B21:K24 B25:D27 F36:I36 F17:I17 B18:D20 F20:I20 F8:I8 K8:Q8 F9:I9 K9:Q9 F10:I10 K10:Q10 F11:I11 K11:Q11 F12:I12 K12:Q12 F13:I13 K13:Q13 F14:I14 K14:Q14 F15:I15 K15:Q15 F16:I16 K16:Q16 K17:Q17 F18:I18 K18 F19:I19 K19 K20 F25:I25 K25 F26:I26 K26 F27:I27 K27 F28:I28 K28 F29:I29 K29 F30:I30 K30 F31:I31 K31 F32:I32 K32 F33:I33 K33 F34:I34 K34 F35:I35 K35 K36 B29:D36 B28 D28" numberStoredAsText="1"/>
    <ignoredError sqref="L18:Q36" numberStoredAsText="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5"/>
  <sheetViews>
    <sheetView topLeftCell="A34" workbookViewId="0">
      <selection activeCell="J35" sqref="J35"/>
    </sheetView>
  </sheetViews>
  <sheetFormatPr defaultRowHeight="15" x14ac:dyDescent="0.25"/>
  <cols>
    <col min="1" max="1" width="12" customWidth="1"/>
    <col min="2" max="2" width="9.5703125" bestFit="1" customWidth="1"/>
    <col min="3" max="3" width="35.42578125" bestFit="1" customWidth="1"/>
    <col min="4" max="5" width="14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2" max="12" width="15" style="9" bestFit="1" customWidth="1"/>
    <col min="13" max="13" width="2.7109375" customWidth="1"/>
    <col min="14" max="14" width="14.28515625" bestFit="1" customWidth="1"/>
    <col min="15" max="15" width="13.28515625" bestFit="1" customWidth="1"/>
    <col min="16" max="16" width="14" bestFit="1" customWidth="1"/>
    <col min="17" max="17" width="14.28515625" style="9" bestFit="1" customWidth="1"/>
    <col min="19" max="19" width="11.5703125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B2" s="9" t="s">
        <v>77</v>
      </c>
      <c r="C2" s="9"/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f>+'2016'!G7</f>
        <v>7637.8779999999997</v>
      </c>
      <c r="E7" s="4">
        <v>0</v>
      </c>
      <c r="F7" s="4">
        <v>0</v>
      </c>
      <c r="G7" s="13">
        <f>SUM(D7:F7)</f>
        <v>7637.8779999999997</v>
      </c>
      <c r="H7" s="4"/>
      <c r="I7" s="4">
        <f>+'2016'!L7</f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19" si="0">+D7+I7</f>
        <v>7637.8779999999997</v>
      </c>
      <c r="O7" s="4">
        <f t="shared" ref="O7:O20" si="1">+E7+F7</f>
        <v>0</v>
      </c>
      <c r="P7" s="4">
        <f>+J7+K7</f>
        <v>0</v>
      </c>
      <c r="Q7" s="13">
        <f>SUM(N7:P7)</f>
        <v>7637.8779999999997</v>
      </c>
      <c r="R7" s="4"/>
    </row>
    <row r="8" spans="2:22" x14ac:dyDescent="0.25">
      <c r="B8" s="6" t="s">
        <v>12</v>
      </c>
      <c r="C8" t="s">
        <v>13</v>
      </c>
      <c r="D8" s="4">
        <f>+'2016'!G8</f>
        <v>850124.96</v>
      </c>
      <c r="E8" s="4">
        <v>0</v>
      </c>
      <c r="F8" s="4">
        <v>0</v>
      </c>
      <c r="G8" s="13">
        <f>SUM(D8:F8)</f>
        <v>850124.96</v>
      </c>
      <c r="H8" s="4"/>
      <c r="I8" s="4">
        <f>+'2016'!L8</f>
        <v>-835455.12000000011</v>
      </c>
      <c r="J8" s="4">
        <f>-[1]Summary!$K7</f>
        <v>-835.9</v>
      </c>
      <c r="K8" s="4">
        <v>0</v>
      </c>
      <c r="L8" s="13">
        <f>SUM(I8:K8)</f>
        <v>-836291.02000000014</v>
      </c>
      <c r="M8" s="4"/>
      <c r="N8" s="4">
        <f t="shared" si="0"/>
        <v>14669.839999999851</v>
      </c>
      <c r="O8" s="4">
        <f t="shared" si="1"/>
        <v>0</v>
      </c>
      <c r="P8" s="4">
        <f>+J8+K8</f>
        <v>-835.9</v>
      </c>
      <c r="Q8" s="13">
        <f>SUM(N8:P8)</f>
        <v>13833.939999999851</v>
      </c>
      <c r="R8" s="4"/>
    </row>
    <row r="9" spans="2:22" x14ac:dyDescent="0.25">
      <c r="B9" t="s">
        <v>14</v>
      </c>
      <c r="C9" t="s">
        <v>15</v>
      </c>
      <c r="D9" s="4">
        <f>+'2016'!G9</f>
        <v>9932897.959999999</v>
      </c>
      <c r="E9" s="4">
        <v>322503</v>
      </c>
      <c r="F9" s="4">
        <v>0</v>
      </c>
      <c r="G9" s="13">
        <f t="shared" ref="G9:G38" si="2">SUM(D9:F9)</f>
        <v>10255400.959999999</v>
      </c>
      <c r="H9" s="4"/>
      <c r="I9" s="4">
        <f>+'2016'!L9</f>
        <v>-4542610.24</v>
      </c>
      <c r="J9" s="4">
        <f>-[1]Summary!$K8</f>
        <v>-152835.10499999995</v>
      </c>
      <c r="K9" s="4">
        <v>0</v>
      </c>
      <c r="L9" s="13">
        <f t="shared" ref="L9:L38" si="3">SUM(I9:K9)</f>
        <v>-4695445.3449999997</v>
      </c>
      <c r="M9" s="4"/>
      <c r="N9" s="4">
        <f t="shared" si="0"/>
        <v>5390287.7199999988</v>
      </c>
      <c r="O9" s="4">
        <f t="shared" si="1"/>
        <v>322503</v>
      </c>
      <c r="P9" s="4">
        <f t="shared" ref="P9:P38" si="4">+J9+K9</f>
        <v>-152835.10499999995</v>
      </c>
      <c r="Q9" s="13">
        <f t="shared" ref="Q9:Q38" si="5">SUM(N9:P9)</f>
        <v>5559955.6149999993</v>
      </c>
      <c r="R9" s="4"/>
    </row>
    <row r="10" spans="2:22" x14ac:dyDescent="0.25">
      <c r="B10" t="s">
        <v>16</v>
      </c>
      <c r="C10" t="s">
        <v>17</v>
      </c>
      <c r="D10" s="4">
        <f>+'2016'!G10</f>
        <v>8690297.2599999998</v>
      </c>
      <c r="E10" s="4">
        <v>264890</v>
      </c>
      <c r="F10" s="4">
        <v>0</v>
      </c>
      <c r="G10" s="13">
        <f t="shared" si="2"/>
        <v>8955187.2599999998</v>
      </c>
      <c r="H10" s="4"/>
      <c r="I10" s="4">
        <f>+'2016'!L10</f>
        <v>-4316975.03</v>
      </c>
      <c r="J10" s="4">
        <f>-[1]Summary!$K9</f>
        <v>-88713.455000000002</v>
      </c>
      <c r="K10" s="4">
        <v>0</v>
      </c>
      <c r="L10" s="13">
        <f t="shared" si="3"/>
        <v>-4405688.4850000003</v>
      </c>
      <c r="M10" s="4"/>
      <c r="N10" s="4">
        <f t="shared" si="0"/>
        <v>4373322.2299999995</v>
      </c>
      <c r="O10" s="4">
        <f t="shared" si="1"/>
        <v>264890</v>
      </c>
      <c r="P10" s="4">
        <f t="shared" si="4"/>
        <v>-88713.455000000002</v>
      </c>
      <c r="Q10" s="13">
        <f t="shared" si="5"/>
        <v>4549498.7749999994</v>
      </c>
      <c r="R10" s="4"/>
    </row>
    <row r="11" spans="2:22" x14ac:dyDescent="0.25">
      <c r="B11" t="s">
        <v>18</v>
      </c>
      <c r="C11" t="s">
        <v>19</v>
      </c>
      <c r="D11" s="4">
        <f>+'2016'!G11</f>
        <v>5687087.6899999995</v>
      </c>
      <c r="E11" s="4">
        <v>326326</v>
      </c>
      <c r="F11" s="4">
        <v>0</v>
      </c>
      <c r="G11" s="13">
        <f t="shared" si="2"/>
        <v>6013413.6899999995</v>
      </c>
      <c r="H11" s="4"/>
      <c r="I11" s="4">
        <f>+'2016'!L11</f>
        <v>-2396354.7849999997</v>
      </c>
      <c r="J11" s="4">
        <f>-[1]Summary!$K10</f>
        <v>-120265.97499999999</v>
      </c>
      <c r="K11" s="4">
        <v>0</v>
      </c>
      <c r="L11" s="13">
        <f t="shared" si="3"/>
        <v>-2516620.7599999998</v>
      </c>
      <c r="M11" s="4"/>
      <c r="N11" s="4">
        <f t="shared" si="0"/>
        <v>3290732.9049999998</v>
      </c>
      <c r="O11" s="4">
        <f t="shared" si="1"/>
        <v>326326</v>
      </c>
      <c r="P11" s="4">
        <f t="shared" si="4"/>
        <v>-120265.97499999999</v>
      </c>
      <c r="Q11" s="13">
        <f t="shared" si="5"/>
        <v>3496792.9299999997</v>
      </c>
      <c r="R11" s="4"/>
    </row>
    <row r="12" spans="2:22" x14ac:dyDescent="0.25">
      <c r="B12" t="s">
        <v>20</v>
      </c>
      <c r="C12" t="s">
        <v>21</v>
      </c>
      <c r="D12" s="4">
        <f>+'2016'!G12</f>
        <v>9759277.2300000004</v>
      </c>
      <c r="E12" s="4">
        <v>282749</v>
      </c>
      <c r="F12" s="4">
        <v>0</v>
      </c>
      <c r="G12" s="13">
        <f t="shared" si="2"/>
        <v>10042026.23</v>
      </c>
      <c r="H12" s="4"/>
      <c r="I12" s="4">
        <f>+'2016'!L12</f>
        <v>-4526378.0599999987</v>
      </c>
      <c r="J12" s="4">
        <f>-[1]Summary!$K11</f>
        <v>-174932.72500000001</v>
      </c>
      <c r="K12" s="4">
        <v>0</v>
      </c>
      <c r="L12" s="13">
        <f t="shared" si="3"/>
        <v>-4701310.7849999983</v>
      </c>
      <c r="M12" s="4"/>
      <c r="N12" s="4">
        <f t="shared" si="0"/>
        <v>5232899.1700000018</v>
      </c>
      <c r="O12" s="4">
        <f t="shared" si="1"/>
        <v>282749</v>
      </c>
      <c r="P12" s="4">
        <f t="shared" si="4"/>
        <v>-174932.72500000001</v>
      </c>
      <c r="Q12" s="13">
        <f t="shared" si="5"/>
        <v>5340715.4450000022</v>
      </c>
      <c r="R12" s="4"/>
    </row>
    <row r="13" spans="2:22" x14ac:dyDescent="0.25">
      <c r="B13" t="s">
        <v>22</v>
      </c>
      <c r="C13" t="s">
        <v>23</v>
      </c>
      <c r="D13" s="4">
        <f>+'2016'!G13</f>
        <v>2950605.46</v>
      </c>
      <c r="E13" s="4">
        <v>267475</v>
      </c>
      <c r="F13" s="4">
        <v>0</v>
      </c>
      <c r="G13" s="13">
        <f t="shared" si="2"/>
        <v>3218080.46</v>
      </c>
      <c r="H13" s="4"/>
      <c r="I13" s="4">
        <f>+'2016'!L13</f>
        <v>-555043.14500000002</v>
      </c>
      <c r="J13" s="4">
        <f>-[1]Summary!$K12</f>
        <v>-74141.350000000006</v>
      </c>
      <c r="K13" s="4">
        <v>0</v>
      </c>
      <c r="L13" s="13">
        <f t="shared" si="3"/>
        <v>-629184.495</v>
      </c>
      <c r="M13" s="4"/>
      <c r="N13" s="4">
        <f t="shared" si="0"/>
        <v>2395562.3149999999</v>
      </c>
      <c r="O13" s="4">
        <f t="shared" si="1"/>
        <v>267475</v>
      </c>
      <c r="P13" s="4">
        <f t="shared" si="4"/>
        <v>-74141.350000000006</v>
      </c>
      <c r="Q13" s="13">
        <f t="shared" si="5"/>
        <v>2588895.9649999999</v>
      </c>
      <c r="R13" s="4"/>
    </row>
    <row r="14" spans="2:22" x14ac:dyDescent="0.25">
      <c r="B14" t="s">
        <v>24</v>
      </c>
      <c r="C14" t="s">
        <v>25</v>
      </c>
      <c r="D14" s="4">
        <f>+'2016'!G14</f>
        <v>8067296.9100000001</v>
      </c>
      <c r="E14" s="4">
        <v>113796</v>
      </c>
      <c r="F14" s="4">
        <v>0</v>
      </c>
      <c r="G14" s="27">
        <f t="shared" si="2"/>
        <v>8181092.9100000001</v>
      </c>
      <c r="H14" s="4"/>
      <c r="I14" s="4">
        <f>+'2016'!L14</f>
        <v>-5169348.2799999993</v>
      </c>
      <c r="J14" s="4">
        <f>-[1]Summary!$K13</f>
        <v>-119304.92</v>
      </c>
      <c r="K14" s="4">
        <v>0</v>
      </c>
      <c r="L14" s="13">
        <f t="shared" si="3"/>
        <v>-5288653.1999999993</v>
      </c>
      <c r="M14" s="4"/>
      <c r="N14" s="4">
        <f t="shared" si="0"/>
        <v>2897948.6300000008</v>
      </c>
      <c r="O14" s="4">
        <f t="shared" si="1"/>
        <v>113796</v>
      </c>
      <c r="P14" s="4">
        <f t="shared" si="4"/>
        <v>-119304.92</v>
      </c>
      <c r="Q14" s="13">
        <f t="shared" si="5"/>
        <v>2892439.7100000009</v>
      </c>
      <c r="R14" s="4"/>
    </row>
    <row r="15" spans="2:22" x14ac:dyDescent="0.25">
      <c r="B15" t="s">
        <v>26</v>
      </c>
      <c r="C15" t="s">
        <v>27</v>
      </c>
      <c r="D15" s="4">
        <f>+'2016'!G15</f>
        <v>4613006.87</v>
      </c>
      <c r="E15" s="4">
        <v>110156</v>
      </c>
      <c r="F15" s="4">
        <v>0</v>
      </c>
      <c r="G15" s="13">
        <f t="shared" si="2"/>
        <v>4723162.87</v>
      </c>
      <c r="H15" s="4"/>
      <c r="I15" s="4">
        <f>+'2016'!L15</f>
        <v>-2474000.1850000001</v>
      </c>
      <c r="J15" s="4">
        <f>-[1]Summary!$K14</f>
        <v>-72529.219999999987</v>
      </c>
      <c r="K15" s="4">
        <v>0</v>
      </c>
      <c r="L15" s="13">
        <f t="shared" si="3"/>
        <v>-2546529.4050000003</v>
      </c>
      <c r="M15" s="4"/>
      <c r="N15" s="4">
        <f t="shared" si="0"/>
        <v>2139006.6850000001</v>
      </c>
      <c r="O15" s="4">
        <f t="shared" si="1"/>
        <v>110156</v>
      </c>
      <c r="P15" s="4">
        <f t="shared" si="4"/>
        <v>-72529.219999999987</v>
      </c>
      <c r="Q15" s="13">
        <f t="shared" si="5"/>
        <v>2176633.4649999999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+'2016'!G16</f>
        <v>1326796.95</v>
      </c>
      <c r="E16" s="4">
        <v>29148</v>
      </c>
      <c r="F16" s="4">
        <v>0</v>
      </c>
      <c r="G16" s="27">
        <f t="shared" si="2"/>
        <v>1355944.95</v>
      </c>
      <c r="H16" s="4"/>
      <c r="I16" s="4">
        <f>+'2016'!L16</f>
        <v>-333801.45500000002</v>
      </c>
      <c r="J16" s="4">
        <f>-[1]Summary!$K15</f>
        <v>-31547.439999999999</v>
      </c>
      <c r="K16" s="4">
        <v>0</v>
      </c>
      <c r="L16" s="13">
        <f t="shared" si="3"/>
        <v>-365348.89500000002</v>
      </c>
      <c r="M16" s="4"/>
      <c r="N16" s="4">
        <f t="shared" si="0"/>
        <v>992995.49499999988</v>
      </c>
      <c r="O16" s="4">
        <f t="shared" si="1"/>
        <v>29148</v>
      </c>
      <c r="P16" s="4">
        <f t="shared" si="4"/>
        <v>-31547.439999999999</v>
      </c>
      <c r="Q16" s="13">
        <f t="shared" si="5"/>
        <v>990596.05499999993</v>
      </c>
      <c r="R16" s="4"/>
      <c r="U16" s="26"/>
    </row>
    <row r="17" spans="1:22" x14ac:dyDescent="0.25">
      <c r="B17" t="s">
        <v>30</v>
      </c>
      <c r="C17" t="s">
        <v>31</v>
      </c>
      <c r="D17" s="4">
        <f>+'2016'!G17</f>
        <v>0</v>
      </c>
      <c r="E17" s="4">
        <v>0</v>
      </c>
      <c r="F17" s="4">
        <v>0</v>
      </c>
      <c r="G17" s="13">
        <f t="shared" si="2"/>
        <v>0</v>
      </c>
      <c r="H17" s="4"/>
      <c r="I17" s="4">
        <f>+'2016'!L17</f>
        <v>0</v>
      </c>
      <c r="J17" s="4">
        <f>-[1]Summary!$K16</f>
        <v>0</v>
      </c>
      <c r="K17" s="4">
        <v>0</v>
      </c>
      <c r="L17" s="13">
        <f t="shared" si="3"/>
        <v>0</v>
      </c>
      <c r="M17" s="4"/>
      <c r="N17" s="4">
        <f t="shared" si="0"/>
        <v>0</v>
      </c>
      <c r="O17" s="4">
        <f t="shared" si="1"/>
        <v>0</v>
      </c>
      <c r="P17" s="4">
        <f t="shared" si="4"/>
        <v>0</v>
      </c>
      <c r="Q17" s="13">
        <f t="shared" si="5"/>
        <v>0</v>
      </c>
      <c r="R17" s="4"/>
      <c r="T17" s="5">
        <f>+N17</f>
        <v>0</v>
      </c>
      <c r="U17" s="26">
        <f>+T17/T19</f>
        <v>0</v>
      </c>
      <c r="V17" s="13">
        <f>+U17*N53</f>
        <v>0</v>
      </c>
    </row>
    <row r="18" spans="1:22" x14ac:dyDescent="0.25">
      <c r="B18" s="1">
        <v>1860.15</v>
      </c>
      <c r="C18" t="s">
        <v>55</v>
      </c>
      <c r="D18" s="4">
        <f>+'2016'!G18</f>
        <v>3186344.79</v>
      </c>
      <c r="E18" s="4">
        <f>12466+491</f>
        <v>12957</v>
      </c>
      <c r="F18" s="4"/>
      <c r="G18" s="13">
        <f t="shared" si="2"/>
        <v>3199301.79</v>
      </c>
      <c r="H18" s="4"/>
      <c r="I18" s="4">
        <f>+'2016'!L18</f>
        <v>-1416268.93</v>
      </c>
      <c r="J18" s="4">
        <f>-[1]Summary!$K17</f>
        <v>-212854.88999999996</v>
      </c>
      <c r="K18" s="4">
        <v>0</v>
      </c>
      <c r="L18" s="13">
        <f t="shared" ref="L18" si="6">SUM(I18:K18)</f>
        <v>-1629123.8199999998</v>
      </c>
      <c r="M18" s="4"/>
      <c r="N18" s="4">
        <f t="shared" si="0"/>
        <v>1770075.86</v>
      </c>
      <c r="O18" s="4">
        <f t="shared" si="1"/>
        <v>12957</v>
      </c>
      <c r="P18" s="4">
        <f t="shared" si="4"/>
        <v>-212854.88999999996</v>
      </c>
      <c r="Q18" s="13">
        <f t="shared" ref="Q18" si="7">SUM(N18:P18)</f>
        <v>1570177.9700000002</v>
      </c>
      <c r="R18" s="4"/>
      <c r="T18" s="5">
        <f>+N19</f>
        <v>46347.960000000006</v>
      </c>
      <c r="U18" s="26">
        <f>+T18/T19</f>
        <v>1</v>
      </c>
      <c r="V18" s="13">
        <f>+N53-V17</f>
        <v>0</v>
      </c>
    </row>
    <row r="19" spans="1:22" x14ac:dyDescent="0.25">
      <c r="B19" t="s">
        <v>32</v>
      </c>
      <c r="C19" t="s">
        <v>33</v>
      </c>
      <c r="D19" s="4">
        <f>+'2016'!G19</f>
        <v>94211.66</v>
      </c>
      <c r="E19" s="4">
        <v>0</v>
      </c>
      <c r="F19" s="4">
        <v>0</v>
      </c>
      <c r="G19" s="13">
        <f t="shared" si="2"/>
        <v>94211.66</v>
      </c>
      <c r="H19" s="4"/>
      <c r="I19" s="4">
        <f>+'2016'!L19</f>
        <v>-47863.7</v>
      </c>
      <c r="J19" s="4">
        <f>-[1]Summary!$K18</f>
        <v>-7065.9600000000009</v>
      </c>
      <c r="K19" s="4">
        <v>0</v>
      </c>
      <c r="L19" s="13">
        <f t="shared" si="3"/>
        <v>-54929.659999999996</v>
      </c>
      <c r="M19" s="4"/>
      <c r="N19" s="4">
        <f t="shared" si="0"/>
        <v>46347.960000000006</v>
      </c>
      <c r="O19" s="4">
        <f t="shared" si="1"/>
        <v>0</v>
      </c>
      <c r="P19" s="4">
        <f t="shared" si="4"/>
        <v>-7065.9600000000009</v>
      </c>
      <c r="Q19" s="13">
        <f t="shared" si="5"/>
        <v>39282.000000000007</v>
      </c>
      <c r="R19" s="4"/>
      <c r="T19" s="5">
        <f>+T17+T18</f>
        <v>46347.960000000006</v>
      </c>
      <c r="U19" s="26"/>
    </row>
    <row r="20" spans="1:22" ht="15.75" thickBot="1" x14ac:dyDescent="0.3">
      <c r="B20" s="2" t="s">
        <v>34</v>
      </c>
      <c r="C20" s="2" t="s">
        <v>35</v>
      </c>
      <c r="D20" s="18">
        <f>+'2016'!G20</f>
        <v>73618.78</v>
      </c>
      <c r="E20" s="18">
        <v>0</v>
      </c>
      <c r="F20" s="18">
        <v>0</v>
      </c>
      <c r="G20" s="19">
        <f t="shared" si="2"/>
        <v>73618.78</v>
      </c>
      <c r="H20" s="18"/>
      <c r="I20" s="18">
        <f>+'2016'!L20</f>
        <v>-22745.049999999996</v>
      </c>
      <c r="J20" s="18">
        <f>-[1]Summary!$K19</f>
        <v>-2385.3000000000002</v>
      </c>
      <c r="K20" s="18">
        <v>0</v>
      </c>
      <c r="L20" s="19">
        <f t="shared" si="3"/>
        <v>-25130.349999999995</v>
      </c>
      <c r="M20" s="18"/>
      <c r="N20" s="18">
        <f>+'2013'!Q20</f>
        <v>58029.63</v>
      </c>
      <c r="O20" s="18">
        <f t="shared" si="1"/>
        <v>0</v>
      </c>
      <c r="P20" s="18">
        <f t="shared" si="4"/>
        <v>-2385.3000000000002</v>
      </c>
      <c r="Q20" s="19">
        <f t="shared" si="5"/>
        <v>55644.329999999994</v>
      </c>
      <c r="R20" s="18"/>
      <c r="V20" s="13">
        <f>+V17+V18</f>
        <v>0</v>
      </c>
    </row>
    <row r="21" spans="1:22" x14ac:dyDescent="0.25">
      <c r="D21" s="4"/>
      <c r="E21" s="4"/>
      <c r="F21" s="4"/>
      <c r="G21" s="13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1:22" s="9" customFormat="1" ht="15.75" thickBot="1" x14ac:dyDescent="0.3">
      <c r="A22"/>
      <c r="B22" s="10" t="s">
        <v>57</v>
      </c>
      <c r="C22" s="10"/>
      <c r="D22" s="19">
        <f>SUM(D7:D21)</f>
        <v>55239204.398000002</v>
      </c>
      <c r="E22" s="19">
        <f>SUM(E7:E21)</f>
        <v>1730000</v>
      </c>
      <c r="F22" s="19">
        <f>SUM(F7:F21)</f>
        <v>0</v>
      </c>
      <c r="G22" s="19">
        <f>SUM(G7:G21)</f>
        <v>56969204.398000002</v>
      </c>
      <c r="H22" s="19"/>
      <c r="I22" s="19">
        <f>SUM(I7:I21)</f>
        <v>-26636843.979999993</v>
      </c>
      <c r="J22" s="19">
        <f>SUM(J7:J21)</f>
        <v>-1057412.2399999998</v>
      </c>
      <c r="K22" s="19">
        <f>SUM(K7:K21)</f>
        <v>0</v>
      </c>
      <c r="L22" s="19">
        <f>SUM(L7:L21)</f>
        <v>-27694256.220000003</v>
      </c>
      <c r="M22" s="19"/>
      <c r="N22" s="19">
        <f>SUM(N7:N21)</f>
        <v>28609516.318</v>
      </c>
      <c r="O22" s="19">
        <f>SUM(O7:O21)</f>
        <v>1730000</v>
      </c>
      <c r="P22" s="19">
        <f>SUM(P7:P21)</f>
        <v>-1057412.2399999998</v>
      </c>
      <c r="Q22" s="19">
        <f>SUM(Q7:Q21)</f>
        <v>29282104.077999998</v>
      </c>
      <c r="R22" s="19"/>
    </row>
    <row r="23" spans="1:22" x14ac:dyDescent="0.25">
      <c r="D23" s="4"/>
      <c r="E23" s="4"/>
      <c r="F23" s="4"/>
      <c r="G23" s="13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1:22" x14ac:dyDescent="0.25">
      <c r="D24" s="4"/>
      <c r="E24" s="4"/>
      <c r="F24" s="4"/>
      <c r="G24" s="13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1:22" x14ac:dyDescent="0.25">
      <c r="B25" s="31">
        <v>1905</v>
      </c>
      <c r="C25" t="s">
        <v>56</v>
      </c>
      <c r="D25" s="4">
        <f>+'2016'!G25</f>
        <v>174187.53</v>
      </c>
      <c r="E25" s="4"/>
      <c r="F25" s="4">
        <v>0</v>
      </c>
      <c r="G25" s="13">
        <f t="shared" ref="G25" si="8">SUM(D25:F25)</f>
        <v>174187.53</v>
      </c>
      <c r="H25" s="4"/>
      <c r="I25" s="4">
        <f>+'2016'!L25</f>
        <v>0</v>
      </c>
      <c r="J25" s="4">
        <v>0</v>
      </c>
      <c r="K25" s="4">
        <v>0</v>
      </c>
      <c r="L25" s="13">
        <f t="shared" ref="L25" si="9">SUM(I25:K25)</f>
        <v>0</v>
      </c>
      <c r="M25" s="4"/>
      <c r="N25" s="4">
        <f t="shared" ref="N25:N38" si="10">+D25+I25</f>
        <v>174187.53</v>
      </c>
      <c r="O25" s="4">
        <f t="shared" ref="O25:O38" si="11">+E25+F25</f>
        <v>0</v>
      </c>
      <c r="P25" s="4">
        <f t="shared" ref="P25" si="12">+J25+K25</f>
        <v>0</v>
      </c>
      <c r="Q25" s="13">
        <f t="shared" ref="Q25" si="13">SUM(N25:P25)</f>
        <v>174187.53</v>
      </c>
      <c r="R25" s="4"/>
    </row>
    <row r="26" spans="1:22" x14ac:dyDescent="0.25">
      <c r="B26" s="32" t="s">
        <v>36</v>
      </c>
      <c r="C26" t="s">
        <v>37</v>
      </c>
      <c r="D26" s="4">
        <f>+'2016'!G26</f>
        <v>2711552.27</v>
      </c>
      <c r="E26" s="4">
        <v>10000</v>
      </c>
      <c r="F26" s="4">
        <v>0</v>
      </c>
      <c r="G26" s="13">
        <f t="shared" si="2"/>
        <v>2721552.27</v>
      </c>
      <c r="H26" s="4"/>
      <c r="I26" s="4">
        <f>+'2016'!L26</f>
        <v>-1085794.3700000001</v>
      </c>
      <c r="J26" s="4">
        <f>-[1]Summary!$K20</f>
        <v>-40796.844999999994</v>
      </c>
      <c r="K26" s="4">
        <v>0</v>
      </c>
      <c r="L26" s="13">
        <f t="shared" si="3"/>
        <v>-1126591.2150000001</v>
      </c>
      <c r="M26" s="4"/>
      <c r="N26" s="4">
        <f t="shared" si="10"/>
        <v>1625757.9</v>
      </c>
      <c r="O26" s="4">
        <f t="shared" si="11"/>
        <v>10000</v>
      </c>
      <c r="P26" s="4">
        <f t="shared" si="4"/>
        <v>-40796.844999999994</v>
      </c>
      <c r="Q26" s="13">
        <f t="shared" si="5"/>
        <v>1594961.0549999999</v>
      </c>
      <c r="R26" s="4"/>
    </row>
    <row r="27" spans="1:22" x14ac:dyDescent="0.25">
      <c r="B27" s="32" t="s">
        <v>38</v>
      </c>
      <c r="C27" t="s">
        <v>39</v>
      </c>
      <c r="D27" s="4">
        <f>+'2016'!G27</f>
        <v>22164.09</v>
      </c>
      <c r="E27" s="4">
        <v>0</v>
      </c>
      <c r="F27" s="4">
        <v>0</v>
      </c>
      <c r="G27" s="13">
        <f t="shared" si="2"/>
        <v>22164.09</v>
      </c>
      <c r="H27" s="4"/>
      <c r="I27" s="4">
        <f>+'2016'!L27</f>
        <v>-11146.710000000001</v>
      </c>
      <c r="J27" s="4">
        <f>-[1]Summary!$K21</f>
        <v>-2362.7600000000002</v>
      </c>
      <c r="K27" s="4">
        <v>0</v>
      </c>
      <c r="L27" s="13">
        <f t="shared" si="3"/>
        <v>-13509.470000000001</v>
      </c>
      <c r="M27" s="4"/>
      <c r="N27" s="4">
        <f t="shared" si="10"/>
        <v>11017.38</v>
      </c>
      <c r="O27" s="4">
        <f t="shared" si="11"/>
        <v>0</v>
      </c>
      <c r="P27" s="4">
        <f t="shared" si="4"/>
        <v>-2362.7600000000002</v>
      </c>
      <c r="Q27" s="13">
        <f t="shared" si="5"/>
        <v>8654.619999999999</v>
      </c>
      <c r="R27" s="4"/>
    </row>
    <row r="28" spans="1:22" x14ac:dyDescent="0.25">
      <c r="B28" s="32" t="s">
        <v>40</v>
      </c>
      <c r="C28" t="s">
        <v>41</v>
      </c>
      <c r="D28" s="4">
        <f>+'2016'!G28</f>
        <v>271936.87</v>
      </c>
      <c r="E28" s="4">
        <v>5000</v>
      </c>
      <c r="F28" s="4">
        <v>0</v>
      </c>
      <c r="G28" s="27">
        <f t="shared" si="2"/>
        <v>276936.87</v>
      </c>
      <c r="H28" s="4"/>
      <c r="I28" s="4">
        <f>+'2016'!L28</f>
        <v>-70468.2</v>
      </c>
      <c r="J28" s="4">
        <f>-[1]Summary!$K22</f>
        <v>-27443.64</v>
      </c>
      <c r="K28" s="4">
        <v>0</v>
      </c>
      <c r="L28" s="13">
        <f t="shared" si="3"/>
        <v>-97911.84</v>
      </c>
      <c r="M28" s="4"/>
      <c r="N28" s="4">
        <f t="shared" si="10"/>
        <v>201468.66999999998</v>
      </c>
      <c r="O28" s="4">
        <f t="shared" si="11"/>
        <v>5000</v>
      </c>
      <c r="P28" s="4">
        <f t="shared" si="4"/>
        <v>-27443.64</v>
      </c>
      <c r="Q28" s="13">
        <f t="shared" si="5"/>
        <v>179025.02999999997</v>
      </c>
      <c r="R28" s="4"/>
    </row>
    <row r="29" spans="1:22" x14ac:dyDescent="0.25">
      <c r="B29" s="32" t="s">
        <v>42</v>
      </c>
      <c r="C29" t="s">
        <v>105</v>
      </c>
      <c r="D29" s="4">
        <f>+'2016'!G29</f>
        <v>454056.8</v>
      </c>
      <c r="E29" s="4">
        <v>48000</v>
      </c>
      <c r="F29" s="4">
        <v>0</v>
      </c>
      <c r="G29" s="13">
        <f t="shared" si="2"/>
        <v>502056.8</v>
      </c>
      <c r="H29" s="4"/>
      <c r="I29" s="4">
        <f>+'2016'!L29</f>
        <v>-311304.06999999995</v>
      </c>
      <c r="J29" s="4">
        <f>-[1]Summary!$K23</f>
        <v>-72952.650000000023</v>
      </c>
      <c r="K29" s="4">
        <v>0</v>
      </c>
      <c r="L29" s="13">
        <f t="shared" si="3"/>
        <v>-384256.72</v>
      </c>
      <c r="M29" s="4"/>
      <c r="N29" s="4">
        <f t="shared" si="10"/>
        <v>142752.73000000004</v>
      </c>
      <c r="O29" s="4">
        <f t="shared" si="11"/>
        <v>48000</v>
      </c>
      <c r="P29" s="4">
        <f t="shared" si="4"/>
        <v>-72952.650000000023</v>
      </c>
      <c r="Q29" s="13">
        <f t="shared" si="5"/>
        <v>117800.08000000002</v>
      </c>
      <c r="R29" s="4"/>
    </row>
    <row r="30" spans="1:22" x14ac:dyDescent="0.25">
      <c r="B30" s="32" t="s">
        <v>44</v>
      </c>
      <c r="C30" t="s">
        <v>45</v>
      </c>
      <c r="D30" s="4">
        <f>+'2016'!G30</f>
        <v>286601.23</v>
      </c>
      <c r="E30" s="4">
        <v>60000</v>
      </c>
      <c r="F30" s="4">
        <v>0</v>
      </c>
      <c r="G30" s="13">
        <f t="shared" si="2"/>
        <v>346601.23</v>
      </c>
      <c r="H30" s="4"/>
      <c r="I30" s="4">
        <f>+'2016'!L30</f>
        <v>-190774.22999999998</v>
      </c>
      <c r="J30" s="4">
        <f>-[1]Summary!$K24</f>
        <v>-33027</v>
      </c>
      <c r="K30" s="4">
        <v>0</v>
      </c>
      <c r="L30" s="13">
        <f t="shared" si="3"/>
        <v>-223801.22999999998</v>
      </c>
      <c r="M30" s="4"/>
      <c r="N30" s="4">
        <f t="shared" si="10"/>
        <v>95827</v>
      </c>
      <c r="O30" s="4">
        <f t="shared" si="11"/>
        <v>60000</v>
      </c>
      <c r="P30" s="4">
        <f t="shared" si="4"/>
        <v>-33027</v>
      </c>
      <c r="Q30" s="13">
        <f t="shared" si="5"/>
        <v>122800</v>
      </c>
      <c r="R30" s="4"/>
    </row>
    <row r="31" spans="1:22" x14ac:dyDescent="0.25">
      <c r="B31" s="32" t="s">
        <v>46</v>
      </c>
      <c r="C31" t="s">
        <v>47</v>
      </c>
      <c r="D31" s="4">
        <f>+'2016'!G31</f>
        <v>398134.18</v>
      </c>
      <c r="E31" s="4">
        <v>0</v>
      </c>
      <c r="F31" s="4">
        <v>0</v>
      </c>
      <c r="G31" s="13">
        <f t="shared" si="2"/>
        <v>398134.18</v>
      </c>
      <c r="H31" s="4"/>
      <c r="I31" s="4">
        <f>+'2016'!L31</f>
        <v>-183817.09999999998</v>
      </c>
      <c r="J31" s="4">
        <f>-[1]Summary!$K25</f>
        <v>-39813.42</v>
      </c>
      <c r="K31" s="4">
        <v>0</v>
      </c>
      <c r="L31" s="13">
        <f t="shared" si="3"/>
        <v>-223630.51999999996</v>
      </c>
      <c r="M31" s="4"/>
      <c r="N31" s="4">
        <f t="shared" si="10"/>
        <v>214317.08000000002</v>
      </c>
      <c r="O31" s="4">
        <f t="shared" si="11"/>
        <v>0</v>
      </c>
      <c r="P31" s="4">
        <f t="shared" si="4"/>
        <v>-39813.42</v>
      </c>
      <c r="Q31" s="13">
        <f t="shared" si="5"/>
        <v>174503.66000000003</v>
      </c>
      <c r="R31" s="4"/>
    </row>
    <row r="32" spans="1:22" x14ac:dyDescent="0.25">
      <c r="B32" s="31">
        <v>1930</v>
      </c>
      <c r="C32" t="s">
        <v>59</v>
      </c>
      <c r="D32" s="4">
        <f>+'2016'!G32</f>
        <v>1426215.54</v>
      </c>
      <c r="E32" s="4">
        <v>265000</v>
      </c>
      <c r="F32" s="4"/>
      <c r="G32" s="13">
        <f t="shared" si="2"/>
        <v>1691215.54</v>
      </c>
      <c r="H32" s="4"/>
      <c r="I32" s="4">
        <f>+'2016'!L32</f>
        <v>-523334.12599999993</v>
      </c>
      <c r="J32" s="4">
        <f>-[1]Summary!$K26</f>
        <v>-127226.60533333333</v>
      </c>
      <c r="K32" s="4"/>
      <c r="L32" s="13">
        <f t="shared" si="3"/>
        <v>-650560.7313333333</v>
      </c>
      <c r="M32" s="4"/>
      <c r="N32" s="4">
        <f t="shared" si="10"/>
        <v>902881.41400000011</v>
      </c>
      <c r="O32" s="4">
        <f t="shared" si="11"/>
        <v>265000</v>
      </c>
      <c r="P32" s="4">
        <f t="shared" si="4"/>
        <v>-127226.60533333333</v>
      </c>
      <c r="Q32" s="13">
        <f t="shared" ref="Q32" si="14">SUM(N32:P32)</f>
        <v>1040654.8086666667</v>
      </c>
      <c r="R32" s="4"/>
    </row>
    <row r="33" spans="2:20" x14ac:dyDescent="0.25">
      <c r="B33" s="32" t="s">
        <v>48</v>
      </c>
      <c r="C33" t="s">
        <v>49</v>
      </c>
      <c r="D33" s="4">
        <f>+'2016'!G33</f>
        <v>468127.30000000005</v>
      </c>
      <c r="E33" s="4">
        <v>20000</v>
      </c>
      <c r="F33" s="4">
        <v>0</v>
      </c>
      <c r="G33" s="27">
        <f t="shared" si="2"/>
        <v>488127.30000000005</v>
      </c>
      <c r="H33" s="4"/>
      <c r="I33" s="4">
        <f>+'2016'!L33</f>
        <v>-215796.81</v>
      </c>
      <c r="J33" s="4">
        <f>-[1]Summary!$K27</f>
        <v>-47812.729999999996</v>
      </c>
      <c r="K33" s="4">
        <v>0</v>
      </c>
      <c r="L33" s="13">
        <f t="shared" si="3"/>
        <v>-263609.53999999998</v>
      </c>
      <c r="M33" s="4"/>
      <c r="N33" s="4">
        <f t="shared" si="10"/>
        <v>252330.49000000005</v>
      </c>
      <c r="O33" s="4">
        <f t="shared" si="11"/>
        <v>20000</v>
      </c>
      <c r="P33" s="4">
        <f t="shared" si="4"/>
        <v>-47812.729999999996</v>
      </c>
      <c r="Q33" s="13">
        <f t="shared" si="5"/>
        <v>224517.76000000007</v>
      </c>
      <c r="R33" s="4"/>
    </row>
    <row r="34" spans="2:20" x14ac:dyDescent="0.25">
      <c r="B34" s="32" t="s">
        <v>50</v>
      </c>
      <c r="C34" t="s">
        <v>51</v>
      </c>
      <c r="D34" s="4">
        <f>+'2016'!G34</f>
        <v>12465.77</v>
      </c>
      <c r="E34" s="4">
        <v>0</v>
      </c>
      <c r="F34" s="4">
        <v>0</v>
      </c>
      <c r="G34" s="13">
        <f t="shared" si="2"/>
        <v>12465.77</v>
      </c>
      <c r="H34" s="4"/>
      <c r="I34" s="4">
        <f>+'2016'!L34</f>
        <v>-12465.72</v>
      </c>
      <c r="J34" s="4">
        <f>-[1]Summary!$K28</f>
        <v>0</v>
      </c>
      <c r="K34" s="4">
        <v>0</v>
      </c>
      <c r="L34" s="13">
        <f t="shared" si="3"/>
        <v>-12465.72</v>
      </c>
      <c r="M34" s="4"/>
      <c r="N34" s="4">
        <f t="shared" si="10"/>
        <v>5.0000000001091394E-2</v>
      </c>
      <c r="O34" s="4">
        <f t="shared" si="11"/>
        <v>0</v>
      </c>
      <c r="P34" s="4">
        <f t="shared" si="4"/>
        <v>0</v>
      </c>
      <c r="Q34" s="13">
        <f t="shared" si="5"/>
        <v>5.0000000001091394E-2</v>
      </c>
      <c r="R34" s="4"/>
    </row>
    <row r="35" spans="2:20" x14ac:dyDescent="0.25">
      <c r="B35" s="32" t="s">
        <v>52</v>
      </c>
      <c r="C35" t="s">
        <v>53</v>
      </c>
      <c r="D35" s="4">
        <f>+'2016'!G35</f>
        <v>200000</v>
      </c>
      <c r="E35" s="4">
        <v>0</v>
      </c>
      <c r="F35" s="4">
        <v>0</v>
      </c>
      <c r="G35" s="13">
        <f t="shared" si="2"/>
        <v>200000</v>
      </c>
      <c r="H35" s="4"/>
      <c r="I35" s="4">
        <f>+'2016'!L35</f>
        <v>-66666.649999999994</v>
      </c>
      <c r="J35" s="4">
        <f>-[1]Summary!$K29</f>
        <v>-13333.33</v>
      </c>
      <c r="K35" s="4">
        <v>0</v>
      </c>
      <c r="L35" s="13">
        <f t="shared" si="3"/>
        <v>-79999.98</v>
      </c>
      <c r="M35" s="4"/>
      <c r="N35" s="4">
        <f t="shared" si="10"/>
        <v>133333.35</v>
      </c>
      <c r="O35" s="4">
        <f t="shared" si="11"/>
        <v>0</v>
      </c>
      <c r="P35" s="4">
        <f t="shared" si="4"/>
        <v>-13333.33</v>
      </c>
      <c r="Q35" s="13">
        <f t="shared" si="5"/>
        <v>120000.02</v>
      </c>
      <c r="R35" s="4"/>
    </row>
    <row r="36" spans="2:20" x14ac:dyDescent="0.25">
      <c r="B36" s="31">
        <v>1980</v>
      </c>
      <c r="C36" t="s">
        <v>54</v>
      </c>
      <c r="D36" s="4">
        <f>+'2016'!G36</f>
        <v>158001.21</v>
      </c>
      <c r="E36" s="4">
        <v>50000</v>
      </c>
      <c r="F36" s="4"/>
      <c r="G36" s="13">
        <f t="shared" si="2"/>
        <v>208001.21</v>
      </c>
      <c r="H36" s="4"/>
      <c r="I36" s="4">
        <f>+'2016'!L36</f>
        <v>-63001.189999999988</v>
      </c>
      <c r="J36" s="4">
        <f>-[1]Summary!$K30</f>
        <v>-6250</v>
      </c>
      <c r="K36" s="4"/>
      <c r="L36" s="13">
        <f t="shared" si="3"/>
        <v>-69251.189999999988</v>
      </c>
      <c r="M36" s="4"/>
      <c r="N36" s="4">
        <f t="shared" si="10"/>
        <v>95000.02</v>
      </c>
      <c r="O36" s="4">
        <f t="shared" si="11"/>
        <v>50000</v>
      </c>
      <c r="P36" s="4">
        <f t="shared" si="4"/>
        <v>-6250</v>
      </c>
      <c r="Q36" s="13">
        <f t="shared" ref="Q36" si="15">SUM(N36:P36)</f>
        <v>138750.02000000002</v>
      </c>
      <c r="R36" s="4"/>
    </row>
    <row r="37" spans="2:20" ht="15.75" thickBot="1" x14ac:dyDescent="0.3">
      <c r="B37" s="33">
        <v>1980.1</v>
      </c>
      <c r="C37" s="2" t="s">
        <v>66</v>
      </c>
      <c r="D37" s="18">
        <f>+'2016'!G37</f>
        <v>667702.37</v>
      </c>
      <c r="E37" s="18">
        <v>0</v>
      </c>
      <c r="F37" s="18">
        <v>0</v>
      </c>
      <c r="G37" s="19">
        <f t="shared" si="2"/>
        <v>667702.37</v>
      </c>
      <c r="H37" s="18"/>
      <c r="I37" s="18">
        <f>+'2016'!L37</f>
        <v>-181873.44500000001</v>
      </c>
      <c r="J37" s="18">
        <f>-[1]Summary!$K31</f>
        <v>-49166.478000000003</v>
      </c>
      <c r="K37" s="18">
        <v>0</v>
      </c>
      <c r="L37" s="19">
        <f t="shared" si="3"/>
        <v>-231039.92300000001</v>
      </c>
      <c r="M37" s="18"/>
      <c r="N37" s="18">
        <f t="shared" si="10"/>
        <v>485828.92499999999</v>
      </c>
      <c r="O37" s="18">
        <f t="shared" si="11"/>
        <v>0</v>
      </c>
      <c r="P37" s="18">
        <f t="shared" si="4"/>
        <v>-49166.478000000003</v>
      </c>
      <c r="Q37" s="19">
        <f t="shared" si="5"/>
        <v>436662.44699999999</v>
      </c>
      <c r="R37" s="18"/>
    </row>
    <row r="38" spans="2:20" x14ac:dyDescent="0.25">
      <c r="D38" s="4"/>
      <c r="E38" s="4"/>
      <c r="F38" s="4">
        <v>0</v>
      </c>
      <c r="G38" s="13">
        <f t="shared" si="2"/>
        <v>0</v>
      </c>
      <c r="H38" s="4"/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0"/>
        <v>0</v>
      </c>
      <c r="O38" s="4">
        <f t="shared" si="11"/>
        <v>0</v>
      </c>
      <c r="P38" s="4">
        <f t="shared" si="4"/>
        <v>0</v>
      </c>
      <c r="Q38" s="13">
        <f t="shared" si="5"/>
        <v>0</v>
      </c>
      <c r="R38" s="4"/>
    </row>
    <row r="39" spans="2:20" s="9" customFormat="1" ht="15.75" thickBot="1" x14ac:dyDescent="0.3">
      <c r="B39" s="10" t="s">
        <v>58</v>
      </c>
      <c r="C39" s="10"/>
      <c r="D39" s="19">
        <f>SUM(D25:D38)</f>
        <v>7251145.1599999992</v>
      </c>
      <c r="E39" s="19">
        <f>SUM(E25:E38)</f>
        <v>458000</v>
      </c>
      <c r="F39" s="19">
        <f>SUM(F25:F38)</f>
        <v>0</v>
      </c>
      <c r="G39" s="19">
        <f>SUM(G25:G38)</f>
        <v>7709145.1599999992</v>
      </c>
      <c r="H39" s="19"/>
      <c r="I39" s="19">
        <f>SUM(I25:I38)</f>
        <v>-2916442.6209999998</v>
      </c>
      <c r="J39" s="19">
        <f>SUM(J25:J38)</f>
        <v>-460185.45833333331</v>
      </c>
      <c r="K39" s="19">
        <f>SUM(K25:K38)</f>
        <v>0</v>
      </c>
      <c r="L39" s="19">
        <f>SUM(L25:L38)</f>
        <v>-3376628.0793333333</v>
      </c>
      <c r="M39" s="19"/>
      <c r="N39" s="19">
        <f>SUM(N25:N38)</f>
        <v>4334702.5389999999</v>
      </c>
      <c r="O39" s="19">
        <f>SUM(O25:O38)</f>
        <v>458000</v>
      </c>
      <c r="P39" s="19">
        <f>SUM(P25:P38)</f>
        <v>-460185.45833333331</v>
      </c>
      <c r="Q39" s="19">
        <f>SUM(Q25:Q38)</f>
        <v>4332517.0806666678</v>
      </c>
      <c r="R39" s="19"/>
    </row>
    <row r="40" spans="2:20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2:20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2:20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2:20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  <c r="S43" s="28"/>
    </row>
    <row r="44" spans="2:20" x14ac:dyDescent="0.25">
      <c r="B44" s="24" t="s">
        <v>12</v>
      </c>
      <c r="C44" s="7" t="s">
        <v>13</v>
      </c>
      <c r="D44" s="8">
        <f>+'2016'!G44</f>
        <v>0</v>
      </c>
      <c r="E44" s="8">
        <v>0</v>
      </c>
      <c r="F44" s="8">
        <v>0</v>
      </c>
      <c r="G44" s="16">
        <f>SUM(D44:F44)</f>
        <v>0</v>
      </c>
      <c r="I44" s="8">
        <f>+'2016'!L44</f>
        <v>0</v>
      </c>
      <c r="J44" s="7"/>
      <c r="K44" s="7"/>
      <c r="L44" s="15"/>
      <c r="M44" s="4"/>
      <c r="N44" s="8">
        <f t="shared" ref="N44:N55" si="16">+D44+I44</f>
        <v>0</v>
      </c>
      <c r="O44" s="8">
        <f t="shared" ref="O44:O55" si="17">+E44+F44</f>
        <v>0</v>
      </c>
      <c r="P44" s="8">
        <f t="shared" ref="P44:P55" si="18">+J44+K44</f>
        <v>0</v>
      </c>
      <c r="Q44" s="16">
        <f t="shared" ref="Q44:Q53" si="19">SUM(N44:P44)</f>
        <v>0</v>
      </c>
      <c r="R44" s="4"/>
      <c r="S44" s="28"/>
    </row>
    <row r="45" spans="2:20" x14ac:dyDescent="0.25">
      <c r="B45" s="34" t="s">
        <v>14</v>
      </c>
      <c r="C45" s="7" t="s">
        <v>15</v>
      </c>
      <c r="D45" s="8">
        <f>+'2016'!G45</f>
        <v>-1342015.8299999998</v>
      </c>
      <c r="E45" s="8">
        <v>-3000</v>
      </c>
      <c r="F45" s="8">
        <v>0</v>
      </c>
      <c r="G45" s="16">
        <f>SUM(D45:F45)</f>
        <v>-1345015.8299999998</v>
      </c>
      <c r="I45" s="8">
        <f>+'2016'!L45</f>
        <v>483831.53037271282</v>
      </c>
      <c r="J45" s="8">
        <f>-[1]Summary!$K39</f>
        <v>24452.264999999992</v>
      </c>
      <c r="K45" s="8">
        <v>0</v>
      </c>
      <c r="L45" s="16">
        <f>SUM(I45:K45)</f>
        <v>508283.79537271283</v>
      </c>
      <c r="M45" s="4"/>
      <c r="N45" s="8">
        <f t="shared" si="16"/>
        <v>-858184.29962728708</v>
      </c>
      <c r="O45" s="8">
        <f t="shared" si="17"/>
        <v>-3000</v>
      </c>
      <c r="P45" s="8">
        <f t="shared" si="18"/>
        <v>24452.264999999992</v>
      </c>
      <c r="Q45" s="16">
        <f t="shared" si="19"/>
        <v>-836732.03462728707</v>
      </c>
      <c r="R45" s="4"/>
      <c r="S45" s="28"/>
      <c r="T45" s="22"/>
    </row>
    <row r="46" spans="2:20" x14ac:dyDescent="0.25">
      <c r="B46" s="34" t="s">
        <v>16</v>
      </c>
      <c r="C46" s="7" t="s">
        <v>17</v>
      </c>
      <c r="D46" s="8">
        <f>+'2016'!G46</f>
        <v>-1150800.3400000001</v>
      </c>
      <c r="E46" s="8">
        <v>-4000</v>
      </c>
      <c r="F46" s="8">
        <v>0</v>
      </c>
      <c r="G46" s="16">
        <f>SUM(D46:F46)</f>
        <v>-1154800.3400000001</v>
      </c>
      <c r="I46" s="8">
        <f>+'2016'!L46</f>
        <v>386397.05365983711</v>
      </c>
      <c r="J46" s="8">
        <f>-[1]Summary!$K40</f>
        <v>15272.235000000001</v>
      </c>
      <c r="K46" s="8">
        <v>0</v>
      </c>
      <c r="L46" s="16">
        <f>SUM(I46:K46)</f>
        <v>401669.2886598371</v>
      </c>
      <c r="M46" s="4"/>
      <c r="N46" s="8">
        <f t="shared" si="16"/>
        <v>-764403.28634016297</v>
      </c>
      <c r="O46" s="8">
        <f t="shared" si="17"/>
        <v>-4000</v>
      </c>
      <c r="P46" s="8">
        <f t="shared" si="18"/>
        <v>15272.235000000001</v>
      </c>
      <c r="Q46" s="16">
        <f t="shared" si="19"/>
        <v>-753131.05134016299</v>
      </c>
      <c r="R46" s="4"/>
      <c r="S46" s="28"/>
      <c r="T46" s="22"/>
    </row>
    <row r="47" spans="2:20" x14ac:dyDescent="0.25">
      <c r="B47" s="34" t="s">
        <v>18</v>
      </c>
      <c r="C47" s="7" t="s">
        <v>19</v>
      </c>
      <c r="D47" s="8">
        <f>+'2016'!G47</f>
        <v>-990766.24</v>
      </c>
      <c r="E47" s="8">
        <v>-22000</v>
      </c>
      <c r="F47" s="8">
        <v>0</v>
      </c>
      <c r="G47" s="16">
        <f t="shared" ref="G47:G55" si="20">SUM(D47:F47)</f>
        <v>-1012766.24</v>
      </c>
      <c r="I47" s="8">
        <f>+'2016'!L47</f>
        <v>321793.80557171645</v>
      </c>
      <c r="J47" s="8">
        <f>-[1]Summary!$K41</f>
        <v>25042.82</v>
      </c>
      <c r="K47" s="8">
        <v>0</v>
      </c>
      <c r="L47" s="16">
        <f t="shared" ref="L47:L56" si="21">SUM(I47:K47)</f>
        <v>346836.62557171646</v>
      </c>
      <c r="M47" s="4"/>
      <c r="N47" s="8">
        <f t="shared" si="16"/>
        <v>-668972.43442828348</v>
      </c>
      <c r="O47" s="8">
        <f t="shared" si="17"/>
        <v>-22000</v>
      </c>
      <c r="P47" s="8">
        <f t="shared" si="18"/>
        <v>25042.82</v>
      </c>
      <c r="Q47" s="16">
        <f t="shared" si="19"/>
        <v>-665929.61442828353</v>
      </c>
      <c r="R47" s="4"/>
      <c r="S47" s="28"/>
      <c r="T47" s="22"/>
    </row>
    <row r="48" spans="2:20" x14ac:dyDescent="0.25">
      <c r="B48" s="34" t="s">
        <v>20</v>
      </c>
      <c r="C48" s="7" t="s">
        <v>21</v>
      </c>
      <c r="D48" s="8">
        <f>+'2016'!G48</f>
        <v>-1489037.5</v>
      </c>
      <c r="E48" s="8">
        <v>-34000</v>
      </c>
      <c r="F48" s="8">
        <v>0</v>
      </c>
      <c r="G48" s="16">
        <f t="shared" si="20"/>
        <v>-1523037.5</v>
      </c>
      <c r="I48" s="8">
        <f>+'2016'!L48</f>
        <v>518789.92715116695</v>
      </c>
      <c r="J48" s="8">
        <f>-[1]Summary!$K42</f>
        <v>32759.93</v>
      </c>
      <c r="K48" s="8">
        <v>0</v>
      </c>
      <c r="L48" s="16">
        <f t="shared" si="21"/>
        <v>551549.857151167</v>
      </c>
      <c r="M48" s="4"/>
      <c r="N48" s="8">
        <f t="shared" si="16"/>
        <v>-970247.57284883305</v>
      </c>
      <c r="O48" s="8">
        <f t="shared" si="17"/>
        <v>-34000</v>
      </c>
      <c r="P48" s="8">
        <f t="shared" si="18"/>
        <v>32759.93</v>
      </c>
      <c r="Q48" s="16">
        <f t="shared" si="19"/>
        <v>-971487.642848833</v>
      </c>
      <c r="R48" s="4"/>
      <c r="S48" s="28"/>
      <c r="T48" s="22"/>
    </row>
    <row r="49" spans="2:22" x14ac:dyDescent="0.25">
      <c r="B49" s="34" t="s">
        <v>22</v>
      </c>
      <c r="C49" s="7" t="s">
        <v>23</v>
      </c>
      <c r="D49" s="8">
        <f>+'2016'!G49</f>
        <v>-1458745.22</v>
      </c>
      <c r="E49" s="8">
        <v>-16000</v>
      </c>
      <c r="F49" s="8">
        <v>0</v>
      </c>
      <c r="G49" s="16">
        <f t="shared" si="20"/>
        <v>-1474745.22</v>
      </c>
      <c r="I49" s="8">
        <f>+'2016'!L49</f>
        <v>376353.77964880102</v>
      </c>
      <c r="J49" s="8">
        <f>-[1]Summary!$K43</f>
        <v>32641.460000000003</v>
      </c>
      <c r="K49" s="8">
        <v>0</v>
      </c>
      <c r="L49" s="16">
        <f t="shared" si="21"/>
        <v>408995.23964880104</v>
      </c>
      <c r="M49" s="4"/>
      <c r="N49" s="8">
        <f t="shared" si="16"/>
        <v>-1082391.4403511989</v>
      </c>
      <c r="O49" s="8">
        <f t="shared" si="17"/>
        <v>-16000</v>
      </c>
      <c r="P49" s="8">
        <f t="shared" si="18"/>
        <v>32641.460000000003</v>
      </c>
      <c r="Q49" s="16">
        <f t="shared" si="19"/>
        <v>-1065749.9803511989</v>
      </c>
      <c r="R49" s="4"/>
      <c r="S49" s="28"/>
      <c r="T49" s="22"/>
    </row>
    <row r="50" spans="2:22" x14ac:dyDescent="0.25">
      <c r="B50" s="34" t="s">
        <v>24</v>
      </c>
      <c r="C50" s="7" t="s">
        <v>25</v>
      </c>
      <c r="D50" s="8">
        <f>+'2016'!G50</f>
        <v>-563893.87</v>
      </c>
      <c r="E50" s="8">
        <v>-2000</v>
      </c>
      <c r="F50" s="8">
        <v>0</v>
      </c>
      <c r="G50" s="16">
        <f t="shared" si="20"/>
        <v>-565893.87</v>
      </c>
      <c r="I50" s="8">
        <f>+'2016'!L50</f>
        <v>214844.09799237078</v>
      </c>
      <c r="J50" s="8">
        <f>-[1]Summary!$K44</f>
        <v>14208.91</v>
      </c>
      <c r="K50" s="8">
        <v>0</v>
      </c>
      <c r="L50" s="16">
        <f t="shared" si="21"/>
        <v>229053.00799237078</v>
      </c>
      <c r="M50" s="4"/>
      <c r="N50" s="8">
        <f t="shared" si="16"/>
        <v>-349049.77200762922</v>
      </c>
      <c r="O50" s="8">
        <f t="shared" si="17"/>
        <v>-2000</v>
      </c>
      <c r="P50" s="8">
        <f t="shared" si="18"/>
        <v>14208.91</v>
      </c>
      <c r="Q50" s="16">
        <f t="shared" si="19"/>
        <v>-336840.86200762924</v>
      </c>
      <c r="R50" s="4"/>
      <c r="S50" s="28"/>
      <c r="T50" s="22"/>
    </row>
    <row r="51" spans="2:22" x14ac:dyDescent="0.25">
      <c r="B51" s="34" t="s">
        <v>26</v>
      </c>
      <c r="C51" s="7" t="s">
        <v>27</v>
      </c>
      <c r="D51" s="8">
        <f>+'2016'!G51</f>
        <v>-622631.77999999991</v>
      </c>
      <c r="E51" s="8">
        <v>-3000</v>
      </c>
      <c r="F51" s="8">
        <v>0</v>
      </c>
      <c r="G51" s="16">
        <f t="shared" si="20"/>
        <v>-625631.77999999991</v>
      </c>
      <c r="I51" s="8">
        <f>+'2016'!L51</f>
        <v>230005.80581226698</v>
      </c>
      <c r="J51" s="8">
        <f>-[1]Summary!$K45</f>
        <v>13408.57</v>
      </c>
      <c r="K51" s="8">
        <v>0</v>
      </c>
      <c r="L51" s="16">
        <f t="shared" si="21"/>
        <v>243414.37581226698</v>
      </c>
      <c r="M51" s="4"/>
      <c r="N51" s="8">
        <f t="shared" si="16"/>
        <v>-392625.97418773291</v>
      </c>
      <c r="O51" s="8">
        <f t="shared" si="17"/>
        <v>-3000</v>
      </c>
      <c r="P51" s="8">
        <f t="shared" si="18"/>
        <v>13408.57</v>
      </c>
      <c r="Q51" s="16">
        <f t="shared" si="19"/>
        <v>-382217.4041877329</v>
      </c>
      <c r="R51" s="4"/>
      <c r="S51" s="28"/>
      <c r="T51" s="22"/>
    </row>
    <row r="52" spans="2:22" x14ac:dyDescent="0.25">
      <c r="B52" s="34" t="s">
        <v>28</v>
      </c>
      <c r="C52" s="7" t="s">
        <v>29</v>
      </c>
      <c r="D52" s="8">
        <f>+'2016'!G52</f>
        <v>-441223.44999999995</v>
      </c>
      <c r="E52" s="8">
        <v>-7000</v>
      </c>
      <c r="F52" s="8">
        <v>0</v>
      </c>
      <c r="G52" s="16">
        <f t="shared" si="20"/>
        <v>-448223.44999999995</v>
      </c>
      <c r="I52" s="8">
        <f>+'2016'!L52</f>
        <v>154231.48820699277</v>
      </c>
      <c r="J52" s="8">
        <f>-[1]Summary!$K46</f>
        <v>9158.4599999999991</v>
      </c>
      <c r="K52" s="8">
        <v>0</v>
      </c>
      <c r="L52" s="16">
        <f t="shared" si="21"/>
        <v>163389.94820699276</v>
      </c>
      <c r="M52" s="3"/>
      <c r="N52" s="8">
        <f t="shared" si="16"/>
        <v>-286991.96179300721</v>
      </c>
      <c r="O52" s="8">
        <f t="shared" si="17"/>
        <v>-7000</v>
      </c>
      <c r="P52" s="8">
        <f t="shared" si="18"/>
        <v>9158.4599999999991</v>
      </c>
      <c r="Q52" s="16">
        <f t="shared" si="19"/>
        <v>-284833.50179300719</v>
      </c>
      <c r="R52" s="3"/>
      <c r="S52" s="28"/>
      <c r="T52" s="22"/>
    </row>
    <row r="53" spans="2:22" x14ac:dyDescent="0.25">
      <c r="B53" s="34" t="s">
        <v>30</v>
      </c>
      <c r="C53" s="7" t="s">
        <v>31</v>
      </c>
      <c r="D53" s="8">
        <f>+'2016'!G53</f>
        <v>0</v>
      </c>
      <c r="E53" s="8">
        <v>0</v>
      </c>
      <c r="F53" s="8">
        <v>0</v>
      </c>
      <c r="G53" s="16">
        <f t="shared" si="20"/>
        <v>0</v>
      </c>
      <c r="I53" s="8">
        <f>+'2016'!L53</f>
        <v>0</v>
      </c>
      <c r="J53" s="8">
        <f>-[1]Summary!$K47</f>
        <v>0</v>
      </c>
      <c r="K53" s="8">
        <v>0</v>
      </c>
      <c r="L53" s="16">
        <f t="shared" si="21"/>
        <v>0</v>
      </c>
      <c r="M53" s="3"/>
      <c r="N53" s="8">
        <f t="shared" si="16"/>
        <v>0</v>
      </c>
      <c r="O53" s="8">
        <f t="shared" si="17"/>
        <v>0</v>
      </c>
      <c r="P53" s="8">
        <f t="shared" si="18"/>
        <v>0</v>
      </c>
      <c r="Q53" s="16">
        <f t="shared" si="19"/>
        <v>0</v>
      </c>
      <c r="R53" s="3"/>
      <c r="S53" s="28"/>
      <c r="T53" s="22"/>
    </row>
    <row r="54" spans="2:22" x14ac:dyDescent="0.25">
      <c r="B54" s="35">
        <v>1860.15</v>
      </c>
      <c r="C54" s="7" t="s">
        <v>55</v>
      </c>
      <c r="D54" s="8">
        <f>+'2016'!G54</f>
        <v>-29842.059999999998</v>
      </c>
      <c r="E54" s="8">
        <v>-9000</v>
      </c>
      <c r="F54" s="8">
        <v>0</v>
      </c>
      <c r="G54" s="16">
        <f t="shared" si="20"/>
        <v>-38842.06</v>
      </c>
      <c r="I54" s="8">
        <f>+'2016'!L54</f>
        <v>1857.88</v>
      </c>
      <c r="J54" s="8">
        <f>-[1]Summary!$K48</f>
        <v>889.47</v>
      </c>
      <c r="K54" s="8">
        <v>0</v>
      </c>
      <c r="L54" s="16">
        <f t="shared" si="21"/>
        <v>2747.3500000000004</v>
      </c>
      <c r="M54" s="3"/>
      <c r="N54" s="8">
        <f t="shared" si="16"/>
        <v>-27984.179999999997</v>
      </c>
      <c r="O54" s="8">
        <f t="shared" si="17"/>
        <v>-9000</v>
      </c>
      <c r="P54" s="8">
        <f t="shared" si="18"/>
        <v>889.47</v>
      </c>
      <c r="Q54" s="16">
        <f t="shared" ref="Q54:Q55" si="22">SUM(N54:P54)</f>
        <v>-36094.709999999992</v>
      </c>
      <c r="R54" s="3"/>
      <c r="S54" s="28"/>
      <c r="T54" s="22"/>
      <c r="U54" s="3"/>
      <c r="V54" s="14"/>
    </row>
    <row r="55" spans="2:22" x14ac:dyDescent="0.25">
      <c r="B55" s="34" t="s">
        <v>32</v>
      </c>
      <c r="C55" s="7" t="s">
        <v>33</v>
      </c>
      <c r="D55" s="8">
        <f>+'2016'!G55</f>
        <v>-12919.73</v>
      </c>
      <c r="E55" s="8">
        <v>0</v>
      </c>
      <c r="F55" s="8">
        <v>0</v>
      </c>
      <c r="G55" s="16">
        <f t="shared" si="20"/>
        <v>-12919.73</v>
      </c>
      <c r="I55" s="8">
        <f>+'2016'!L55</f>
        <v>13540.460000000001</v>
      </c>
      <c r="J55" s="8">
        <f>-[1]Summary!$K49</f>
        <v>3627.7249999999999</v>
      </c>
      <c r="K55" s="8">
        <v>0</v>
      </c>
      <c r="L55" s="16">
        <f t="shared" si="21"/>
        <v>17168.185000000001</v>
      </c>
      <c r="M55" s="3"/>
      <c r="N55" s="8">
        <f t="shared" si="16"/>
        <v>620.73000000000138</v>
      </c>
      <c r="O55" s="8">
        <f t="shared" si="17"/>
        <v>0</v>
      </c>
      <c r="P55" s="8">
        <f t="shared" si="18"/>
        <v>3627.7249999999999</v>
      </c>
      <c r="Q55" s="16">
        <f t="shared" si="22"/>
        <v>4248.4550000000017</v>
      </c>
      <c r="R55" s="3"/>
      <c r="S55" s="38"/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f>+'2016'!G56</f>
        <v>0</v>
      </c>
      <c r="E56" s="20">
        <v>0</v>
      </c>
      <c r="F56" s="20">
        <v>0</v>
      </c>
      <c r="G56" s="21">
        <f t="shared" ref="G56" si="23">SUM(D56:F56)</f>
        <v>0</v>
      </c>
      <c r="I56" s="20">
        <f>+'2016'!L56</f>
        <v>0</v>
      </c>
      <c r="J56" s="20">
        <v>0</v>
      </c>
      <c r="K56" s="20">
        <v>0</v>
      </c>
      <c r="L56" s="21">
        <f t="shared" si="21"/>
        <v>0</v>
      </c>
      <c r="M56" s="3"/>
      <c r="N56" s="20"/>
      <c r="O56" s="20">
        <v>0</v>
      </c>
      <c r="P56" s="20">
        <v>0</v>
      </c>
      <c r="Q56" s="21">
        <f t="shared" ref="Q56" si="24">SUM(N56:P56)</f>
        <v>0</v>
      </c>
      <c r="R56" s="3"/>
      <c r="S56" s="38"/>
      <c r="T56" s="3"/>
      <c r="U56" s="3"/>
      <c r="V56" s="14"/>
    </row>
    <row r="57" spans="2:22" x14ac:dyDescent="0.25">
      <c r="M57" s="3"/>
      <c r="R57" s="3"/>
      <c r="S57" s="38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-8101876.0200000005</v>
      </c>
      <c r="E58" s="21">
        <f>SUM(E44:E57)</f>
        <v>-100000</v>
      </c>
      <c r="F58" s="21">
        <f>SUM(F44:F57)</f>
        <v>0</v>
      </c>
      <c r="G58" s="21">
        <f>SUM(G44:G57)</f>
        <v>-8201876.0200000005</v>
      </c>
      <c r="H58" s="9"/>
      <c r="I58" s="21">
        <f>SUM(I44:I57)</f>
        <v>2701645.8284158651</v>
      </c>
      <c r="J58" s="21">
        <f>SUM(J44:J57)</f>
        <v>171461.845</v>
      </c>
      <c r="K58" s="21">
        <f>SUM(K44:K57)</f>
        <v>0</v>
      </c>
      <c r="L58" s="21">
        <f>SUM(L44:L57)</f>
        <v>2873107.6734158657</v>
      </c>
      <c r="N58" s="21">
        <f>SUM(N44:N57)</f>
        <v>-5400230.1915841335</v>
      </c>
      <c r="O58" s="21">
        <f>SUM(O44:O57)</f>
        <v>-100000</v>
      </c>
      <c r="P58" s="21">
        <f>SUM(P44:P57)</f>
        <v>171461.845</v>
      </c>
      <c r="Q58" s="21">
        <f>SUM(Q44:Q57)</f>
        <v>-5328768.3465841357</v>
      </c>
    </row>
    <row r="60" spans="2:22" x14ac:dyDescent="0.25">
      <c r="G60" s="4"/>
    </row>
    <row r="61" spans="2:22" x14ac:dyDescent="0.25">
      <c r="B61" t="s">
        <v>10</v>
      </c>
      <c r="D61" s="22">
        <f>+D22+D39+D58</f>
        <v>54388473.537999995</v>
      </c>
      <c r="E61" s="22">
        <f>+E22+E39+E58</f>
        <v>2088000</v>
      </c>
      <c r="F61" s="22">
        <f>+F22+F39+F58</f>
        <v>0</v>
      </c>
      <c r="G61" s="23">
        <f>+D61+E61+F61</f>
        <v>56476473.537999995</v>
      </c>
      <c r="I61" s="4">
        <f>+I22+I39+I58</f>
        <v>-26851640.772584125</v>
      </c>
      <c r="J61" s="4">
        <f>+J22+J39+J58</f>
        <v>-1346135.853333333</v>
      </c>
      <c r="K61" s="4">
        <f>+K22+K39+K58</f>
        <v>0</v>
      </c>
      <c r="L61" s="13">
        <f>+I61+J61+K61</f>
        <v>-28197776.625917457</v>
      </c>
      <c r="N61" s="4">
        <f>+N22+N39+N58</f>
        <v>27543988.665415868</v>
      </c>
      <c r="O61" s="4">
        <f>+O22+O39+O58</f>
        <v>2088000</v>
      </c>
      <c r="P61" s="4">
        <f>+P22+P39+P58</f>
        <v>-1346135.853333333</v>
      </c>
      <c r="Q61" s="13">
        <f>+N61+O61+P61</f>
        <v>28285852.812082537</v>
      </c>
    </row>
    <row r="62" spans="2:22" ht="15.75" thickBot="1" x14ac:dyDescent="0.3">
      <c r="B62" s="2" t="s">
        <v>61</v>
      </c>
      <c r="C62" s="2"/>
      <c r="D62" s="18">
        <f>+'2016'!G62</f>
        <v>0</v>
      </c>
      <c r="E62" s="18">
        <v>0</v>
      </c>
      <c r="F62" s="18">
        <v>0</v>
      </c>
      <c r="G62" s="19">
        <f>+D62+E62+F62</f>
        <v>0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0</v>
      </c>
      <c r="O62" s="18">
        <f>+E62+F62</f>
        <v>0</v>
      </c>
      <c r="P62" s="18">
        <f>+J62+K62</f>
        <v>0</v>
      </c>
      <c r="Q62" s="18">
        <f>+N62+O62+P62</f>
        <v>0</v>
      </c>
    </row>
    <row r="63" spans="2:22" x14ac:dyDescent="0.25">
      <c r="L63"/>
    </row>
    <row r="64" spans="2:22" ht="15.75" thickBot="1" x14ac:dyDescent="0.3">
      <c r="B64" s="10" t="s">
        <v>64</v>
      </c>
      <c r="C64" s="2"/>
      <c r="D64" s="19">
        <f>+D61+D62</f>
        <v>54388473.537999995</v>
      </c>
      <c r="E64" s="19">
        <f>+E61+E62</f>
        <v>2088000</v>
      </c>
      <c r="F64" s="19">
        <f>+F61+F62</f>
        <v>0</v>
      </c>
      <c r="G64" s="19">
        <f>+G61+G62</f>
        <v>56476473.537999995</v>
      </c>
      <c r="I64" s="19">
        <f>+I61+I62</f>
        <v>-26851640.772584125</v>
      </c>
      <c r="J64" s="19">
        <f>+J61+J62</f>
        <v>-1346135.853333333</v>
      </c>
      <c r="K64" s="19">
        <f>+K61+K62</f>
        <v>0</v>
      </c>
      <c r="L64" s="19">
        <f>+L61+L62</f>
        <v>-28197776.625917457</v>
      </c>
      <c r="N64" s="19">
        <f>+N61+N62</f>
        <v>27543988.665415868</v>
      </c>
      <c r="O64" s="19">
        <f>+O61+O62</f>
        <v>2088000</v>
      </c>
      <c r="P64" s="19">
        <f>+P61+P62</f>
        <v>-1346135.853333333</v>
      </c>
      <c r="Q64" s="19">
        <f>+Q61+Q62</f>
        <v>28285852.812082537</v>
      </c>
    </row>
    <row r="65" spans="5:17" x14ac:dyDescent="0.25">
      <c r="G65"/>
      <c r="L65"/>
      <c r="Q65"/>
    </row>
    <row r="66" spans="5:17" x14ac:dyDescent="0.25">
      <c r="G66"/>
      <c r="L66"/>
      <c r="Q66"/>
    </row>
    <row r="67" spans="5:17" x14ac:dyDescent="0.25">
      <c r="G67"/>
      <c r="L67"/>
      <c r="Q67"/>
    </row>
    <row r="68" spans="5:17" x14ac:dyDescent="0.25">
      <c r="G68"/>
      <c r="L68"/>
      <c r="Q68"/>
    </row>
    <row r="69" spans="5:17" x14ac:dyDescent="0.25">
      <c r="G69"/>
      <c r="L69"/>
      <c r="Q69"/>
    </row>
    <row r="70" spans="5:17" x14ac:dyDescent="0.25">
      <c r="G70"/>
      <c r="L70"/>
      <c r="Q70"/>
    </row>
    <row r="71" spans="5:17" x14ac:dyDescent="0.25">
      <c r="G71"/>
      <c r="L71"/>
      <c r="Q71"/>
    </row>
    <row r="72" spans="5:17" x14ac:dyDescent="0.25">
      <c r="G72"/>
      <c r="L72"/>
      <c r="Q72"/>
    </row>
    <row r="73" spans="5:17" x14ac:dyDescent="0.25">
      <c r="E73" s="22"/>
    </row>
    <row r="75" spans="5:17" x14ac:dyDescent="0.25">
      <c r="E75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8:D17 B21:K25 F17:I17 B18:D20 F20:I20 B31:D31 B28:D28 F28:I28 B29 F29:I29 B30:D30 F30:I30 B34:I34 B32:D32 F32:I32 B33:D33 F33:I33 F8:I8 K8:Q8 F9:I9 K9:Q9 F10:I10 K10:Q10 F11:I11 K11:Q11 F12:I12 K12:Q12 F13:I13 K13:Q13 F14:I14 K14:Q14 F15:I15 K15:Q15 F16:I16 K16:Q16 K17:Q17 F18:I18 K18 F19:I19 K19 K20 B27:D27 B26:D26 K26 K27 K28 K29 K30 K31 K32 K33 B36:D36 B35:I35 K35 K36 K34 F31:I31 D29 F26:I26 F27:I27 F36:I36" numberStoredAsText="1"/>
    <ignoredError sqref="L18:Q36" numberStoredAsText="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5"/>
  <sheetViews>
    <sheetView topLeftCell="A40" workbookViewId="0">
      <selection activeCell="F36" sqref="F36"/>
    </sheetView>
  </sheetViews>
  <sheetFormatPr defaultRowHeight="15" x14ac:dyDescent="0.25"/>
  <cols>
    <col min="1" max="1" width="12" customWidth="1"/>
    <col min="2" max="2" width="9.5703125" bestFit="1" customWidth="1"/>
    <col min="3" max="3" width="35.42578125" bestFit="1" customWidth="1"/>
    <col min="4" max="5" width="14.28515625" bestFit="1" customWidth="1"/>
    <col min="6" max="6" width="12.28515625" bestFit="1" customWidth="1"/>
    <col min="7" max="7" width="14.28515625" style="9" bestFit="1" customWidth="1"/>
    <col min="8" max="8" width="2.7109375" customWidth="1"/>
    <col min="9" max="9" width="15" bestFit="1" customWidth="1"/>
    <col min="10" max="10" width="14" bestFit="1" customWidth="1"/>
    <col min="12" max="12" width="15" style="9" bestFit="1" customWidth="1"/>
    <col min="13" max="13" width="2.7109375" customWidth="1"/>
    <col min="14" max="14" width="14.28515625" bestFit="1" customWidth="1"/>
    <col min="15" max="15" width="13.28515625" bestFit="1" customWidth="1"/>
    <col min="16" max="16" width="14" bestFit="1" customWidth="1"/>
    <col min="17" max="17" width="14.28515625" style="9" bestFit="1" customWidth="1"/>
    <col min="19" max="19" width="11.5703125" bestFit="1" customWidth="1"/>
    <col min="20" max="20" width="13.28515625" bestFit="1" customWidth="1"/>
    <col min="22" max="22" width="12.28515625" style="9" bestFit="1" customWidth="1"/>
  </cols>
  <sheetData>
    <row r="2" spans="2:22" x14ac:dyDescent="0.25">
      <c r="B2" s="9" t="s">
        <v>76</v>
      </c>
      <c r="C2" s="9"/>
    </row>
    <row r="4" spans="2:22" x14ac:dyDescent="0.25">
      <c r="D4" s="69" t="s">
        <v>2</v>
      </c>
      <c r="E4" s="69"/>
      <c r="F4" s="69"/>
      <c r="G4" s="69"/>
      <c r="I4" s="69" t="s">
        <v>8</v>
      </c>
      <c r="J4" s="69"/>
      <c r="K4" s="69"/>
      <c r="L4" s="69"/>
      <c r="N4" s="69" t="s">
        <v>9</v>
      </c>
      <c r="O4" s="69"/>
      <c r="P4" s="69"/>
      <c r="Q4" s="69"/>
    </row>
    <row r="5" spans="2:22" ht="15.75" thickBot="1" x14ac:dyDescent="0.3">
      <c r="B5" s="10" t="s">
        <v>0</v>
      </c>
      <c r="C5" s="10" t="s">
        <v>1</v>
      </c>
      <c r="D5" s="11" t="s">
        <v>3</v>
      </c>
      <c r="E5" s="11" t="s">
        <v>4</v>
      </c>
      <c r="F5" s="11" t="s">
        <v>5</v>
      </c>
      <c r="G5" s="11" t="s">
        <v>6</v>
      </c>
      <c r="H5" s="11"/>
      <c r="I5" s="11" t="s">
        <v>3</v>
      </c>
      <c r="J5" s="11" t="s">
        <v>4</v>
      </c>
      <c r="K5" s="11" t="s">
        <v>5</v>
      </c>
      <c r="L5" s="11" t="s">
        <v>6</v>
      </c>
      <c r="M5" s="11"/>
      <c r="N5" s="11" t="s">
        <v>3</v>
      </c>
      <c r="O5" s="11" t="s">
        <v>4</v>
      </c>
      <c r="P5" s="11" t="s">
        <v>11</v>
      </c>
      <c r="Q5" s="11" t="s">
        <v>6</v>
      </c>
    </row>
    <row r="7" spans="2:22" x14ac:dyDescent="0.25">
      <c r="B7" s="1">
        <v>1806</v>
      </c>
      <c r="C7" t="s">
        <v>7</v>
      </c>
      <c r="D7" s="4">
        <f>+'2017'!G7</f>
        <v>7637.8779999999997</v>
      </c>
      <c r="E7" s="4">
        <v>0</v>
      </c>
      <c r="F7" s="4">
        <v>0</v>
      </c>
      <c r="G7" s="13">
        <f>SUM(D7:F7)</f>
        <v>7637.8779999999997</v>
      </c>
      <c r="H7" s="4"/>
      <c r="I7" s="4">
        <f>+'2017'!L7</f>
        <v>0</v>
      </c>
      <c r="J7" s="4">
        <v>0</v>
      </c>
      <c r="K7" s="4">
        <v>0</v>
      </c>
      <c r="L7" s="13">
        <f>SUM(I7:K7)</f>
        <v>0</v>
      </c>
      <c r="M7" s="4"/>
      <c r="N7" s="4">
        <f t="shared" ref="N7:N19" si="0">+D7+I7</f>
        <v>7637.8779999999997</v>
      </c>
      <c r="O7" s="4">
        <f t="shared" ref="O7:O20" si="1">+E7+F7</f>
        <v>0</v>
      </c>
      <c r="P7" s="4">
        <f>+J7+K7</f>
        <v>0</v>
      </c>
      <c r="Q7" s="13">
        <f>SUM(N7:P7)</f>
        <v>7637.8779999999997</v>
      </c>
      <c r="R7" s="4"/>
    </row>
    <row r="8" spans="2:22" x14ac:dyDescent="0.25">
      <c r="B8" s="6" t="s">
        <v>12</v>
      </c>
      <c r="C8" t="s">
        <v>13</v>
      </c>
      <c r="D8" s="4">
        <f>+'2017'!G8</f>
        <v>850124.96</v>
      </c>
      <c r="E8" s="4">
        <v>0</v>
      </c>
      <c r="F8" s="4">
        <v>0</v>
      </c>
      <c r="G8" s="13">
        <f>SUM(D8:F8)</f>
        <v>850124.96</v>
      </c>
      <c r="H8" s="4"/>
      <c r="I8" s="4">
        <f>+'2017'!L8</f>
        <v>-836291.02000000014</v>
      </c>
      <c r="J8" s="4">
        <f>-[1]Summary!$L7</f>
        <v>-835.9</v>
      </c>
      <c r="K8" s="4">
        <v>0</v>
      </c>
      <c r="L8" s="13">
        <f>SUM(I8:K8)</f>
        <v>-837126.92000000016</v>
      </c>
      <c r="M8" s="4"/>
      <c r="N8" s="4">
        <f t="shared" si="0"/>
        <v>13833.939999999828</v>
      </c>
      <c r="O8" s="4">
        <f t="shared" si="1"/>
        <v>0</v>
      </c>
      <c r="P8" s="4">
        <f>+J8+K8</f>
        <v>-835.9</v>
      </c>
      <c r="Q8" s="13">
        <f>SUM(N8:P8)</f>
        <v>12998.039999999828</v>
      </c>
      <c r="R8" s="4"/>
    </row>
    <row r="9" spans="2:22" x14ac:dyDescent="0.25">
      <c r="B9" t="s">
        <v>14</v>
      </c>
      <c r="C9" t="s">
        <v>15</v>
      </c>
      <c r="D9" s="4">
        <f>+'2017'!G9</f>
        <v>10255400.959999999</v>
      </c>
      <c r="E9" s="4">
        <v>320430</v>
      </c>
      <c r="F9" s="4">
        <v>0</v>
      </c>
      <c r="G9" s="13">
        <f t="shared" ref="G9:G38" si="2">SUM(D9:F9)</f>
        <v>10575830.959999999</v>
      </c>
      <c r="H9" s="4"/>
      <c r="I9" s="4">
        <f>+'2017'!L9</f>
        <v>-4695445.3449999997</v>
      </c>
      <c r="J9" s="4">
        <f>-[1]Summary!$L8</f>
        <v>-159978.80499999996</v>
      </c>
      <c r="K9" s="4">
        <v>0</v>
      </c>
      <c r="L9" s="13">
        <f t="shared" ref="L9:L38" si="3">SUM(I9:K9)</f>
        <v>-4855424.1499999994</v>
      </c>
      <c r="M9" s="4"/>
      <c r="N9" s="4">
        <f t="shared" si="0"/>
        <v>5559955.6149999993</v>
      </c>
      <c r="O9" s="4">
        <f t="shared" si="1"/>
        <v>320430</v>
      </c>
      <c r="P9" s="4">
        <f t="shared" ref="P9:P38" si="4">+J9+K9</f>
        <v>-159978.80499999996</v>
      </c>
      <c r="Q9" s="13">
        <f t="shared" ref="Q9:Q38" si="5">SUM(N9:P9)</f>
        <v>5720406.8099999996</v>
      </c>
      <c r="R9" s="4"/>
    </row>
    <row r="10" spans="2:22" x14ac:dyDescent="0.25">
      <c r="B10" t="s">
        <v>16</v>
      </c>
      <c r="C10" t="s">
        <v>17</v>
      </c>
      <c r="D10" s="4">
        <f>+'2017'!G10</f>
        <v>8955187.2599999998</v>
      </c>
      <c r="E10" s="4">
        <v>263194</v>
      </c>
      <c r="F10" s="4">
        <v>0</v>
      </c>
      <c r="G10" s="13">
        <f t="shared" si="2"/>
        <v>9218381.2599999998</v>
      </c>
      <c r="H10" s="4"/>
      <c r="I10" s="4">
        <f>+'2017'!L10</f>
        <v>-4405688.4850000003</v>
      </c>
      <c r="J10" s="4">
        <f>-[1]Summary!$L9</f>
        <v>-93114.155000000013</v>
      </c>
      <c r="K10" s="4">
        <v>0</v>
      </c>
      <c r="L10" s="13">
        <f t="shared" si="3"/>
        <v>-4498802.6400000006</v>
      </c>
      <c r="M10" s="4"/>
      <c r="N10" s="4">
        <f t="shared" si="0"/>
        <v>4549498.7749999994</v>
      </c>
      <c r="O10" s="4">
        <f t="shared" si="1"/>
        <v>263194</v>
      </c>
      <c r="P10" s="4">
        <f t="shared" si="4"/>
        <v>-93114.155000000013</v>
      </c>
      <c r="Q10" s="13">
        <f t="shared" si="5"/>
        <v>4719578.6199999992</v>
      </c>
      <c r="R10" s="4"/>
    </row>
    <row r="11" spans="2:22" x14ac:dyDescent="0.25">
      <c r="B11" t="s">
        <v>18</v>
      </c>
      <c r="C11" t="s">
        <v>19</v>
      </c>
      <c r="D11" s="4">
        <f>+'2017'!G11</f>
        <v>6013413.6899999995</v>
      </c>
      <c r="E11" s="4">
        <v>324526</v>
      </c>
      <c r="F11" s="4">
        <v>0</v>
      </c>
      <c r="G11" s="13">
        <f t="shared" si="2"/>
        <v>6337939.6899999995</v>
      </c>
      <c r="H11" s="4"/>
      <c r="I11" s="4">
        <f>+'2017'!L11</f>
        <v>-2516620.7599999998</v>
      </c>
      <c r="J11" s="4">
        <f>-[1]Summary!$L10</f>
        <v>-128401.62499999999</v>
      </c>
      <c r="K11" s="4">
        <v>0</v>
      </c>
      <c r="L11" s="13">
        <f t="shared" si="3"/>
        <v>-2645022.3849999998</v>
      </c>
      <c r="M11" s="4"/>
      <c r="N11" s="4">
        <f t="shared" si="0"/>
        <v>3496792.9299999997</v>
      </c>
      <c r="O11" s="4">
        <f t="shared" si="1"/>
        <v>324526</v>
      </c>
      <c r="P11" s="4">
        <f t="shared" si="4"/>
        <v>-128401.62499999999</v>
      </c>
      <c r="Q11" s="13">
        <f t="shared" si="5"/>
        <v>3692917.3049999997</v>
      </c>
      <c r="R11" s="4"/>
    </row>
    <row r="12" spans="2:22" x14ac:dyDescent="0.25">
      <c r="B12" t="s">
        <v>20</v>
      </c>
      <c r="C12" t="s">
        <v>21</v>
      </c>
      <c r="D12" s="4">
        <f>+'2017'!G12</f>
        <v>10042026.23</v>
      </c>
      <c r="E12" s="4">
        <v>281435</v>
      </c>
      <c r="F12" s="4">
        <v>0</v>
      </c>
      <c r="G12" s="13">
        <f t="shared" si="2"/>
        <v>10323461.23</v>
      </c>
      <c r="H12" s="4"/>
      <c r="I12" s="4">
        <f>+'2017'!L12</f>
        <v>-4701310.7849999983</v>
      </c>
      <c r="J12" s="4">
        <f>-[1]Summary!$L11</f>
        <v>-181985.03000000003</v>
      </c>
      <c r="K12" s="4">
        <v>0</v>
      </c>
      <c r="L12" s="13">
        <f t="shared" si="3"/>
        <v>-4883295.8149999985</v>
      </c>
      <c r="M12" s="4"/>
      <c r="N12" s="4">
        <f t="shared" si="0"/>
        <v>5340715.4450000022</v>
      </c>
      <c r="O12" s="4">
        <f t="shared" si="1"/>
        <v>281435</v>
      </c>
      <c r="P12" s="4">
        <f t="shared" si="4"/>
        <v>-181985.03000000003</v>
      </c>
      <c r="Q12" s="13">
        <f t="shared" si="5"/>
        <v>5440165.4150000019</v>
      </c>
      <c r="R12" s="4"/>
    </row>
    <row r="13" spans="2:22" x14ac:dyDescent="0.25">
      <c r="B13" t="s">
        <v>22</v>
      </c>
      <c r="C13" t="s">
        <v>23</v>
      </c>
      <c r="D13" s="4">
        <f>+'2017'!G13</f>
        <v>3218080.46</v>
      </c>
      <c r="E13" s="4">
        <v>265896</v>
      </c>
      <c r="F13" s="4">
        <v>0</v>
      </c>
      <c r="G13" s="13">
        <f t="shared" si="2"/>
        <v>3483976.46</v>
      </c>
      <c r="H13" s="4"/>
      <c r="I13" s="4">
        <f>+'2017'!L13</f>
        <v>-629184.495</v>
      </c>
      <c r="J13" s="4">
        <f>-[1]Summary!$L12</f>
        <v>-80808.490000000005</v>
      </c>
      <c r="K13" s="4">
        <v>0</v>
      </c>
      <c r="L13" s="13">
        <f t="shared" si="3"/>
        <v>-709992.98499999999</v>
      </c>
      <c r="M13" s="4"/>
      <c r="N13" s="4">
        <f t="shared" si="0"/>
        <v>2588895.9649999999</v>
      </c>
      <c r="O13" s="4">
        <f t="shared" si="1"/>
        <v>265896</v>
      </c>
      <c r="P13" s="4">
        <f t="shared" si="4"/>
        <v>-80808.490000000005</v>
      </c>
      <c r="Q13" s="13">
        <f t="shared" si="5"/>
        <v>2773983.4749999996</v>
      </c>
      <c r="R13" s="4"/>
    </row>
    <row r="14" spans="2:22" x14ac:dyDescent="0.25">
      <c r="B14" t="s">
        <v>24</v>
      </c>
      <c r="C14" t="s">
        <v>25</v>
      </c>
      <c r="D14" s="4">
        <f>+'2017'!G14</f>
        <v>8181092.9100000001</v>
      </c>
      <c r="E14" s="4">
        <v>113058</v>
      </c>
      <c r="F14" s="4">
        <v>0</v>
      </c>
      <c r="G14" s="27">
        <f t="shared" si="2"/>
        <v>8294150.9100000001</v>
      </c>
      <c r="H14" s="4"/>
      <c r="I14" s="4">
        <f>+'2017'!L14</f>
        <v>-5288653.1999999993</v>
      </c>
      <c r="J14" s="4">
        <f>-[1]Summary!$L13</f>
        <v>-122131.37</v>
      </c>
      <c r="K14" s="4">
        <v>0</v>
      </c>
      <c r="L14" s="13">
        <f t="shared" si="3"/>
        <v>-5410784.5699999994</v>
      </c>
      <c r="M14" s="4"/>
      <c r="N14" s="4">
        <f t="shared" si="0"/>
        <v>2892439.7100000009</v>
      </c>
      <c r="O14" s="4">
        <f t="shared" si="1"/>
        <v>113058</v>
      </c>
      <c r="P14" s="4">
        <f t="shared" si="4"/>
        <v>-122131.37</v>
      </c>
      <c r="Q14" s="13">
        <f t="shared" si="5"/>
        <v>2883366.3400000008</v>
      </c>
      <c r="R14" s="4"/>
    </row>
    <row r="15" spans="2:22" x14ac:dyDescent="0.25">
      <c r="B15" t="s">
        <v>26</v>
      </c>
      <c r="C15" t="s">
        <v>27</v>
      </c>
      <c r="D15" s="4">
        <f>+'2017'!G15</f>
        <v>4723162.87</v>
      </c>
      <c r="E15" s="4">
        <v>109467</v>
      </c>
      <c r="F15" s="4">
        <v>0</v>
      </c>
      <c r="G15" s="13">
        <f t="shared" si="2"/>
        <v>4832629.87</v>
      </c>
      <c r="H15" s="4"/>
      <c r="I15" s="4">
        <f>+'2017'!L15</f>
        <v>-2546529.4050000003</v>
      </c>
      <c r="J15" s="4">
        <f>-[1]Summary!$L14</f>
        <v>-75274.50999999998</v>
      </c>
      <c r="K15" s="4">
        <v>0</v>
      </c>
      <c r="L15" s="13">
        <f t="shared" si="3"/>
        <v>-2621803.915</v>
      </c>
      <c r="M15" s="4"/>
      <c r="N15" s="4">
        <f t="shared" si="0"/>
        <v>2176633.4649999999</v>
      </c>
      <c r="O15" s="4">
        <f t="shared" si="1"/>
        <v>109467</v>
      </c>
      <c r="P15" s="4">
        <f t="shared" si="4"/>
        <v>-75274.50999999998</v>
      </c>
      <c r="Q15" s="13">
        <f t="shared" si="5"/>
        <v>2210825.9550000001</v>
      </c>
      <c r="R15" s="4"/>
      <c r="V15" s="9" t="s">
        <v>65</v>
      </c>
    </row>
    <row r="16" spans="2:22" x14ac:dyDescent="0.25">
      <c r="B16" t="s">
        <v>28</v>
      </c>
      <c r="C16" t="s">
        <v>29</v>
      </c>
      <c r="D16" s="4">
        <f>+'2017'!G16</f>
        <v>1355944.95</v>
      </c>
      <c r="E16" s="4">
        <v>29046</v>
      </c>
      <c r="F16" s="4">
        <v>0</v>
      </c>
      <c r="G16" s="27">
        <f t="shared" si="2"/>
        <v>1384990.95</v>
      </c>
      <c r="H16" s="4"/>
      <c r="I16" s="4">
        <f>+'2017'!L16</f>
        <v>-365348.89500000002</v>
      </c>
      <c r="J16" s="4">
        <f>-[1]Summary!$L15</f>
        <v>-32274.865000000002</v>
      </c>
      <c r="K16" s="4">
        <v>0</v>
      </c>
      <c r="L16" s="13">
        <f t="shared" si="3"/>
        <v>-397623.76</v>
      </c>
      <c r="M16" s="4"/>
      <c r="N16" s="4">
        <f t="shared" si="0"/>
        <v>990596.05499999993</v>
      </c>
      <c r="O16" s="4">
        <f t="shared" si="1"/>
        <v>29046</v>
      </c>
      <c r="P16" s="4">
        <f t="shared" si="4"/>
        <v>-32274.865000000002</v>
      </c>
      <c r="Q16" s="13">
        <f t="shared" si="5"/>
        <v>987367.19</v>
      </c>
      <c r="R16" s="4"/>
      <c r="U16" s="26"/>
    </row>
    <row r="17" spans="1:22" x14ac:dyDescent="0.25">
      <c r="B17" t="s">
        <v>30</v>
      </c>
      <c r="C17" t="s">
        <v>31</v>
      </c>
      <c r="D17" s="4">
        <f>+'2017'!G17</f>
        <v>0</v>
      </c>
      <c r="E17" s="4">
        <v>0</v>
      </c>
      <c r="F17" s="4">
        <v>0</v>
      </c>
      <c r="G17" s="13">
        <f t="shared" si="2"/>
        <v>0</v>
      </c>
      <c r="H17" s="4"/>
      <c r="I17" s="4">
        <f>+'2017'!L17</f>
        <v>0</v>
      </c>
      <c r="J17" s="4">
        <f>-[1]Summary!$L16</f>
        <v>0</v>
      </c>
      <c r="K17" s="4">
        <v>0</v>
      </c>
      <c r="L17" s="13">
        <f t="shared" si="3"/>
        <v>0</v>
      </c>
      <c r="M17" s="4"/>
      <c r="N17" s="4">
        <f t="shared" si="0"/>
        <v>0</v>
      </c>
      <c r="O17" s="4">
        <f t="shared" si="1"/>
        <v>0</v>
      </c>
      <c r="P17" s="4">
        <f t="shared" si="4"/>
        <v>0</v>
      </c>
      <c r="Q17" s="13">
        <f t="shared" si="5"/>
        <v>0</v>
      </c>
      <c r="R17" s="4"/>
      <c r="T17" s="5">
        <f>+N17</f>
        <v>0</v>
      </c>
      <c r="U17" s="26">
        <f>+T17/T19</f>
        <v>0</v>
      </c>
      <c r="V17" s="13">
        <f>+U17*N53</f>
        <v>0</v>
      </c>
    </row>
    <row r="18" spans="1:22" x14ac:dyDescent="0.25">
      <c r="B18" s="1">
        <v>1860.15</v>
      </c>
      <c r="C18" t="s">
        <v>55</v>
      </c>
      <c r="D18" s="4">
        <f>+'2017'!G18</f>
        <v>3199301.79</v>
      </c>
      <c r="E18" s="4">
        <f>12457+491</f>
        <v>12948</v>
      </c>
      <c r="F18" s="4"/>
      <c r="G18" s="13">
        <f t="shared" si="2"/>
        <v>3212249.79</v>
      </c>
      <c r="H18" s="4"/>
      <c r="I18" s="4">
        <f>+'2017'!L18</f>
        <v>-1629123.8199999998</v>
      </c>
      <c r="J18" s="4">
        <f>-[1]Summary!$L17</f>
        <v>-213718.38999999996</v>
      </c>
      <c r="K18" s="4">
        <v>0</v>
      </c>
      <c r="L18" s="13">
        <f t="shared" ref="L18" si="6">SUM(I18:K18)</f>
        <v>-1842842.2099999997</v>
      </c>
      <c r="M18" s="4"/>
      <c r="N18" s="4">
        <f t="shared" si="0"/>
        <v>1570177.9700000002</v>
      </c>
      <c r="O18" s="4">
        <f t="shared" si="1"/>
        <v>12948</v>
      </c>
      <c r="P18" s="4">
        <f t="shared" si="4"/>
        <v>-213718.38999999996</v>
      </c>
      <c r="Q18" s="13">
        <f t="shared" ref="Q18" si="7">SUM(N18:P18)</f>
        <v>1369407.5800000003</v>
      </c>
      <c r="R18" s="4"/>
      <c r="T18" s="5">
        <f>+N19</f>
        <v>39282.000000000007</v>
      </c>
      <c r="U18" s="26">
        <f>+T18/T19</f>
        <v>1</v>
      </c>
      <c r="V18" s="13">
        <f>+N53-V17</f>
        <v>0</v>
      </c>
    </row>
    <row r="19" spans="1:22" x14ac:dyDescent="0.25">
      <c r="B19" t="s">
        <v>32</v>
      </c>
      <c r="C19" t="s">
        <v>33</v>
      </c>
      <c r="D19" s="4">
        <f>+'2017'!G19</f>
        <v>94211.66</v>
      </c>
      <c r="E19" s="4">
        <v>0</v>
      </c>
      <c r="F19" s="4">
        <v>0</v>
      </c>
      <c r="G19" s="13">
        <f t="shared" si="2"/>
        <v>94211.66</v>
      </c>
      <c r="H19" s="4"/>
      <c r="I19" s="4">
        <f>+'2017'!L19</f>
        <v>-54929.659999999996</v>
      </c>
      <c r="J19" s="4">
        <f>-[1]Summary!$L18</f>
        <v>-7065.9600000000009</v>
      </c>
      <c r="K19" s="4">
        <v>0</v>
      </c>
      <c r="L19" s="13">
        <f t="shared" si="3"/>
        <v>-61995.619999999995</v>
      </c>
      <c r="M19" s="4"/>
      <c r="N19" s="4">
        <f t="shared" si="0"/>
        <v>39282.000000000007</v>
      </c>
      <c r="O19" s="4">
        <f t="shared" si="1"/>
        <v>0</v>
      </c>
      <c r="P19" s="4">
        <f t="shared" si="4"/>
        <v>-7065.9600000000009</v>
      </c>
      <c r="Q19" s="13">
        <f t="shared" si="5"/>
        <v>32216.040000000008</v>
      </c>
      <c r="R19" s="4"/>
      <c r="T19" s="5">
        <f>+T17+T18</f>
        <v>39282.000000000007</v>
      </c>
      <c r="U19" s="26"/>
    </row>
    <row r="20" spans="1:22" ht="15.75" thickBot="1" x14ac:dyDescent="0.3">
      <c r="B20" s="2" t="s">
        <v>34</v>
      </c>
      <c r="C20" s="2" t="s">
        <v>35</v>
      </c>
      <c r="D20" s="18">
        <f>+'2017'!G20</f>
        <v>73618.78</v>
      </c>
      <c r="E20" s="18">
        <v>0</v>
      </c>
      <c r="F20" s="18">
        <v>0</v>
      </c>
      <c r="G20" s="19">
        <f t="shared" si="2"/>
        <v>73618.78</v>
      </c>
      <c r="H20" s="18"/>
      <c r="I20" s="18">
        <f>+'2017'!L20</f>
        <v>-25130.349999999995</v>
      </c>
      <c r="J20" s="18">
        <f>-[1]Summary!$L19</f>
        <v>-2385.3000000000002</v>
      </c>
      <c r="K20" s="18">
        <v>0</v>
      </c>
      <c r="L20" s="19">
        <f t="shared" si="3"/>
        <v>-27515.649999999994</v>
      </c>
      <c r="M20" s="18"/>
      <c r="N20" s="18">
        <f>+'2013'!Q20</f>
        <v>58029.63</v>
      </c>
      <c r="O20" s="18">
        <f t="shared" si="1"/>
        <v>0</v>
      </c>
      <c r="P20" s="18">
        <f t="shared" si="4"/>
        <v>-2385.3000000000002</v>
      </c>
      <c r="Q20" s="19">
        <f t="shared" si="5"/>
        <v>55644.329999999994</v>
      </c>
      <c r="R20" s="18"/>
      <c r="V20" s="13">
        <f>+V17+V18</f>
        <v>0</v>
      </c>
    </row>
    <row r="21" spans="1:22" x14ac:dyDescent="0.25">
      <c r="D21" s="4"/>
      <c r="E21" s="4"/>
      <c r="F21" s="4"/>
      <c r="G21" s="13"/>
      <c r="H21" s="4"/>
      <c r="I21" s="4"/>
      <c r="J21" s="4"/>
      <c r="K21" s="4"/>
      <c r="L21" s="13"/>
      <c r="M21" s="4"/>
      <c r="N21" s="4"/>
      <c r="O21" s="4"/>
      <c r="P21" s="4"/>
      <c r="Q21" s="13"/>
      <c r="R21" s="4"/>
    </row>
    <row r="22" spans="1:22" s="9" customFormat="1" ht="15.75" thickBot="1" x14ac:dyDescent="0.3">
      <c r="A22"/>
      <c r="B22" s="10" t="s">
        <v>57</v>
      </c>
      <c r="C22" s="10"/>
      <c r="D22" s="19">
        <f>SUM(D7:D21)</f>
        <v>56969204.398000002</v>
      </c>
      <c r="E22" s="19">
        <f>SUM(E7:E21)</f>
        <v>1720000</v>
      </c>
      <c r="F22" s="19">
        <f>SUM(F7:F21)</f>
        <v>0</v>
      </c>
      <c r="G22" s="19">
        <f>SUM(G7:G21)</f>
        <v>58689204.398000002</v>
      </c>
      <c r="H22" s="19"/>
      <c r="I22" s="19">
        <f>SUM(I7:I21)</f>
        <v>-27694256.220000003</v>
      </c>
      <c r="J22" s="19">
        <f>SUM(J7:J21)</f>
        <v>-1097974.3999999999</v>
      </c>
      <c r="K22" s="19">
        <f>SUM(K7:K21)</f>
        <v>0</v>
      </c>
      <c r="L22" s="19">
        <f>SUM(L7:L21)</f>
        <v>-28792230.620000001</v>
      </c>
      <c r="M22" s="19"/>
      <c r="N22" s="19">
        <f>SUM(N7:N21)</f>
        <v>29284489.377999999</v>
      </c>
      <c r="O22" s="19">
        <f>SUM(O7:O21)</f>
        <v>1720000</v>
      </c>
      <c r="P22" s="19">
        <f>SUM(P7:P21)</f>
        <v>-1097974.3999999999</v>
      </c>
      <c r="Q22" s="19">
        <f>SUM(Q7:Q21)</f>
        <v>29906514.978</v>
      </c>
      <c r="R22" s="19"/>
    </row>
    <row r="23" spans="1:22" x14ac:dyDescent="0.25">
      <c r="D23" s="4"/>
      <c r="E23" s="4"/>
      <c r="F23" s="4"/>
      <c r="G23" s="13"/>
      <c r="H23" s="4"/>
      <c r="I23" s="4"/>
      <c r="J23" s="4"/>
      <c r="K23" s="4"/>
      <c r="L23" s="13"/>
      <c r="M23" s="4"/>
      <c r="N23" s="4"/>
      <c r="O23" s="4"/>
      <c r="P23" s="4"/>
      <c r="Q23" s="13"/>
      <c r="R23" s="4"/>
    </row>
    <row r="24" spans="1:22" x14ac:dyDescent="0.25">
      <c r="D24" s="4"/>
      <c r="E24" s="4"/>
      <c r="F24" s="4"/>
      <c r="G24" s="13"/>
      <c r="H24" s="4"/>
      <c r="I24" s="4"/>
      <c r="J24" s="4"/>
      <c r="K24" s="4"/>
      <c r="L24" s="13"/>
      <c r="M24" s="4"/>
      <c r="N24" s="4"/>
      <c r="O24" s="4"/>
      <c r="P24" s="4"/>
      <c r="Q24" s="13"/>
      <c r="R24" s="4"/>
    </row>
    <row r="25" spans="1:22" x14ac:dyDescent="0.25">
      <c r="B25" s="31">
        <v>1905</v>
      </c>
      <c r="C25" t="s">
        <v>56</v>
      </c>
      <c r="D25" s="4">
        <f>+'2017'!G25</f>
        <v>174187.53</v>
      </c>
      <c r="E25" s="4"/>
      <c r="F25" s="4">
        <v>0</v>
      </c>
      <c r="G25" s="13">
        <f t="shared" ref="G25" si="8">SUM(D25:F25)</f>
        <v>174187.53</v>
      </c>
      <c r="H25" s="4"/>
      <c r="I25" s="4">
        <f>+'2017'!L25</f>
        <v>0</v>
      </c>
      <c r="J25" s="4">
        <v>0</v>
      </c>
      <c r="K25" s="4">
        <v>0</v>
      </c>
      <c r="L25" s="13">
        <f t="shared" ref="L25" si="9">SUM(I25:K25)</f>
        <v>0</v>
      </c>
      <c r="M25" s="4"/>
      <c r="N25" s="4">
        <f t="shared" ref="N25:N38" si="10">+D25+I25</f>
        <v>174187.53</v>
      </c>
      <c r="O25" s="4">
        <f t="shared" ref="O25:O38" si="11">+E25+F25</f>
        <v>0</v>
      </c>
      <c r="P25" s="4">
        <f t="shared" ref="P25" si="12">+J25+K25</f>
        <v>0</v>
      </c>
      <c r="Q25" s="13">
        <f t="shared" ref="Q25" si="13">SUM(N25:P25)</f>
        <v>174187.53</v>
      </c>
      <c r="R25" s="4"/>
    </row>
    <row r="26" spans="1:22" x14ac:dyDescent="0.25">
      <c r="B26" s="32" t="s">
        <v>36</v>
      </c>
      <c r="C26" t="s">
        <v>37</v>
      </c>
      <c r="D26" s="4">
        <f>+'2017'!G26</f>
        <v>2721552.27</v>
      </c>
      <c r="E26" s="4">
        <v>0</v>
      </c>
      <c r="F26" s="4">
        <v>0</v>
      </c>
      <c r="G26" s="13">
        <f t="shared" si="2"/>
        <v>2721552.27</v>
      </c>
      <c r="H26" s="4"/>
      <c r="I26" s="4">
        <f>+'2017'!L26</f>
        <v>-1126591.2150000001</v>
      </c>
      <c r="J26" s="4">
        <f>-[1]Summary!$L20</f>
        <v>-40880.179999999993</v>
      </c>
      <c r="K26" s="4">
        <v>0</v>
      </c>
      <c r="L26" s="13">
        <f t="shared" si="3"/>
        <v>-1167471.395</v>
      </c>
      <c r="M26" s="4"/>
      <c r="N26" s="4">
        <f t="shared" si="10"/>
        <v>1594961.0549999999</v>
      </c>
      <c r="O26" s="4">
        <f t="shared" si="11"/>
        <v>0</v>
      </c>
      <c r="P26" s="4">
        <f t="shared" si="4"/>
        <v>-40880.179999999993</v>
      </c>
      <c r="Q26" s="13">
        <f t="shared" si="5"/>
        <v>1554080.875</v>
      </c>
      <c r="R26" s="4"/>
    </row>
    <row r="27" spans="1:22" x14ac:dyDescent="0.25">
      <c r="B27" s="32" t="s">
        <v>38</v>
      </c>
      <c r="C27" t="s">
        <v>39</v>
      </c>
      <c r="D27" s="4">
        <f>+'2017'!G27</f>
        <v>22164.09</v>
      </c>
      <c r="E27" s="4">
        <v>0</v>
      </c>
      <c r="F27" s="4">
        <v>0</v>
      </c>
      <c r="G27" s="13">
        <f t="shared" si="2"/>
        <v>22164.09</v>
      </c>
      <c r="H27" s="4"/>
      <c r="I27" s="4">
        <f>+'2017'!L27</f>
        <v>-13509.470000000001</v>
      </c>
      <c r="J27" s="4">
        <f>-[1]Summary!$L21</f>
        <v>-2362.7600000000002</v>
      </c>
      <c r="K27" s="4">
        <v>0</v>
      </c>
      <c r="L27" s="13">
        <f t="shared" si="3"/>
        <v>-15872.230000000001</v>
      </c>
      <c r="M27" s="4"/>
      <c r="N27" s="4">
        <f t="shared" si="10"/>
        <v>8654.619999999999</v>
      </c>
      <c r="O27" s="4">
        <f t="shared" si="11"/>
        <v>0</v>
      </c>
      <c r="P27" s="4">
        <f t="shared" si="4"/>
        <v>-2362.7600000000002</v>
      </c>
      <c r="Q27" s="13">
        <f t="shared" si="5"/>
        <v>6291.8599999999988</v>
      </c>
      <c r="R27" s="4"/>
    </row>
    <row r="28" spans="1:22" x14ac:dyDescent="0.25">
      <c r="B28" s="32" t="s">
        <v>40</v>
      </c>
      <c r="C28" t="s">
        <v>105</v>
      </c>
      <c r="D28" s="4">
        <f>+'2017'!G28</f>
        <v>276936.87</v>
      </c>
      <c r="E28" s="4">
        <v>5000</v>
      </c>
      <c r="F28" s="4">
        <v>0</v>
      </c>
      <c r="G28" s="27">
        <f t="shared" si="2"/>
        <v>281936.87</v>
      </c>
      <c r="H28" s="4"/>
      <c r="I28" s="4">
        <f>+'2017'!L28</f>
        <v>-97911.84</v>
      </c>
      <c r="J28" s="4">
        <f>-[1]Summary!$L22</f>
        <v>-27943.64</v>
      </c>
      <c r="K28" s="4">
        <v>0</v>
      </c>
      <c r="L28" s="13">
        <f t="shared" si="3"/>
        <v>-125855.48</v>
      </c>
      <c r="M28" s="4"/>
      <c r="N28" s="4">
        <f t="shared" si="10"/>
        <v>179025.03</v>
      </c>
      <c r="O28" s="4">
        <f t="shared" si="11"/>
        <v>5000</v>
      </c>
      <c r="P28" s="4">
        <f t="shared" si="4"/>
        <v>-27943.64</v>
      </c>
      <c r="Q28" s="13">
        <f t="shared" si="5"/>
        <v>156081.39000000001</v>
      </c>
      <c r="R28" s="4"/>
    </row>
    <row r="29" spans="1:22" x14ac:dyDescent="0.25">
      <c r="B29" s="32" t="s">
        <v>42</v>
      </c>
      <c r="C29" t="s">
        <v>43</v>
      </c>
      <c r="D29" s="4">
        <f>+'2017'!G29</f>
        <v>502056.8</v>
      </c>
      <c r="E29" s="4">
        <v>67000</v>
      </c>
      <c r="F29" s="4">
        <v>0</v>
      </c>
      <c r="G29" s="13">
        <f t="shared" si="2"/>
        <v>569056.80000000005</v>
      </c>
      <c r="H29" s="4"/>
      <c r="I29" s="4">
        <f>+'2017'!L29</f>
        <v>-384256.72</v>
      </c>
      <c r="J29" s="4">
        <f>-[1]Summary!$L23</f>
        <v>-56000</v>
      </c>
      <c r="K29" s="4">
        <v>0</v>
      </c>
      <c r="L29" s="13">
        <f t="shared" si="3"/>
        <v>-440256.72</v>
      </c>
      <c r="M29" s="4"/>
      <c r="N29" s="4">
        <f t="shared" si="10"/>
        <v>117800.08000000002</v>
      </c>
      <c r="O29" s="4">
        <f t="shared" si="11"/>
        <v>67000</v>
      </c>
      <c r="P29" s="4">
        <f t="shared" si="4"/>
        <v>-56000</v>
      </c>
      <c r="Q29" s="13">
        <f t="shared" si="5"/>
        <v>128800.08000000002</v>
      </c>
      <c r="R29" s="4"/>
    </row>
    <row r="30" spans="1:22" x14ac:dyDescent="0.25">
      <c r="B30" s="32" t="s">
        <v>44</v>
      </c>
      <c r="C30" t="s">
        <v>45</v>
      </c>
      <c r="D30" s="4">
        <f>+'2017'!G30</f>
        <v>346601.23</v>
      </c>
      <c r="E30" s="4">
        <v>28000</v>
      </c>
      <c r="F30" s="4">
        <v>0</v>
      </c>
      <c r="G30" s="13">
        <f t="shared" si="2"/>
        <v>374601.23</v>
      </c>
      <c r="H30" s="4"/>
      <c r="I30" s="4">
        <f>+'2017'!L30</f>
        <v>-223801.22999999998</v>
      </c>
      <c r="J30" s="4">
        <f>-[1]Summary!$L24</f>
        <v>-33100</v>
      </c>
      <c r="K30" s="4">
        <v>0</v>
      </c>
      <c r="L30" s="13">
        <f t="shared" si="3"/>
        <v>-256901.22999999998</v>
      </c>
      <c r="M30" s="4"/>
      <c r="N30" s="4">
        <f t="shared" si="10"/>
        <v>122800</v>
      </c>
      <c r="O30" s="4">
        <f t="shared" si="11"/>
        <v>28000</v>
      </c>
      <c r="P30" s="4">
        <f t="shared" si="4"/>
        <v>-33100</v>
      </c>
      <c r="Q30" s="13">
        <f t="shared" si="5"/>
        <v>117700</v>
      </c>
      <c r="R30" s="4"/>
    </row>
    <row r="31" spans="1:22" x14ac:dyDescent="0.25">
      <c r="B31" s="32" t="s">
        <v>46</v>
      </c>
      <c r="C31" t="s">
        <v>47</v>
      </c>
      <c r="D31" s="4">
        <f>+'2017'!G31</f>
        <v>398134.18</v>
      </c>
      <c r="E31" s="4">
        <v>25000</v>
      </c>
      <c r="F31" s="4">
        <v>0</v>
      </c>
      <c r="G31" s="13">
        <f t="shared" si="2"/>
        <v>423134.18</v>
      </c>
      <c r="H31" s="4"/>
      <c r="I31" s="4">
        <f>+'2017'!L31</f>
        <v>-223630.51999999996</v>
      </c>
      <c r="J31" s="4">
        <f>-[1]Summary!$L25</f>
        <v>-41063.42</v>
      </c>
      <c r="K31" s="4">
        <v>0</v>
      </c>
      <c r="L31" s="13">
        <f t="shared" si="3"/>
        <v>-264693.93999999994</v>
      </c>
      <c r="M31" s="4"/>
      <c r="N31" s="4">
        <f t="shared" si="10"/>
        <v>174503.66000000003</v>
      </c>
      <c r="O31" s="4">
        <f t="shared" si="11"/>
        <v>25000</v>
      </c>
      <c r="P31" s="4">
        <f t="shared" si="4"/>
        <v>-41063.42</v>
      </c>
      <c r="Q31" s="13">
        <f t="shared" si="5"/>
        <v>158440.24000000005</v>
      </c>
      <c r="R31" s="4"/>
    </row>
    <row r="32" spans="1:22" x14ac:dyDescent="0.25">
      <c r="B32" s="31">
        <v>1930</v>
      </c>
      <c r="C32" t="s">
        <v>59</v>
      </c>
      <c r="D32" s="4">
        <f>+'2017'!G32</f>
        <v>1691215.54</v>
      </c>
      <c r="E32" s="4">
        <v>20000</v>
      </c>
      <c r="F32" s="4"/>
      <c r="G32" s="13">
        <f t="shared" si="2"/>
        <v>1711215.54</v>
      </c>
      <c r="H32" s="4"/>
      <c r="I32" s="4">
        <f>+'2017'!L32</f>
        <v>-650560.7313333333</v>
      </c>
      <c r="J32" s="4">
        <f>-[1]Summary!$L26</f>
        <v>-142476.60533333331</v>
      </c>
      <c r="K32" s="4"/>
      <c r="L32" s="13">
        <f t="shared" si="3"/>
        <v>-793037.33666666667</v>
      </c>
      <c r="M32" s="4"/>
      <c r="N32" s="4">
        <f t="shared" si="10"/>
        <v>1040654.8086666667</v>
      </c>
      <c r="O32" s="4">
        <f t="shared" si="11"/>
        <v>20000</v>
      </c>
      <c r="P32" s="4">
        <f t="shared" si="4"/>
        <v>-142476.60533333331</v>
      </c>
      <c r="Q32" s="13">
        <f t="shared" ref="Q32" si="14">SUM(N32:P32)</f>
        <v>918178.20333333337</v>
      </c>
      <c r="R32" s="4"/>
    </row>
    <row r="33" spans="2:20" x14ac:dyDescent="0.25">
      <c r="B33" s="32" t="s">
        <v>48</v>
      </c>
      <c r="C33" t="s">
        <v>49</v>
      </c>
      <c r="D33" s="4">
        <f>+'2017'!G33</f>
        <v>488127.30000000005</v>
      </c>
      <c r="E33" s="4">
        <v>20000</v>
      </c>
      <c r="F33" s="4">
        <v>0</v>
      </c>
      <c r="G33" s="27">
        <f t="shared" si="2"/>
        <v>508127.30000000005</v>
      </c>
      <c r="H33" s="4"/>
      <c r="I33" s="4">
        <f>+'2017'!L33</f>
        <v>-263609.53999999998</v>
      </c>
      <c r="J33" s="4">
        <f>-[1]Summary!$L27</f>
        <v>-49812.729999999996</v>
      </c>
      <c r="K33" s="4">
        <v>0</v>
      </c>
      <c r="L33" s="13">
        <f t="shared" si="3"/>
        <v>-313422.26999999996</v>
      </c>
      <c r="M33" s="4"/>
      <c r="N33" s="4">
        <f t="shared" si="10"/>
        <v>224517.76000000007</v>
      </c>
      <c r="O33" s="4">
        <f t="shared" si="11"/>
        <v>20000</v>
      </c>
      <c r="P33" s="4">
        <f t="shared" si="4"/>
        <v>-49812.729999999996</v>
      </c>
      <c r="Q33" s="13">
        <f t="shared" si="5"/>
        <v>194705.03000000009</v>
      </c>
      <c r="R33" s="4"/>
    </row>
    <row r="34" spans="2:20" x14ac:dyDescent="0.25">
      <c r="B34" s="32" t="s">
        <v>50</v>
      </c>
      <c r="C34" t="s">
        <v>51</v>
      </c>
      <c r="D34" s="4">
        <f>+'2017'!G34</f>
        <v>12465.77</v>
      </c>
      <c r="E34" s="4">
        <v>0</v>
      </c>
      <c r="F34" s="4">
        <v>0</v>
      </c>
      <c r="G34" s="13">
        <f t="shared" si="2"/>
        <v>12465.77</v>
      </c>
      <c r="H34" s="4"/>
      <c r="I34" s="4">
        <f>+'2017'!L34</f>
        <v>-12465.72</v>
      </c>
      <c r="J34" s="4">
        <f>-[1]Summary!$L28</f>
        <v>0</v>
      </c>
      <c r="K34" s="4">
        <v>0</v>
      </c>
      <c r="L34" s="13">
        <f t="shared" si="3"/>
        <v>-12465.72</v>
      </c>
      <c r="M34" s="4"/>
      <c r="N34" s="4">
        <f t="shared" si="10"/>
        <v>5.0000000001091394E-2</v>
      </c>
      <c r="O34" s="4">
        <f t="shared" si="11"/>
        <v>0</v>
      </c>
      <c r="P34" s="4">
        <f t="shared" si="4"/>
        <v>0</v>
      </c>
      <c r="Q34" s="13">
        <f t="shared" si="5"/>
        <v>5.0000000001091394E-2</v>
      </c>
      <c r="R34" s="4"/>
    </row>
    <row r="35" spans="2:20" x14ac:dyDescent="0.25">
      <c r="B35" s="32" t="s">
        <v>52</v>
      </c>
      <c r="C35" t="s">
        <v>53</v>
      </c>
      <c r="D35" s="4">
        <f>+'2017'!G35</f>
        <v>200000</v>
      </c>
      <c r="E35" s="4">
        <v>0</v>
      </c>
      <c r="F35" s="4">
        <v>0</v>
      </c>
      <c r="G35" s="13">
        <f t="shared" si="2"/>
        <v>200000</v>
      </c>
      <c r="H35" s="4"/>
      <c r="I35" s="4">
        <f>+'2017'!L35</f>
        <v>-79999.98</v>
      </c>
      <c r="J35" s="4">
        <f>-[1]Summary!$L29</f>
        <v>-13333.33</v>
      </c>
      <c r="K35" s="4">
        <v>0</v>
      </c>
      <c r="L35" s="13">
        <f t="shared" si="3"/>
        <v>-93333.31</v>
      </c>
      <c r="M35" s="4"/>
      <c r="N35" s="4">
        <f t="shared" si="10"/>
        <v>120000.02</v>
      </c>
      <c r="O35" s="4">
        <f t="shared" si="11"/>
        <v>0</v>
      </c>
      <c r="P35" s="4">
        <f t="shared" si="4"/>
        <v>-13333.33</v>
      </c>
      <c r="Q35" s="13">
        <f t="shared" si="5"/>
        <v>106666.69</v>
      </c>
      <c r="R35" s="4"/>
    </row>
    <row r="36" spans="2:20" x14ac:dyDescent="0.25">
      <c r="B36" s="31">
        <v>1980</v>
      </c>
      <c r="C36" t="s">
        <v>54</v>
      </c>
      <c r="D36" s="4">
        <f>+'2017'!G36</f>
        <v>208001.21</v>
      </c>
      <c r="E36" s="4">
        <v>100000</v>
      </c>
      <c r="F36" s="4"/>
      <c r="G36" s="13">
        <f t="shared" si="2"/>
        <v>308001.20999999996</v>
      </c>
      <c r="H36" s="4"/>
      <c r="I36" s="4">
        <f>+'2017'!L36</f>
        <v>-69251.189999999988</v>
      </c>
      <c r="J36" s="4">
        <f>-[1]Summary!$L30</f>
        <v>-10000</v>
      </c>
      <c r="K36" s="4"/>
      <c r="L36" s="13">
        <f t="shared" si="3"/>
        <v>-79251.189999999988</v>
      </c>
      <c r="M36" s="4"/>
      <c r="N36" s="4">
        <f t="shared" si="10"/>
        <v>138750.02000000002</v>
      </c>
      <c r="O36" s="4">
        <f t="shared" si="11"/>
        <v>100000</v>
      </c>
      <c r="P36" s="4">
        <f t="shared" si="4"/>
        <v>-10000</v>
      </c>
      <c r="Q36" s="13">
        <f t="shared" ref="Q36" si="15">SUM(N36:P36)</f>
        <v>228750.02000000002</v>
      </c>
      <c r="R36" s="4"/>
    </row>
    <row r="37" spans="2:20" ht="15.75" thickBot="1" x14ac:dyDescent="0.3">
      <c r="B37" s="33">
        <v>1980.1</v>
      </c>
      <c r="C37" s="2" t="s">
        <v>66</v>
      </c>
      <c r="D37" s="18">
        <f>+'2017'!G37</f>
        <v>667702.37</v>
      </c>
      <c r="E37" s="18">
        <v>0</v>
      </c>
      <c r="F37" s="18">
        <v>0</v>
      </c>
      <c r="G37" s="19">
        <f t="shared" si="2"/>
        <v>667702.37</v>
      </c>
      <c r="H37" s="18"/>
      <c r="I37" s="18">
        <f>+'2017'!L37</f>
        <v>-231039.92300000001</v>
      </c>
      <c r="J37" s="18">
        <f>-[1]Summary!$L31</f>
        <v>-49166.478000000003</v>
      </c>
      <c r="K37" s="18">
        <v>0</v>
      </c>
      <c r="L37" s="19">
        <f t="shared" si="3"/>
        <v>-280206.40100000001</v>
      </c>
      <c r="M37" s="18"/>
      <c r="N37" s="18">
        <f t="shared" si="10"/>
        <v>436662.44699999999</v>
      </c>
      <c r="O37" s="18">
        <f t="shared" si="11"/>
        <v>0</v>
      </c>
      <c r="P37" s="18">
        <f t="shared" si="4"/>
        <v>-49166.478000000003</v>
      </c>
      <c r="Q37" s="19">
        <f t="shared" si="5"/>
        <v>387495.96899999998</v>
      </c>
      <c r="R37" s="18"/>
    </row>
    <row r="38" spans="2:20" x14ac:dyDescent="0.25">
      <c r="D38" s="4"/>
      <c r="E38" s="4"/>
      <c r="F38" s="4">
        <v>0</v>
      </c>
      <c r="G38" s="13">
        <f t="shared" si="2"/>
        <v>0</v>
      </c>
      <c r="H38" s="4"/>
      <c r="I38" s="4">
        <v>0</v>
      </c>
      <c r="J38" s="4"/>
      <c r="K38" s="4">
        <v>0</v>
      </c>
      <c r="L38" s="13">
        <f t="shared" si="3"/>
        <v>0</v>
      </c>
      <c r="M38" s="4"/>
      <c r="N38" s="4">
        <f t="shared" si="10"/>
        <v>0</v>
      </c>
      <c r="O38" s="4">
        <f t="shared" si="11"/>
        <v>0</v>
      </c>
      <c r="P38" s="4">
        <f t="shared" si="4"/>
        <v>0</v>
      </c>
      <c r="Q38" s="13">
        <f t="shared" si="5"/>
        <v>0</v>
      </c>
      <c r="R38" s="4"/>
    </row>
    <row r="39" spans="2:20" s="9" customFormat="1" ht="15.75" thickBot="1" x14ac:dyDescent="0.3">
      <c r="B39" s="10" t="s">
        <v>58</v>
      </c>
      <c r="C39" s="10"/>
      <c r="D39" s="19">
        <f>SUM(D25:D38)</f>
        <v>7709145.1599999992</v>
      </c>
      <c r="E39" s="19">
        <f>SUM(E25:E38)</f>
        <v>265000</v>
      </c>
      <c r="F39" s="19">
        <f>SUM(F25:F38)</f>
        <v>0</v>
      </c>
      <c r="G39" s="19">
        <f>SUM(G25:G38)</f>
        <v>7974145.1599999992</v>
      </c>
      <c r="H39" s="19"/>
      <c r="I39" s="19">
        <f>SUM(I25:I38)</f>
        <v>-3376628.0793333333</v>
      </c>
      <c r="J39" s="19">
        <f>SUM(J25:J38)</f>
        <v>-466139.14333333331</v>
      </c>
      <c r="K39" s="19">
        <f>SUM(K25:K38)</f>
        <v>0</v>
      </c>
      <c r="L39" s="19">
        <f>SUM(L25:L38)</f>
        <v>-3842767.2226666673</v>
      </c>
      <c r="M39" s="19"/>
      <c r="N39" s="19">
        <f>SUM(N25:N38)</f>
        <v>4332517.0806666678</v>
      </c>
      <c r="O39" s="19">
        <f>SUM(O25:O38)</f>
        <v>265000</v>
      </c>
      <c r="P39" s="19">
        <f>SUM(P25:P38)</f>
        <v>-466139.14333333331</v>
      </c>
      <c r="Q39" s="19">
        <f>SUM(Q25:Q38)</f>
        <v>4131377.9373333338</v>
      </c>
      <c r="R39" s="19"/>
    </row>
    <row r="40" spans="2:20" x14ac:dyDescent="0.25">
      <c r="D40" s="4"/>
      <c r="E40" s="4"/>
      <c r="F40" s="4"/>
      <c r="G40" s="13"/>
      <c r="H40" s="4"/>
      <c r="I40" s="4"/>
      <c r="J40" s="4"/>
      <c r="K40" s="4"/>
      <c r="L40" s="13"/>
      <c r="M40" s="4"/>
      <c r="N40" s="4"/>
      <c r="O40" s="4"/>
      <c r="P40" s="4"/>
      <c r="Q40" s="13"/>
      <c r="R40" s="4"/>
    </row>
    <row r="41" spans="2:20" x14ac:dyDescent="0.25">
      <c r="B41" s="7"/>
      <c r="C41" s="7"/>
      <c r="D41" s="7"/>
      <c r="E41" s="7"/>
      <c r="F41" s="7"/>
      <c r="G41" s="15"/>
      <c r="H41" s="4"/>
      <c r="I41" s="7"/>
      <c r="J41" s="7"/>
      <c r="K41" s="7"/>
      <c r="L41" s="15"/>
      <c r="M41" s="4"/>
      <c r="N41" s="7"/>
      <c r="O41" s="7"/>
      <c r="P41" s="7"/>
      <c r="Q41" s="15"/>
      <c r="R41" s="4"/>
    </row>
    <row r="42" spans="2:20" x14ac:dyDescent="0.25">
      <c r="B42" s="15" t="s">
        <v>60</v>
      </c>
      <c r="C42" s="7"/>
      <c r="D42" s="70" t="s">
        <v>62</v>
      </c>
      <c r="E42" s="70"/>
      <c r="F42" s="70"/>
      <c r="G42" s="70"/>
      <c r="I42" s="70" t="s">
        <v>63</v>
      </c>
      <c r="J42" s="70"/>
      <c r="K42" s="70"/>
      <c r="L42" s="70"/>
      <c r="M42" s="4"/>
      <c r="N42" s="70" t="s">
        <v>9</v>
      </c>
      <c r="O42" s="70"/>
      <c r="P42" s="70"/>
      <c r="Q42" s="70"/>
      <c r="R42" s="4"/>
    </row>
    <row r="43" spans="2:20" ht="15.75" thickBot="1" x14ac:dyDescent="0.3">
      <c r="B43" s="7"/>
      <c r="C43" s="7"/>
      <c r="D43" s="12" t="s">
        <v>3</v>
      </c>
      <c r="E43" s="12" t="s">
        <v>4</v>
      </c>
      <c r="F43" s="12" t="s">
        <v>5</v>
      </c>
      <c r="G43" s="12" t="s">
        <v>6</v>
      </c>
      <c r="I43" s="12"/>
      <c r="J43" s="12"/>
      <c r="K43" s="12"/>
      <c r="L43" s="12"/>
      <c r="M43" s="4"/>
      <c r="N43" s="12" t="s">
        <v>3</v>
      </c>
      <c r="O43" s="12" t="s">
        <v>4</v>
      </c>
      <c r="P43" s="12" t="s">
        <v>11</v>
      </c>
      <c r="Q43" s="12" t="s">
        <v>6</v>
      </c>
      <c r="R43" s="4"/>
      <c r="S43" s="28"/>
    </row>
    <row r="44" spans="2:20" x14ac:dyDescent="0.25">
      <c r="B44" s="24" t="s">
        <v>12</v>
      </c>
      <c r="C44" s="7" t="s">
        <v>13</v>
      </c>
      <c r="D44" s="8">
        <f>+'2017'!G44</f>
        <v>0</v>
      </c>
      <c r="E44" s="8">
        <v>0</v>
      </c>
      <c r="F44" s="8">
        <v>0</v>
      </c>
      <c r="G44" s="16">
        <f>SUM(D44:F44)</f>
        <v>0</v>
      </c>
      <c r="I44" s="8">
        <f>+'2017'!L44</f>
        <v>0</v>
      </c>
      <c r="J44" s="7"/>
      <c r="K44" s="7"/>
      <c r="L44" s="15"/>
      <c r="M44" s="4"/>
      <c r="N44" s="8">
        <f t="shared" ref="N44:N55" si="16">+D44+I44</f>
        <v>0</v>
      </c>
      <c r="O44" s="8">
        <f t="shared" ref="O44:O55" si="17">+E44+F44</f>
        <v>0</v>
      </c>
      <c r="P44" s="8">
        <f t="shared" ref="P44:P55" si="18">+J44+K44</f>
        <v>0</v>
      </c>
      <c r="Q44" s="16">
        <f t="shared" ref="Q44:Q53" si="19">SUM(N44:P44)</f>
        <v>0</v>
      </c>
      <c r="R44" s="4"/>
      <c r="S44" s="28"/>
    </row>
    <row r="45" spans="2:20" x14ac:dyDescent="0.25">
      <c r="B45" s="34" t="s">
        <v>14</v>
      </c>
      <c r="C45" s="7" t="s">
        <v>15</v>
      </c>
      <c r="D45" s="8">
        <f>+'2017'!G45</f>
        <v>-1345015.8299999998</v>
      </c>
      <c r="E45" s="8">
        <v>-3000</v>
      </c>
      <c r="F45" s="8">
        <v>0</v>
      </c>
      <c r="G45" s="16">
        <f>SUM(D45:F45)</f>
        <v>-1348015.8299999998</v>
      </c>
      <c r="I45" s="8">
        <f>+'2017'!L45</f>
        <v>508283.79537271283</v>
      </c>
      <c r="J45" s="8">
        <f>-[1]Summary!$L39</f>
        <v>24518.93499999999</v>
      </c>
      <c r="K45" s="8">
        <v>0</v>
      </c>
      <c r="L45" s="16">
        <f>SUM(I45:K45)</f>
        <v>532802.73037271283</v>
      </c>
      <c r="M45" s="4"/>
      <c r="N45" s="8">
        <f t="shared" si="16"/>
        <v>-836732.03462728695</v>
      </c>
      <c r="O45" s="8">
        <f t="shared" si="17"/>
        <v>-3000</v>
      </c>
      <c r="P45" s="8">
        <f t="shared" si="18"/>
        <v>24518.93499999999</v>
      </c>
      <c r="Q45" s="16">
        <f t="shared" si="19"/>
        <v>-815213.09962728701</v>
      </c>
      <c r="R45" s="4"/>
      <c r="S45" s="28"/>
      <c r="T45" s="22"/>
    </row>
    <row r="46" spans="2:20" x14ac:dyDescent="0.25">
      <c r="B46" s="34" t="s">
        <v>16</v>
      </c>
      <c r="C46" s="7" t="s">
        <v>17</v>
      </c>
      <c r="D46" s="8">
        <f>+'2017'!G46</f>
        <v>-1154800.3400000001</v>
      </c>
      <c r="E46" s="8">
        <v>-4000</v>
      </c>
      <c r="F46" s="8">
        <v>0</v>
      </c>
      <c r="G46" s="16">
        <f>SUM(D46:F46)</f>
        <v>-1158800.3400000001</v>
      </c>
      <c r="I46" s="8">
        <f>+'2017'!L46</f>
        <v>401669.2886598371</v>
      </c>
      <c r="J46" s="8">
        <f>-[1]Summary!$L40</f>
        <v>15338.905000000001</v>
      </c>
      <c r="K46" s="8">
        <v>0</v>
      </c>
      <c r="L46" s="16">
        <f>SUM(I46:K46)</f>
        <v>417008.19365983712</v>
      </c>
      <c r="M46" s="4"/>
      <c r="N46" s="8">
        <f t="shared" si="16"/>
        <v>-753131.05134016299</v>
      </c>
      <c r="O46" s="8">
        <f t="shared" si="17"/>
        <v>-4000</v>
      </c>
      <c r="P46" s="8">
        <f t="shared" si="18"/>
        <v>15338.905000000001</v>
      </c>
      <c r="Q46" s="16">
        <f t="shared" si="19"/>
        <v>-741792.14634016296</v>
      </c>
      <c r="R46" s="4"/>
      <c r="S46" s="28"/>
      <c r="T46" s="22"/>
    </row>
    <row r="47" spans="2:20" x14ac:dyDescent="0.25">
      <c r="B47" s="34" t="s">
        <v>18</v>
      </c>
      <c r="C47" s="7" t="s">
        <v>19</v>
      </c>
      <c r="D47" s="8">
        <f>+'2017'!G47</f>
        <v>-1012766.24</v>
      </c>
      <c r="E47" s="8">
        <v>-22000</v>
      </c>
      <c r="F47" s="8">
        <v>0</v>
      </c>
      <c r="G47" s="16">
        <f t="shared" ref="G47:G55" si="20">SUM(D47:F47)</f>
        <v>-1034766.24</v>
      </c>
      <c r="I47" s="8">
        <f>+'2017'!L47</f>
        <v>346836.62557171646</v>
      </c>
      <c r="J47" s="8">
        <f>-[1]Summary!$L41</f>
        <v>25592.82</v>
      </c>
      <c r="K47" s="8">
        <v>0</v>
      </c>
      <c r="L47" s="16">
        <f t="shared" ref="L47:L56" si="21">SUM(I47:K47)</f>
        <v>372429.44557171647</v>
      </c>
      <c r="M47" s="4"/>
      <c r="N47" s="8">
        <f t="shared" si="16"/>
        <v>-665929.61442828353</v>
      </c>
      <c r="O47" s="8">
        <f t="shared" si="17"/>
        <v>-22000</v>
      </c>
      <c r="P47" s="8">
        <f t="shared" si="18"/>
        <v>25592.82</v>
      </c>
      <c r="Q47" s="16">
        <f t="shared" si="19"/>
        <v>-662336.79442828358</v>
      </c>
      <c r="R47" s="4"/>
      <c r="S47" s="28"/>
      <c r="T47" s="22"/>
    </row>
    <row r="48" spans="2:20" x14ac:dyDescent="0.25">
      <c r="B48" s="34" t="s">
        <v>20</v>
      </c>
      <c r="C48" s="7" t="s">
        <v>21</v>
      </c>
      <c r="D48" s="8">
        <f>+'2017'!G48</f>
        <v>-1523037.5</v>
      </c>
      <c r="E48" s="8">
        <v>-34000</v>
      </c>
      <c r="F48" s="8">
        <v>0</v>
      </c>
      <c r="G48" s="16">
        <f t="shared" si="20"/>
        <v>-1557037.5</v>
      </c>
      <c r="I48" s="8">
        <f>+'2017'!L48</f>
        <v>551549.857151167</v>
      </c>
      <c r="J48" s="8">
        <f>-[1]Summary!$L42</f>
        <v>33609.93</v>
      </c>
      <c r="K48" s="8">
        <v>0</v>
      </c>
      <c r="L48" s="16">
        <f t="shared" si="21"/>
        <v>585159.78715116705</v>
      </c>
      <c r="M48" s="4"/>
      <c r="N48" s="8">
        <f t="shared" si="16"/>
        <v>-971487.642848833</v>
      </c>
      <c r="O48" s="8">
        <f t="shared" si="17"/>
        <v>-34000</v>
      </c>
      <c r="P48" s="8">
        <f t="shared" si="18"/>
        <v>33609.93</v>
      </c>
      <c r="Q48" s="16">
        <f t="shared" si="19"/>
        <v>-971877.71284883295</v>
      </c>
      <c r="R48" s="4"/>
      <c r="S48" s="28"/>
      <c r="T48" s="22"/>
    </row>
    <row r="49" spans="2:22" x14ac:dyDescent="0.25">
      <c r="B49" s="34" t="s">
        <v>22</v>
      </c>
      <c r="C49" s="7" t="s">
        <v>23</v>
      </c>
      <c r="D49" s="8">
        <f>+'2017'!G49</f>
        <v>-1474745.22</v>
      </c>
      <c r="E49" s="8">
        <v>-16000</v>
      </c>
      <c r="F49" s="8">
        <v>0</v>
      </c>
      <c r="G49" s="16">
        <f t="shared" si="20"/>
        <v>-1490745.22</v>
      </c>
      <c r="I49" s="8">
        <f>+'2017'!L49</f>
        <v>408995.23964880104</v>
      </c>
      <c r="J49" s="8">
        <f>-[1]Summary!$L43</f>
        <v>33041.460000000006</v>
      </c>
      <c r="K49" s="8">
        <v>0</v>
      </c>
      <c r="L49" s="16">
        <f t="shared" si="21"/>
        <v>442036.69964880106</v>
      </c>
      <c r="M49" s="4"/>
      <c r="N49" s="8">
        <f t="shared" si="16"/>
        <v>-1065749.9803511989</v>
      </c>
      <c r="O49" s="8">
        <f t="shared" si="17"/>
        <v>-16000</v>
      </c>
      <c r="P49" s="8">
        <f t="shared" si="18"/>
        <v>33041.460000000006</v>
      </c>
      <c r="Q49" s="16">
        <f t="shared" si="19"/>
        <v>-1048708.520351199</v>
      </c>
      <c r="R49" s="4"/>
      <c r="S49" s="28"/>
      <c r="T49" s="22"/>
    </row>
    <row r="50" spans="2:22" x14ac:dyDescent="0.25">
      <c r="B50" s="34" t="s">
        <v>24</v>
      </c>
      <c r="C50" s="7" t="s">
        <v>25</v>
      </c>
      <c r="D50" s="8">
        <f>+'2017'!G50</f>
        <v>-565893.87</v>
      </c>
      <c r="E50" s="8">
        <v>-2000</v>
      </c>
      <c r="F50" s="8">
        <v>0</v>
      </c>
      <c r="G50" s="16">
        <f t="shared" si="20"/>
        <v>-567893.87</v>
      </c>
      <c r="I50" s="8">
        <f>+'2017'!L50</f>
        <v>229053.00799237078</v>
      </c>
      <c r="J50" s="8">
        <f>-[1]Summary!$L44</f>
        <v>14283.91</v>
      </c>
      <c r="K50" s="8">
        <v>0</v>
      </c>
      <c r="L50" s="16">
        <f t="shared" si="21"/>
        <v>243336.91799237079</v>
      </c>
      <c r="M50" s="4"/>
      <c r="N50" s="8">
        <f t="shared" si="16"/>
        <v>-336840.86200762924</v>
      </c>
      <c r="O50" s="8">
        <f t="shared" si="17"/>
        <v>-2000</v>
      </c>
      <c r="P50" s="8">
        <f t="shared" si="18"/>
        <v>14283.91</v>
      </c>
      <c r="Q50" s="16">
        <f t="shared" si="19"/>
        <v>-324556.95200762927</v>
      </c>
      <c r="R50" s="4"/>
      <c r="S50" s="28"/>
      <c r="T50" s="22"/>
    </row>
    <row r="51" spans="2:22" x14ac:dyDescent="0.25">
      <c r="B51" s="34" t="s">
        <v>26</v>
      </c>
      <c r="C51" s="7" t="s">
        <v>27</v>
      </c>
      <c r="D51" s="8">
        <f>+'2017'!G51</f>
        <v>-625631.77999999991</v>
      </c>
      <c r="E51" s="8">
        <v>-3000</v>
      </c>
      <c r="F51" s="8">
        <v>0</v>
      </c>
      <c r="G51" s="16">
        <f t="shared" si="20"/>
        <v>-628631.77999999991</v>
      </c>
      <c r="I51" s="8">
        <f>+'2017'!L51</f>
        <v>243414.37581226698</v>
      </c>
      <c r="J51" s="8">
        <f>-[1]Summary!$L45</f>
        <v>13483.57</v>
      </c>
      <c r="K51" s="8">
        <v>0</v>
      </c>
      <c r="L51" s="16">
        <f t="shared" si="21"/>
        <v>256897.94581226699</v>
      </c>
      <c r="M51" s="4"/>
      <c r="N51" s="8">
        <f t="shared" si="16"/>
        <v>-382217.40418773296</v>
      </c>
      <c r="O51" s="8">
        <f t="shared" si="17"/>
        <v>-3000</v>
      </c>
      <c r="P51" s="8">
        <f t="shared" si="18"/>
        <v>13483.57</v>
      </c>
      <c r="Q51" s="16">
        <f t="shared" si="19"/>
        <v>-371733.83418773295</v>
      </c>
      <c r="R51" s="4"/>
      <c r="S51" s="28"/>
      <c r="T51" s="22"/>
    </row>
    <row r="52" spans="2:22" x14ac:dyDescent="0.25">
      <c r="B52" s="34" t="s">
        <v>28</v>
      </c>
      <c r="C52" s="7" t="s">
        <v>29</v>
      </c>
      <c r="D52" s="8">
        <f>+'2017'!G52</f>
        <v>-448223.44999999995</v>
      </c>
      <c r="E52" s="8">
        <v>-7000</v>
      </c>
      <c r="F52" s="8">
        <v>0</v>
      </c>
      <c r="G52" s="16">
        <f t="shared" si="20"/>
        <v>-455223.44999999995</v>
      </c>
      <c r="I52" s="8">
        <f>+'2017'!L52</f>
        <v>163389.94820699276</v>
      </c>
      <c r="J52" s="8">
        <f>-[1]Summary!$L46</f>
        <v>9333.4599999999991</v>
      </c>
      <c r="K52" s="8">
        <v>0</v>
      </c>
      <c r="L52" s="16">
        <f t="shared" si="21"/>
        <v>172723.40820699275</v>
      </c>
      <c r="M52" s="3"/>
      <c r="N52" s="8">
        <f t="shared" si="16"/>
        <v>-284833.50179300719</v>
      </c>
      <c r="O52" s="8">
        <f t="shared" si="17"/>
        <v>-7000</v>
      </c>
      <c r="P52" s="8">
        <f t="shared" si="18"/>
        <v>9333.4599999999991</v>
      </c>
      <c r="Q52" s="16">
        <f t="shared" si="19"/>
        <v>-282500.04179300717</v>
      </c>
      <c r="R52" s="3"/>
      <c r="S52" s="28"/>
      <c r="T52" s="22"/>
    </row>
    <row r="53" spans="2:22" x14ac:dyDescent="0.25">
      <c r="B53" s="34" t="s">
        <v>30</v>
      </c>
      <c r="C53" s="7" t="s">
        <v>31</v>
      </c>
      <c r="D53" s="8">
        <f>+'2017'!G53</f>
        <v>0</v>
      </c>
      <c r="E53" s="8">
        <v>0</v>
      </c>
      <c r="F53" s="8">
        <v>0</v>
      </c>
      <c r="G53" s="16">
        <f t="shared" si="20"/>
        <v>0</v>
      </c>
      <c r="I53" s="8">
        <f>+'2017'!L53</f>
        <v>0</v>
      </c>
      <c r="J53" s="8">
        <f>-[1]Summary!$L47</f>
        <v>0</v>
      </c>
      <c r="K53" s="8">
        <v>0</v>
      </c>
      <c r="L53" s="16">
        <f t="shared" si="21"/>
        <v>0</v>
      </c>
      <c r="M53" s="3"/>
      <c r="N53" s="8">
        <f t="shared" si="16"/>
        <v>0</v>
      </c>
      <c r="O53" s="8">
        <f t="shared" si="17"/>
        <v>0</v>
      </c>
      <c r="P53" s="8">
        <f t="shared" si="18"/>
        <v>0</v>
      </c>
      <c r="Q53" s="16">
        <f t="shared" si="19"/>
        <v>0</v>
      </c>
      <c r="R53" s="3"/>
      <c r="S53" s="28"/>
      <c r="T53" s="22"/>
    </row>
    <row r="54" spans="2:22" x14ac:dyDescent="0.25">
      <c r="B54" s="35">
        <v>1860.15</v>
      </c>
      <c r="C54" s="7" t="s">
        <v>55</v>
      </c>
      <c r="D54" s="8">
        <f>+'2017'!G54</f>
        <v>-38842.06</v>
      </c>
      <c r="E54" s="8">
        <v>-9000</v>
      </c>
      <c r="F54" s="8">
        <v>0</v>
      </c>
      <c r="G54" s="16">
        <f t="shared" si="20"/>
        <v>-47842.06</v>
      </c>
      <c r="I54" s="8">
        <f>+'2017'!L54</f>
        <v>2747.3500000000004</v>
      </c>
      <c r="J54" s="8">
        <f>-[1]Summary!$L48</f>
        <v>1089.47</v>
      </c>
      <c r="K54" s="8">
        <v>0</v>
      </c>
      <c r="L54" s="16">
        <f t="shared" si="21"/>
        <v>3836.8200000000006</v>
      </c>
      <c r="M54" s="3"/>
      <c r="N54" s="8">
        <f t="shared" si="16"/>
        <v>-36094.71</v>
      </c>
      <c r="O54" s="8">
        <f t="shared" si="17"/>
        <v>-9000</v>
      </c>
      <c r="P54" s="8">
        <f t="shared" si="18"/>
        <v>1089.47</v>
      </c>
      <c r="Q54" s="16">
        <f t="shared" ref="Q54:Q55" si="22">SUM(N54:P54)</f>
        <v>-44005.24</v>
      </c>
      <c r="R54" s="3"/>
      <c r="S54" s="28"/>
      <c r="T54" s="22"/>
      <c r="U54" s="3"/>
      <c r="V54" s="14"/>
    </row>
    <row r="55" spans="2:22" x14ac:dyDescent="0.25">
      <c r="B55" s="34" t="s">
        <v>32</v>
      </c>
      <c r="C55" s="7" t="s">
        <v>33</v>
      </c>
      <c r="D55" s="8">
        <f>+'2017'!G55</f>
        <v>-12919.73</v>
      </c>
      <c r="E55" s="8">
        <v>0</v>
      </c>
      <c r="F55" s="8">
        <v>0</v>
      </c>
      <c r="G55" s="16">
        <f t="shared" si="20"/>
        <v>-12919.73</v>
      </c>
      <c r="I55" s="8">
        <f>+'2017'!L55</f>
        <v>17168.185000000001</v>
      </c>
      <c r="J55" s="8">
        <f>-[1]Summary!$L49</f>
        <v>3961.0549999999998</v>
      </c>
      <c r="K55" s="8">
        <v>0</v>
      </c>
      <c r="L55" s="16">
        <f t="shared" si="21"/>
        <v>21129.24</v>
      </c>
      <c r="M55" s="3"/>
      <c r="N55" s="8">
        <f t="shared" si="16"/>
        <v>4248.4550000000017</v>
      </c>
      <c r="O55" s="8">
        <f t="shared" si="17"/>
        <v>0</v>
      </c>
      <c r="P55" s="8">
        <f t="shared" si="18"/>
        <v>3961.0549999999998</v>
      </c>
      <c r="Q55" s="16">
        <f t="shared" si="22"/>
        <v>8209.510000000002</v>
      </c>
      <c r="R55" s="3"/>
      <c r="S55" s="38"/>
      <c r="T55" s="3"/>
      <c r="U55" s="3"/>
      <c r="V55" s="14"/>
    </row>
    <row r="56" spans="2:22" ht="15.75" thickBot="1" x14ac:dyDescent="0.3">
      <c r="B56" s="36" t="s">
        <v>34</v>
      </c>
      <c r="C56" s="25" t="s">
        <v>35</v>
      </c>
      <c r="D56" s="20">
        <f>+'2017'!G56</f>
        <v>0</v>
      </c>
      <c r="E56" s="20">
        <v>0</v>
      </c>
      <c r="F56" s="20">
        <v>0</v>
      </c>
      <c r="G56" s="21">
        <f t="shared" ref="G56" si="23">SUM(D56:F56)</f>
        <v>0</v>
      </c>
      <c r="I56" s="20">
        <f>+'2017'!L56</f>
        <v>0</v>
      </c>
      <c r="J56" s="20">
        <v>0</v>
      </c>
      <c r="K56" s="20">
        <v>0</v>
      </c>
      <c r="L56" s="21">
        <f t="shared" si="21"/>
        <v>0</v>
      </c>
      <c r="M56" s="3"/>
      <c r="N56" s="20"/>
      <c r="O56" s="20">
        <v>0</v>
      </c>
      <c r="P56" s="20">
        <v>0</v>
      </c>
      <c r="Q56" s="21">
        <f t="shared" ref="Q56" si="24">SUM(N56:P56)</f>
        <v>0</v>
      </c>
      <c r="R56" s="3"/>
      <c r="S56" s="38"/>
      <c r="T56" s="3"/>
      <c r="U56" s="3"/>
      <c r="V56" s="14"/>
    </row>
    <row r="57" spans="2:22" x14ac:dyDescent="0.25">
      <c r="M57" s="3"/>
      <c r="R57" s="3"/>
      <c r="S57" s="38"/>
      <c r="T57" s="3"/>
      <c r="U57" s="3"/>
      <c r="V57" s="14"/>
    </row>
    <row r="58" spans="2:22" ht="15.75" thickBot="1" x14ac:dyDescent="0.3">
      <c r="B58" s="25"/>
      <c r="C58" s="25"/>
      <c r="D58" s="21">
        <f>SUM(D44:D57)</f>
        <v>-8201876.0200000005</v>
      </c>
      <c r="E58" s="21">
        <f>SUM(E44:E57)</f>
        <v>-100000</v>
      </c>
      <c r="F58" s="21">
        <f>SUM(F44:F57)</f>
        <v>0</v>
      </c>
      <c r="G58" s="21">
        <f>SUM(G44:G57)</f>
        <v>-8301876.0200000005</v>
      </c>
      <c r="H58" s="9"/>
      <c r="I58" s="21">
        <f>SUM(I44:I57)</f>
        <v>2873107.6734158657</v>
      </c>
      <c r="J58" s="21">
        <f>SUM(J44:J57)</f>
        <v>174253.51499999998</v>
      </c>
      <c r="K58" s="21">
        <f>SUM(K44:K57)</f>
        <v>0</v>
      </c>
      <c r="L58" s="21">
        <f>SUM(L44:L57)</f>
        <v>3047361.1884158649</v>
      </c>
      <c r="N58" s="21">
        <f>SUM(N44:N57)</f>
        <v>-5328768.3465841357</v>
      </c>
      <c r="O58" s="21">
        <f>SUM(O44:O57)</f>
        <v>-100000</v>
      </c>
      <c r="P58" s="21">
        <f>SUM(P44:P57)</f>
        <v>174253.51499999998</v>
      </c>
      <c r="Q58" s="21">
        <f>SUM(Q44:Q57)</f>
        <v>-5254514.8315841351</v>
      </c>
    </row>
    <row r="60" spans="2:22" x14ac:dyDescent="0.25">
      <c r="G60" s="4"/>
    </row>
    <row r="61" spans="2:22" x14ac:dyDescent="0.25">
      <c r="B61" t="s">
        <v>10</v>
      </c>
      <c r="D61" s="22">
        <f>+D22+D39+D58</f>
        <v>56476473.537999995</v>
      </c>
      <c r="E61" s="22">
        <f>+E22+E39+E58</f>
        <v>1885000</v>
      </c>
      <c r="F61" s="22">
        <f>+F22+F39+F58</f>
        <v>0</v>
      </c>
      <c r="G61" s="23">
        <f>+D61+E61+F61</f>
        <v>58361473.537999995</v>
      </c>
      <c r="I61" s="4">
        <f>+I22+I39+I58</f>
        <v>-28197776.625917468</v>
      </c>
      <c r="J61" s="4">
        <f>+J22+J39+J58</f>
        <v>-1389860.0283333333</v>
      </c>
      <c r="K61" s="4">
        <f>+K22+K39+K58</f>
        <v>0</v>
      </c>
      <c r="L61" s="13">
        <f>+I61+J61+K61</f>
        <v>-29587636.654250801</v>
      </c>
      <c r="N61" s="4">
        <f>+N22+N39+N58</f>
        <v>28288238.112082534</v>
      </c>
      <c r="O61" s="4">
        <f>+O22+O39+O58</f>
        <v>1885000</v>
      </c>
      <c r="P61" s="4">
        <f>+P22+P39+P58</f>
        <v>-1389860.0283333333</v>
      </c>
      <c r="Q61" s="13">
        <f>+N61+O61+P61</f>
        <v>28783378.083749201</v>
      </c>
    </row>
    <row r="62" spans="2:22" ht="15.75" thickBot="1" x14ac:dyDescent="0.3">
      <c r="B62" s="2" t="s">
        <v>61</v>
      </c>
      <c r="C62" s="2"/>
      <c r="D62" s="18">
        <f>+'2017'!G62</f>
        <v>0</v>
      </c>
      <c r="E62" s="18">
        <v>0</v>
      </c>
      <c r="F62" s="18">
        <v>0</v>
      </c>
      <c r="G62" s="19">
        <f>+D62+E62+F62</f>
        <v>0</v>
      </c>
      <c r="I62" s="18">
        <v>0</v>
      </c>
      <c r="J62" s="18">
        <v>0</v>
      </c>
      <c r="K62" s="18">
        <v>0</v>
      </c>
      <c r="L62" s="19">
        <f>+I62+J62+K62</f>
        <v>0</v>
      </c>
      <c r="N62" s="18">
        <f>+D62+I62</f>
        <v>0</v>
      </c>
      <c r="O62" s="18">
        <f>+E62+F62</f>
        <v>0</v>
      </c>
      <c r="P62" s="18">
        <f>+J62+K62</f>
        <v>0</v>
      </c>
      <c r="Q62" s="18">
        <f>+N62+O62+P62</f>
        <v>0</v>
      </c>
    </row>
    <row r="63" spans="2:22" x14ac:dyDescent="0.25">
      <c r="L63"/>
    </row>
    <row r="64" spans="2:22" ht="15.75" thickBot="1" x14ac:dyDescent="0.3">
      <c r="B64" s="10" t="s">
        <v>64</v>
      </c>
      <c r="C64" s="2"/>
      <c r="D64" s="19">
        <f>+D61+D62</f>
        <v>56476473.537999995</v>
      </c>
      <c r="E64" s="19">
        <f>+E61+E62</f>
        <v>1885000</v>
      </c>
      <c r="F64" s="19">
        <f>+F61+F62</f>
        <v>0</v>
      </c>
      <c r="G64" s="19">
        <f>+G61+G62</f>
        <v>58361473.537999995</v>
      </c>
      <c r="I64" s="19">
        <f>+I61+I62</f>
        <v>-28197776.625917468</v>
      </c>
      <c r="J64" s="19">
        <f>+J61+J62</f>
        <v>-1389860.0283333333</v>
      </c>
      <c r="K64" s="19">
        <f>+K61+K62</f>
        <v>0</v>
      </c>
      <c r="L64" s="19">
        <f>+L61+L62</f>
        <v>-29587636.654250801</v>
      </c>
      <c r="N64" s="19">
        <f>+N61+N62</f>
        <v>28288238.112082534</v>
      </c>
      <c r="O64" s="19">
        <f>+O61+O62</f>
        <v>1885000</v>
      </c>
      <c r="P64" s="19">
        <f>+P61+P62</f>
        <v>-1389860.0283333333</v>
      </c>
      <c r="Q64" s="19">
        <f>+Q61+Q62</f>
        <v>28783378.083749201</v>
      </c>
    </row>
    <row r="65" spans="5:17" x14ac:dyDescent="0.25">
      <c r="G65"/>
      <c r="L65"/>
      <c r="Q65"/>
    </row>
    <row r="66" spans="5:17" x14ac:dyDescent="0.25">
      <c r="G66"/>
      <c r="L66"/>
      <c r="Q66"/>
    </row>
    <row r="67" spans="5:17" x14ac:dyDescent="0.25">
      <c r="G67"/>
      <c r="L67"/>
      <c r="Q67"/>
    </row>
    <row r="68" spans="5:17" x14ac:dyDescent="0.25">
      <c r="G68"/>
      <c r="L68"/>
      <c r="Q68"/>
    </row>
    <row r="69" spans="5:17" x14ac:dyDescent="0.25">
      <c r="G69"/>
      <c r="L69"/>
      <c r="Q69"/>
    </row>
    <row r="70" spans="5:17" x14ac:dyDescent="0.25">
      <c r="G70"/>
      <c r="L70"/>
      <c r="Q70"/>
    </row>
    <row r="71" spans="5:17" x14ac:dyDescent="0.25">
      <c r="G71"/>
      <c r="L71"/>
      <c r="Q71"/>
    </row>
    <row r="72" spans="5:17" x14ac:dyDescent="0.25">
      <c r="G72"/>
      <c r="L72"/>
      <c r="Q72"/>
    </row>
    <row r="73" spans="5:17" x14ac:dyDescent="0.25">
      <c r="E73" s="22"/>
    </row>
    <row r="75" spans="5:17" x14ac:dyDescent="0.25">
      <c r="E75" s="22"/>
    </row>
  </sheetData>
  <mergeCells count="6">
    <mergeCell ref="D4:G4"/>
    <mergeCell ref="I4:L4"/>
    <mergeCell ref="N4:Q4"/>
    <mergeCell ref="D42:G42"/>
    <mergeCell ref="I42:L42"/>
    <mergeCell ref="N42:Q42"/>
  </mergeCells>
  <printOptions horizontalCentered="1"/>
  <pageMargins left="0" right="0" top="0" bottom="0.39370078740157483" header="0" footer="0.19685039370078741"/>
  <pageSetup scale="52" orientation="landscape" r:id="rId1"/>
  <headerFooter>
    <oddFooter>&amp;C&amp;9Page &amp;P of &amp;N</oddFooter>
  </headerFooter>
  <ignoredErrors>
    <ignoredError sqref="B8:D17 B21:K25 F17:I17 B18:D20 F20:I20 B30:D30 B28 F28:I28 B29:D29 F29:I29 B36:D36 B31:D31 F31:I31 B32:D32 F32:I32 B33:D33 F33:I33 F8:I8 K8:Q8 F9:I9 K9:Q9 F10:I10 K10:Q10 F11:I11 K11:Q11 F12:I12 K12:Q12 F13:I13 K13:Q13 F14:I14 K14:Q14 F15:I15 K15:Q15 F16:I16 K16:Q16 K17:Q17 F18:I18 K18 F19:I19 K19 K20 B27:I27 B26:I26 K26 K27 K28 K29 K30 K31 K32 K33 B34:I34 K34 B35:I35 K35 K36 D28 F30:I30 F36:I36" numberStoredAsText="1"/>
    <ignoredError sqref="L18:Q36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Schedule of additions</vt:lpstr>
      <vt:lpstr>Sheet3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'Schedule of additions'!Print_Area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Kent</dc:creator>
  <cp:lastModifiedBy>Robert Kent</cp:lastModifiedBy>
  <cp:lastPrinted>2014-06-10T16:05:10Z</cp:lastPrinted>
  <dcterms:created xsi:type="dcterms:W3CDTF">2013-01-25T18:11:14Z</dcterms:created>
  <dcterms:modified xsi:type="dcterms:W3CDTF">2014-06-26T13:47:29Z</dcterms:modified>
</cp:coreProperties>
</file>